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755" yWindow="420" windowWidth="20370" windowHeight="5520" tabRatio="972" activeTab="1"/>
  </bookViews>
  <sheets>
    <sheet name="PROJEKTY WYŁ i NOWE" sheetId="14" r:id="rId1"/>
    <sheet name="Tabela nr 6" sheetId="1" r:id="rId2"/>
    <sheet name="Tab. 6A -Drogi" sheetId="2" r:id="rId3"/>
    <sheet name="Tab. 6B Polit społ i rozwój prz" sheetId="3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Tab. 6C - Ochrona zdrowia" sheetId="4" r:id="rId11"/>
    <sheet name="projekty UE" sheetId="10" r:id="rId12"/>
    <sheet name="Dane do WPF" sheetId="12" r:id="rId13"/>
    <sheet name="Arkusz1" sheetId="15" r:id="rId14"/>
  </sheets>
  <externalReferences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2" hidden="1">'Tab. 6A -Drogi'!$A$11:$EA$544</definedName>
    <definedName name="_xlnm._FilterDatabase" localSheetId="3" hidden="1">'Tab. 6B Polit społ i rozwój prz'!#REF!</definedName>
    <definedName name="_xlnm._FilterDatabase" localSheetId="7" hidden="1">'Tab. 6G - Roln i ochrona środ.'!$A$4:$O$56</definedName>
    <definedName name="_xlnm.Print_Area" localSheetId="12">'Dane do WPF'!$A$1:$V$648</definedName>
    <definedName name="_xlnm.Print_Area" localSheetId="2">'Tab. 6A -Drogi'!$A$1:$O$675</definedName>
    <definedName name="_xlnm.Print_Area" localSheetId="3">'Tab. 6B Polit społ i rozwój prz'!$A$1:$O$281</definedName>
    <definedName name="_xlnm.Print_Area" localSheetId="10">'Tab. 6C - Ochrona zdrowia'!$A$1:$O$105</definedName>
    <definedName name="_xlnm.Print_Area" localSheetId="4">'Tab. 6D - Oświata'!$A$1:$O$97</definedName>
    <definedName name="_xlnm.Print_Area" localSheetId="5">'Tab. 6E - Administracja'!$A$1:$O$268</definedName>
    <definedName name="_xlnm.Print_Area" localSheetId="6">'Tab. 6F - Kultura'!$A$1:$O$178</definedName>
    <definedName name="_xlnm.Print_Area" localSheetId="7">'Tab. 6G - Roln i ochrona środ.'!$A$1:$O$140</definedName>
    <definedName name="_xlnm.Print_Area" localSheetId="8">'Tab. 6H - Kultura fiz. i turyst'!$A$1:$O$295</definedName>
    <definedName name="_xlnm.Print_Area" localSheetId="9">'Tab.6I - Planow. przestrz.'!$A$1:$O$116</definedName>
    <definedName name="_xlnm.Print_Area" localSheetId="1">'Tabela nr 6'!$A$1:$L$79</definedName>
    <definedName name="_xlnm.Print_Titles" localSheetId="12">'Dane do WPF'!$4:$8</definedName>
    <definedName name="_xlnm.Print_Titles" localSheetId="2">'Tab. 6A -Drogi'!$5:$7</definedName>
    <definedName name="_xlnm.Print_Titles" localSheetId="3">'Tab. 6B Polit społ i rozwój prz'!$4:$6</definedName>
    <definedName name="_xlnm.Print_Titles" localSheetId="10">'Tab. 6C - Ochrona zdrowia'!$47:$50</definedName>
    <definedName name="_xlnm.Print_Titles" localSheetId="4">'Tab. 6D - Oświata'!$6:$9</definedName>
    <definedName name="_xlnm.Print_Titles" localSheetId="5">'Tab. 6E - Administracja'!$6:$8</definedName>
    <definedName name="_xlnm.Print_Titles" localSheetId="6">'Tab. 6F - Kultura'!$4:$6</definedName>
    <definedName name="_xlnm.Print_Titles" localSheetId="7">'Tab. 6G - Roln i ochrona środ.'!$5:$7</definedName>
    <definedName name="_xlnm.Print_Titles" localSheetId="8">'Tab. 6H - Kultura fiz. i turyst'!$4:$6</definedName>
    <definedName name="_xlnm.Print_Titles" localSheetId="9">'Tab.6I - Planow. przestrz.'!$5:$7</definedName>
  </definedNames>
  <calcPr calcId="125725"/>
</workbook>
</file>

<file path=xl/calcChain.xml><?xml version="1.0" encoding="utf-8"?>
<calcChain xmlns="http://schemas.openxmlformats.org/spreadsheetml/2006/main">
  <c r="H624" i="12"/>
  <c r="L606"/>
  <c r="K606"/>
  <c r="J606"/>
  <c r="I606"/>
  <c r="H42" i="2"/>
  <c r="N13"/>
  <c r="N10"/>
  <c r="I646" i="12"/>
  <c r="J646"/>
  <c r="K646"/>
  <c r="L646"/>
  <c r="M646"/>
  <c r="I647"/>
  <c r="J647"/>
  <c r="K647"/>
  <c r="L647"/>
  <c r="M647"/>
  <c r="H647"/>
  <c r="H646"/>
  <c r="B647"/>
  <c r="B646"/>
  <c r="G437"/>
  <c r="H437"/>
  <c r="I437"/>
  <c r="J437"/>
  <c r="K437"/>
  <c r="L437"/>
  <c r="M437"/>
  <c r="G438"/>
  <c r="H438"/>
  <c r="I438"/>
  <c r="J438"/>
  <c r="K438"/>
  <c r="L438"/>
  <c r="M438"/>
  <c r="G439"/>
  <c r="H439"/>
  <c r="I439"/>
  <c r="J439"/>
  <c r="K439"/>
  <c r="L439"/>
  <c r="M439"/>
  <c r="G440"/>
  <c r="H440"/>
  <c r="I440"/>
  <c r="J440"/>
  <c r="K440"/>
  <c r="L440"/>
  <c r="M440"/>
  <c r="F440"/>
  <c r="F439"/>
  <c r="F438"/>
  <c r="F437"/>
  <c r="B436"/>
  <c r="M432"/>
  <c r="M433"/>
  <c r="M434"/>
  <c r="M435"/>
  <c r="G432"/>
  <c r="H432"/>
  <c r="I432"/>
  <c r="J432"/>
  <c r="K432"/>
  <c r="L432"/>
  <c r="G433"/>
  <c r="H433"/>
  <c r="I433"/>
  <c r="J433"/>
  <c r="K433"/>
  <c r="L433"/>
  <c r="G434"/>
  <c r="H434"/>
  <c r="I434"/>
  <c r="J434"/>
  <c r="K434"/>
  <c r="L434"/>
  <c r="G435"/>
  <c r="H435"/>
  <c r="I435"/>
  <c r="J435"/>
  <c r="K435"/>
  <c r="L435"/>
  <c r="F435"/>
  <c r="F434"/>
  <c r="F433"/>
  <c r="F432"/>
  <c r="B431"/>
  <c r="D11" i="2" l="1"/>
  <c r="E10"/>
  <c r="F10"/>
  <c r="G10"/>
  <c r="H10"/>
  <c r="I10"/>
  <c r="J10"/>
  <c r="K10"/>
  <c r="L10"/>
  <c r="D10"/>
  <c r="D51"/>
  <c r="E51"/>
  <c r="F51"/>
  <c r="G51"/>
  <c r="H51"/>
  <c r="I51"/>
  <c r="J51"/>
  <c r="K51"/>
  <c r="L51"/>
  <c r="P42"/>
  <c r="N42"/>
  <c r="E42"/>
  <c r="F42"/>
  <c r="G42"/>
  <c r="I42"/>
  <c r="J42"/>
  <c r="K42"/>
  <c r="L42"/>
  <c r="D42"/>
  <c r="D39"/>
  <c r="I37"/>
  <c r="J37"/>
  <c r="H37"/>
  <c r="G37"/>
  <c r="F37"/>
  <c r="E37"/>
  <c r="D37"/>
  <c r="K37"/>
  <c r="L37"/>
  <c r="D38"/>
  <c r="G311"/>
  <c r="D311" s="1"/>
  <c r="D310" s="1"/>
  <c r="D307" s="1"/>
  <c r="J310"/>
  <c r="I310"/>
  <c r="I307" s="1"/>
  <c r="H310"/>
  <c r="G310"/>
  <c r="F310"/>
  <c r="E310"/>
  <c r="D309"/>
  <c r="D308" s="1"/>
  <c r="H308"/>
  <c r="G308"/>
  <c r="F308"/>
  <c r="E308"/>
  <c r="J307"/>
  <c r="H307"/>
  <c r="G307"/>
  <c r="F307"/>
  <c r="E307"/>
  <c r="N306"/>
  <c r="N305" s="1"/>
  <c r="N301" s="1"/>
  <c r="M306"/>
  <c r="D306"/>
  <c r="D305" s="1"/>
  <c r="D301" s="1"/>
  <c r="M305"/>
  <c r="J305"/>
  <c r="I305"/>
  <c r="H305"/>
  <c r="H301" s="1"/>
  <c r="G305"/>
  <c r="F305"/>
  <c r="E305"/>
  <c r="N304"/>
  <c r="M304"/>
  <c r="D304"/>
  <c r="N303"/>
  <c r="M303"/>
  <c r="M302" s="1"/>
  <c r="M301" s="1"/>
  <c r="D303"/>
  <c r="N302"/>
  <c r="J302"/>
  <c r="I302"/>
  <c r="H302"/>
  <c r="G302"/>
  <c r="F302"/>
  <c r="E302"/>
  <c r="D302"/>
  <c r="J301"/>
  <c r="I301"/>
  <c r="G301"/>
  <c r="F301"/>
  <c r="E301"/>
  <c r="D299"/>
  <c r="J295"/>
  <c r="J298"/>
  <c r="J293"/>
  <c r="J290"/>
  <c r="J289" s="1"/>
  <c r="I295"/>
  <c r="I298"/>
  <c r="I293"/>
  <c r="I290"/>
  <c r="G299"/>
  <c r="D298"/>
  <c r="H298"/>
  <c r="G298"/>
  <c r="F298"/>
  <c r="E298"/>
  <c r="D297"/>
  <c r="D296" s="1"/>
  <c r="H296"/>
  <c r="G296"/>
  <c r="F296"/>
  <c r="E296"/>
  <c r="H295"/>
  <c r="G295"/>
  <c r="F295"/>
  <c r="E295"/>
  <c r="N294"/>
  <c r="N293" s="1"/>
  <c r="M294"/>
  <c r="D294"/>
  <c r="D293" s="1"/>
  <c r="M293"/>
  <c r="H293"/>
  <c r="G293"/>
  <c r="F293"/>
  <c r="E293"/>
  <c r="N292"/>
  <c r="M292"/>
  <c r="D292"/>
  <c r="N291"/>
  <c r="M291"/>
  <c r="M290" s="1"/>
  <c r="D291"/>
  <c r="N290"/>
  <c r="H290"/>
  <c r="H289" s="1"/>
  <c r="G290"/>
  <c r="F290"/>
  <c r="E290"/>
  <c r="D290"/>
  <c r="G289"/>
  <c r="F289"/>
  <c r="E289"/>
  <c r="N289" l="1"/>
  <c r="I289"/>
  <c r="M289"/>
  <c r="D289"/>
  <c r="D295"/>
  <c r="N79" i="13" l="1"/>
  <c r="N77"/>
  <c r="N76"/>
  <c r="N83" i="7"/>
  <c r="N70"/>
  <c r="M95" i="9"/>
  <c r="M82"/>
  <c r="H627" i="12"/>
  <c r="L624"/>
  <c r="J645"/>
  <c r="K645"/>
  <c r="L645"/>
  <c r="M645"/>
  <c r="B645"/>
  <c r="G110" i="6"/>
  <c r="G108"/>
  <c r="G100"/>
  <c r="G98"/>
  <c r="J417" i="12"/>
  <c r="K417"/>
  <c r="L417"/>
  <c r="M417"/>
  <c r="J418"/>
  <c r="K418"/>
  <c r="L418"/>
  <c r="M418"/>
  <c r="G419"/>
  <c r="H419"/>
  <c r="I419"/>
  <c r="J419"/>
  <c r="K419"/>
  <c r="L419"/>
  <c r="M419"/>
  <c r="J420"/>
  <c r="K420"/>
  <c r="L420"/>
  <c r="M420"/>
  <c r="F419"/>
  <c r="B416"/>
  <c r="J392"/>
  <c r="K392"/>
  <c r="L392"/>
  <c r="M392"/>
  <c r="J393"/>
  <c r="K393"/>
  <c r="L393"/>
  <c r="M393"/>
  <c r="J394"/>
  <c r="K394"/>
  <c r="L394"/>
  <c r="M394"/>
  <c r="J395"/>
  <c r="K395"/>
  <c r="L395"/>
  <c r="M395"/>
  <c r="B391"/>
  <c r="M44" i="3"/>
  <c r="N53"/>
  <c r="N54"/>
  <c r="J240" i="6" l="1"/>
  <c r="K240"/>
  <c r="L240"/>
  <c r="H686" i="2"/>
  <c r="H66" i="9" l="1"/>
  <c r="H63"/>
  <c r="F72"/>
  <c r="D72" s="1"/>
  <c r="D71" s="1"/>
  <c r="H71"/>
  <c r="G71"/>
  <c r="H420" i="12" s="1"/>
  <c r="F71" i="9"/>
  <c r="G420" i="12" s="1"/>
  <c r="E71" i="9"/>
  <c r="F420" i="12" s="1"/>
  <c r="D70" i="9"/>
  <c r="D69" s="1"/>
  <c r="L69"/>
  <c r="K69"/>
  <c r="J69"/>
  <c r="I69"/>
  <c r="H69"/>
  <c r="G69"/>
  <c r="F69"/>
  <c r="F68" s="1"/>
  <c r="E69"/>
  <c r="E68" s="1"/>
  <c r="M67"/>
  <c r="M66" s="1"/>
  <c r="N67"/>
  <c r="N66" s="1"/>
  <c r="D67"/>
  <c r="D66" s="1"/>
  <c r="E66"/>
  <c r="N65"/>
  <c r="D65"/>
  <c r="N64"/>
  <c r="M64"/>
  <c r="M63" s="1"/>
  <c r="G63"/>
  <c r="H418" i="12" s="1"/>
  <c r="E63" i="9"/>
  <c r="I75"/>
  <c r="I74" s="1"/>
  <c r="I77"/>
  <c r="I80"/>
  <c r="I79" s="1"/>
  <c r="H81"/>
  <c r="H78"/>
  <c r="G78"/>
  <c r="H76"/>
  <c r="G76"/>
  <c r="G60"/>
  <c r="G58"/>
  <c r="G55"/>
  <c r="G53"/>
  <c r="G52"/>
  <c r="H36"/>
  <c r="G36"/>
  <c r="G34"/>
  <c r="G31"/>
  <c r="G29"/>
  <c r="G28"/>
  <c r="G48"/>
  <c r="G43"/>
  <c r="G40"/>
  <c r="H392" i="2"/>
  <c r="G392"/>
  <c r="H389"/>
  <c r="G389"/>
  <c r="G380"/>
  <c r="H154" i="7"/>
  <c r="G154"/>
  <c r="H152"/>
  <c r="G152"/>
  <c r="H151"/>
  <c r="G151"/>
  <c r="H148"/>
  <c r="G148"/>
  <c r="H146"/>
  <c r="G146"/>
  <c r="H145"/>
  <c r="G145"/>
  <c r="G41"/>
  <c r="G40" s="1"/>
  <c r="H40"/>
  <c r="F40"/>
  <c r="D42"/>
  <c r="H39"/>
  <c r="H38" s="1"/>
  <c r="G35"/>
  <c r="H114"/>
  <c r="G114"/>
  <c r="H109"/>
  <c r="G109"/>
  <c r="L96" i="3"/>
  <c r="L91"/>
  <c r="L88"/>
  <c r="H96"/>
  <c r="H91"/>
  <c r="H88"/>
  <c r="F96"/>
  <c r="F91"/>
  <c r="F88"/>
  <c r="G115" i="13"/>
  <c r="L47" i="8"/>
  <c r="L49"/>
  <c r="L52"/>
  <c r="L55"/>
  <c r="G47"/>
  <c r="G49"/>
  <c r="G52"/>
  <c r="G55"/>
  <c r="G81" i="6"/>
  <c r="G79"/>
  <c r="G76"/>
  <c r="G74"/>
  <c r="E62" i="9" l="1"/>
  <c r="F417" i="12" s="1"/>
  <c r="F418"/>
  <c r="H68" i="9"/>
  <c r="I420" i="12"/>
  <c r="H62" i="9"/>
  <c r="I418" i="12"/>
  <c r="D68" i="9"/>
  <c r="D24" i="14" s="1"/>
  <c r="G68" i="9"/>
  <c r="N63"/>
  <c r="N62" s="1"/>
  <c r="M62"/>
  <c r="F63"/>
  <c r="G418" i="12" s="1"/>
  <c r="D64" i="9"/>
  <c r="D63" s="1"/>
  <c r="D62" s="1"/>
  <c r="C24" i="14" s="1"/>
  <c r="C33" s="1"/>
  <c r="C35" s="1"/>
  <c r="G66" i="9"/>
  <c r="G62" s="1"/>
  <c r="F66"/>
  <c r="D41" i="7"/>
  <c r="G146" i="3"/>
  <c r="H141"/>
  <c r="G153"/>
  <c r="G156"/>
  <c r="H417" i="12" l="1"/>
  <c r="H645"/>
  <c r="I645"/>
  <c r="I417"/>
  <c r="F62" i="9"/>
  <c r="G417" i="12" s="1"/>
  <c r="K123" i="1"/>
  <c r="L123"/>
  <c r="I67" i="8"/>
  <c r="I65"/>
  <c r="G67"/>
  <c r="G65"/>
  <c r="I62"/>
  <c r="G62"/>
  <c r="I60"/>
  <c r="G60"/>
  <c r="G315" i="2"/>
  <c r="G167"/>
  <c r="G162"/>
  <c r="G159"/>
  <c r="H130"/>
  <c r="H129" s="1"/>
  <c r="G131"/>
  <c r="H198"/>
  <c r="H195"/>
  <c r="G198"/>
  <c r="G195"/>
  <c r="G215"/>
  <c r="H215"/>
  <c r="H213"/>
  <c r="G213"/>
  <c r="H209"/>
  <c r="G210"/>
  <c r="H208"/>
  <c r="G208"/>
  <c r="G239"/>
  <c r="G234"/>
  <c r="G231"/>
  <c r="H185"/>
  <c r="H191"/>
  <c r="G191"/>
  <c r="G186"/>
  <c r="H182"/>
  <c r="G183"/>
  <c r="F183"/>
  <c r="G82"/>
  <c r="G251"/>
  <c r="G246"/>
  <c r="G243"/>
  <c r="G255"/>
  <c r="H275"/>
  <c r="H270"/>
  <c r="G270"/>
  <c r="H267"/>
  <c r="G267"/>
  <c r="H227"/>
  <c r="G227"/>
  <c r="H222"/>
  <c r="G222"/>
  <c r="H219"/>
  <c r="G219"/>
  <c r="I159" i="9"/>
  <c r="H159"/>
  <c r="G159"/>
  <c r="I150"/>
  <c r="H150"/>
  <c r="G150"/>
  <c r="H156"/>
  <c r="H154"/>
  <c r="G156"/>
  <c r="G154"/>
  <c r="H146"/>
  <c r="H142"/>
  <c r="G146"/>
  <c r="G142"/>
  <c r="N143"/>
  <c r="N147"/>
  <c r="H168"/>
  <c r="G168"/>
  <c r="H164"/>
  <c r="G164"/>
  <c r="H107"/>
  <c r="H104"/>
  <c r="H100"/>
  <c r="H94"/>
  <c r="H91"/>
  <c r="H87"/>
  <c r="G232" i="12"/>
  <c r="L232"/>
  <c r="M232"/>
  <c r="G233"/>
  <c r="L233"/>
  <c r="M233"/>
  <c r="G234"/>
  <c r="H234"/>
  <c r="I234"/>
  <c r="J234"/>
  <c r="K234"/>
  <c r="L234"/>
  <c r="M234"/>
  <c r="L235"/>
  <c r="M235"/>
  <c r="F234"/>
  <c r="F233"/>
  <c r="F232"/>
  <c r="B231"/>
  <c r="B51"/>
  <c r="L47"/>
  <c r="M47"/>
  <c r="G47"/>
  <c r="F47"/>
  <c r="M48"/>
  <c r="M49"/>
  <c r="M50"/>
  <c r="G48"/>
  <c r="L48"/>
  <c r="G49"/>
  <c r="H49"/>
  <c r="I49"/>
  <c r="J49"/>
  <c r="K49"/>
  <c r="L49"/>
  <c r="L50"/>
  <c r="F49"/>
  <c r="F48"/>
  <c r="B46"/>
  <c r="H181" i="2" l="1"/>
  <c r="N142" i="9"/>
  <c r="N146"/>
  <c r="N164"/>
  <c r="N168"/>
  <c r="H146" i="3"/>
  <c r="H142"/>
  <c r="H143"/>
  <c r="G142"/>
  <c r="N142" s="1"/>
  <c r="G141"/>
  <c r="N141" s="1"/>
  <c r="H140"/>
  <c r="G140"/>
  <c r="N140" s="1"/>
  <c r="I139"/>
  <c r="H139"/>
  <c r="G139"/>
  <c r="N139" s="1"/>
  <c r="N257" i="6"/>
  <c r="N256"/>
  <c r="J255"/>
  <c r="K255"/>
  <c r="L255"/>
  <c r="I255"/>
  <c r="H255"/>
  <c r="G255"/>
  <c r="H115" i="9"/>
  <c r="G116"/>
  <c r="F115"/>
  <c r="E115"/>
  <c r="N113"/>
  <c r="N112" s="1"/>
  <c r="F113"/>
  <c r="M113" s="1"/>
  <c r="M112" s="1"/>
  <c r="H112"/>
  <c r="I394" i="12" s="1"/>
  <c r="G112" i="9"/>
  <c r="H394" i="12" s="1"/>
  <c r="F112" i="9"/>
  <c r="G394" i="12" s="1"/>
  <c r="E112" i="9"/>
  <c r="F394" i="12" s="1"/>
  <c r="N111" i="9"/>
  <c r="N110" s="1"/>
  <c r="N109" s="1"/>
  <c r="F111"/>
  <c r="D111" s="1"/>
  <c r="D110" s="1"/>
  <c r="H110"/>
  <c r="G110"/>
  <c r="H393" i="12" s="1"/>
  <c r="F110" i="9"/>
  <c r="G393" i="12" s="1"/>
  <c r="E110" i="9"/>
  <c r="F393" i="12" s="1"/>
  <c r="F109" i="9"/>
  <c r="G392" i="12" s="1"/>
  <c r="E109" i="9"/>
  <c r="F392" i="12" s="1"/>
  <c r="H109" i="9" l="1"/>
  <c r="I392" i="12" s="1"/>
  <c r="I393"/>
  <c r="E393" s="1"/>
  <c r="F114" i="9"/>
  <c r="G395" i="12"/>
  <c r="H114" i="9"/>
  <c r="I395" i="12"/>
  <c r="M111" i="9"/>
  <c r="M110" s="1"/>
  <c r="E394" i="12"/>
  <c r="D113" i="9"/>
  <c r="D112" s="1"/>
  <c r="D109" s="1"/>
  <c r="E114"/>
  <c r="F395" i="12"/>
  <c r="D116" i="9"/>
  <c r="D115" s="1"/>
  <c r="D114" s="1"/>
  <c r="K254" i="6"/>
  <c r="K253" s="1"/>
  <c r="K243"/>
  <c r="K242" s="1"/>
  <c r="K241" s="1"/>
  <c r="L254"/>
  <c r="L253" s="1"/>
  <c r="L243"/>
  <c r="L242" s="1"/>
  <c r="L241" s="1"/>
  <c r="J254"/>
  <c r="J253" s="1"/>
  <c r="J243"/>
  <c r="J242" s="1"/>
  <c r="J241" s="1"/>
  <c r="G109" i="9"/>
  <c r="H392" i="12" s="1"/>
  <c r="M109" i="9"/>
  <c r="G115"/>
  <c r="E392" i="12" l="1"/>
  <c r="D391" s="1"/>
  <c r="G114" i="9"/>
  <c r="H395" i="12"/>
  <c r="E395" s="1"/>
  <c r="C394" s="1"/>
  <c r="H607" i="2"/>
  <c r="H611"/>
  <c r="G607"/>
  <c r="G611"/>
  <c r="I203" i="9"/>
  <c r="G203"/>
  <c r="I200"/>
  <c r="I199"/>
  <c r="H199"/>
  <c r="G200"/>
  <c r="G199"/>
  <c r="I196"/>
  <c r="I195"/>
  <c r="H195"/>
  <c r="G196"/>
  <c r="G195"/>
  <c r="I565" i="2" l="1"/>
  <c r="G565"/>
  <c r="G648"/>
  <c r="G664"/>
  <c r="G661"/>
  <c r="K644"/>
  <c r="K643"/>
  <c r="K642" s="1"/>
  <c r="G644"/>
  <c r="K602"/>
  <c r="K601" s="1"/>
  <c r="G603"/>
  <c r="J543"/>
  <c r="J542" s="1"/>
  <c r="K543"/>
  <c r="K542" s="1"/>
  <c r="I545"/>
  <c r="I544"/>
  <c r="H545"/>
  <c r="H544"/>
  <c r="G537"/>
  <c r="E537"/>
  <c r="H537"/>
  <c r="J537"/>
  <c r="K537"/>
  <c r="L537"/>
  <c r="E547"/>
  <c r="F547"/>
  <c r="G547"/>
  <c r="H547"/>
  <c r="I547"/>
  <c r="D549"/>
  <c r="G545"/>
  <c r="N545" s="1"/>
  <c r="G544"/>
  <c r="N544" s="1"/>
  <c r="I172" i="6"/>
  <c r="H172"/>
  <c r="G172"/>
  <c r="I176"/>
  <c r="G176"/>
  <c r="I177"/>
  <c r="H177"/>
  <c r="G177"/>
  <c r="I183"/>
  <c r="H183"/>
  <c r="G183"/>
  <c r="I184"/>
  <c r="H184"/>
  <c r="I199" l="1"/>
  <c r="H199"/>
  <c r="G199"/>
  <c r="I204"/>
  <c r="H204"/>
  <c r="I211"/>
  <c r="H211"/>
  <c r="J365" i="2"/>
  <c r="K365"/>
  <c r="L365"/>
  <c r="G359" l="1"/>
  <c r="G354"/>
  <c r="G353"/>
  <c r="K127" i="6"/>
  <c r="H127"/>
  <c r="K136"/>
  <c r="J136"/>
  <c r="I136"/>
  <c r="H136"/>
  <c r="G136"/>
  <c r="J127"/>
  <c r="I127"/>
  <c r="H117"/>
  <c r="K117"/>
  <c r="J117"/>
  <c r="I117"/>
  <c r="G117"/>
  <c r="F117"/>
  <c r="G113"/>
  <c r="I110"/>
  <c r="I112"/>
  <c r="G112"/>
  <c r="G111"/>
  <c r="I109"/>
  <c r="G109"/>
  <c r="F109"/>
  <c r="I108"/>
  <c r="G103"/>
  <c r="I100"/>
  <c r="I44"/>
  <c r="H44"/>
  <c r="H43"/>
  <c r="G44"/>
  <c r="G43"/>
  <c r="F44"/>
  <c r="F43"/>
  <c r="E44"/>
  <c r="I48"/>
  <c r="H48"/>
  <c r="H47"/>
  <c r="G47"/>
  <c r="G48"/>
  <c r="F48"/>
  <c r="F47"/>
  <c r="E48"/>
  <c r="I53"/>
  <c r="H53"/>
  <c r="H52"/>
  <c r="G53"/>
  <c r="G52"/>
  <c r="F52"/>
  <c r="F53"/>
  <c r="E53"/>
  <c r="J56"/>
  <c r="I56"/>
  <c r="H56"/>
  <c r="G56"/>
  <c r="J58"/>
  <c r="I58"/>
  <c r="H58"/>
  <c r="G58"/>
  <c r="L369" i="2" l="1"/>
  <c r="K369"/>
  <c r="J369"/>
  <c r="L375"/>
  <c r="K375"/>
  <c r="J375"/>
  <c r="L37" i="6"/>
  <c r="K37"/>
  <c r="H37"/>
  <c r="K29"/>
  <c r="G29"/>
  <c r="K33"/>
  <c r="G33"/>
  <c r="H114" i="13"/>
  <c r="H113" s="1"/>
  <c r="H71" i="5"/>
  <c r="H70" s="1"/>
  <c r="H74"/>
  <c r="H73" s="1"/>
  <c r="H439" i="2"/>
  <c r="G439"/>
  <c r="H444"/>
  <c r="G444"/>
  <c r="H448"/>
  <c r="G448"/>
  <c r="M120" i="13"/>
  <c r="B644" i="12"/>
  <c r="E103" i="13"/>
  <c r="H103"/>
  <c r="I103"/>
  <c r="J103"/>
  <c r="K103"/>
  <c r="L103"/>
  <c r="N75"/>
  <c r="D33" i="14" l="1"/>
  <c r="D35" s="1"/>
  <c r="E25" i="13"/>
  <c r="K25"/>
  <c r="L25"/>
  <c r="J18"/>
  <c r="K18"/>
  <c r="L18"/>
  <c r="E78"/>
  <c r="F54" i="12" s="1"/>
  <c r="F78" i="13"/>
  <c r="G54" i="12" s="1"/>
  <c r="G78" i="13"/>
  <c r="H54" i="12" s="1"/>
  <c r="H78" i="13"/>
  <c r="I54" i="12" s="1"/>
  <c r="I78" i="13"/>
  <c r="J54" i="12" s="1"/>
  <c r="J78" i="13"/>
  <c r="K54" i="12" s="1"/>
  <c r="K78" i="13"/>
  <c r="L54" i="12" s="1"/>
  <c r="L78" i="13"/>
  <c r="M54" i="12" s="1"/>
  <c r="E22" i="13"/>
  <c r="F22"/>
  <c r="G22"/>
  <c r="H22"/>
  <c r="I22"/>
  <c r="J22"/>
  <c r="K22"/>
  <c r="L22"/>
  <c r="E15"/>
  <c r="F15"/>
  <c r="G15"/>
  <c r="H15"/>
  <c r="I15"/>
  <c r="J15"/>
  <c r="K15"/>
  <c r="L15"/>
  <c r="E13"/>
  <c r="I13"/>
  <c r="J13"/>
  <c r="K13"/>
  <c r="L13"/>
  <c r="N15" l="1"/>
  <c r="E93"/>
  <c r="E92" s="1"/>
  <c r="F93"/>
  <c r="F92" s="1"/>
  <c r="G93"/>
  <c r="G92" s="1"/>
  <c r="H93"/>
  <c r="H92" s="1"/>
  <c r="I93"/>
  <c r="I92" s="1"/>
  <c r="J93"/>
  <c r="J92" s="1"/>
  <c r="K93"/>
  <c r="K92" s="1"/>
  <c r="L93"/>
  <c r="L92" s="1"/>
  <c r="H81"/>
  <c r="M79"/>
  <c r="M78" s="1"/>
  <c r="D89"/>
  <c r="G88"/>
  <c r="N88" s="1"/>
  <c r="N87" s="1"/>
  <c r="D76"/>
  <c r="L87"/>
  <c r="L86" s="1"/>
  <c r="K87"/>
  <c r="K86" s="1"/>
  <c r="J87"/>
  <c r="J86" s="1"/>
  <c r="I87"/>
  <c r="I86" s="1"/>
  <c r="F87"/>
  <c r="F86" s="1"/>
  <c r="E87"/>
  <c r="E86" s="1"/>
  <c r="E83"/>
  <c r="F55" i="12" s="1"/>
  <c r="F83" i="13"/>
  <c r="G55" i="12" s="1"/>
  <c r="G83" i="13"/>
  <c r="H55" i="12" s="1"/>
  <c r="H83" i="13"/>
  <c r="I55" i="12" s="1"/>
  <c r="I83" i="13"/>
  <c r="J55" i="12" s="1"/>
  <c r="J83" i="13"/>
  <c r="K55" i="12" s="1"/>
  <c r="K83" i="13"/>
  <c r="L55" i="12" s="1"/>
  <c r="L83" i="13"/>
  <c r="M55" i="12" s="1"/>
  <c r="E81" i="13"/>
  <c r="E80" s="1"/>
  <c r="F81"/>
  <c r="G81"/>
  <c r="G80" s="1"/>
  <c r="I81"/>
  <c r="J81"/>
  <c r="K81"/>
  <c r="L81"/>
  <c r="E75"/>
  <c r="F53" i="12" s="1"/>
  <c r="F75" i="13"/>
  <c r="G53" i="12" s="1"/>
  <c r="G75" i="13"/>
  <c r="H53" i="12" s="1"/>
  <c r="H75" i="13"/>
  <c r="I53" i="12" s="1"/>
  <c r="I75" i="13"/>
  <c r="J53" i="12" s="1"/>
  <c r="J75" i="13"/>
  <c r="K53" i="12" s="1"/>
  <c r="K75" i="13"/>
  <c r="L53" i="12" s="1"/>
  <c r="L75" i="13"/>
  <c r="M53" i="12" s="1"/>
  <c r="D96" i="13"/>
  <c r="D94"/>
  <c r="D91"/>
  <c r="D84"/>
  <c r="D83" s="1"/>
  <c r="D82"/>
  <c r="D81" s="1"/>
  <c r="D79"/>
  <c r="D78" s="1"/>
  <c r="N91"/>
  <c r="N90" s="1"/>
  <c r="M91"/>
  <c r="M90" s="1"/>
  <c r="M87"/>
  <c r="K80" l="1"/>
  <c r="K120" s="1"/>
  <c r="G87"/>
  <c r="G86" s="1"/>
  <c r="L80"/>
  <c r="L120" s="1"/>
  <c r="K74"/>
  <c r="L52" i="12" s="1"/>
  <c r="G74" i="13"/>
  <c r="H52" i="12" s="1"/>
  <c r="L74" i="13"/>
  <c r="M52" i="12" s="1"/>
  <c r="H74" i="13"/>
  <c r="I52" i="12" s="1"/>
  <c r="I80" i="13"/>
  <c r="I120" s="1"/>
  <c r="J74"/>
  <c r="K52" i="12" s="1"/>
  <c r="F74" i="13"/>
  <c r="G52" i="12" s="1"/>
  <c r="I74" i="13"/>
  <c r="J52" i="12" s="1"/>
  <c r="E74" i="13"/>
  <c r="F52" i="12" s="1"/>
  <c r="H80" i="13"/>
  <c r="H120" s="1"/>
  <c r="D80"/>
  <c r="D90"/>
  <c r="D95"/>
  <c r="D93"/>
  <c r="D22"/>
  <c r="N89"/>
  <c r="D77"/>
  <c r="D88"/>
  <c r="H87"/>
  <c r="H86" s="1"/>
  <c r="J80"/>
  <c r="J120" s="1"/>
  <c r="F80"/>
  <c r="F120" s="1"/>
  <c r="N86"/>
  <c r="M86"/>
  <c r="H644" i="12" l="1"/>
  <c r="M644"/>
  <c r="L644"/>
  <c r="J644"/>
  <c r="K644"/>
  <c r="I644"/>
  <c r="D92" i="13"/>
  <c r="D75"/>
  <c r="D74" s="1"/>
  <c r="D15"/>
  <c r="P77"/>
  <c r="D87"/>
  <c r="D86" s="1"/>
  <c r="P76"/>
  <c r="U109" i="4"/>
  <c r="T109"/>
  <c r="S109"/>
  <c r="R109"/>
  <c r="Q109"/>
  <c r="P109"/>
  <c r="O109"/>
  <c r="N109"/>
  <c r="N580" i="12" s="1"/>
  <c r="K114" i="4"/>
  <c r="L114"/>
  <c r="K113"/>
  <c r="L113"/>
  <c r="J8"/>
  <c r="I8"/>
  <c r="H8"/>
  <c r="G8"/>
  <c r="F32"/>
  <c r="G50" i="12" s="1"/>
  <c r="E32" i="4"/>
  <c r="F50" i="12" s="1"/>
  <c r="F30" i="4"/>
  <c r="E30"/>
  <c r="F44"/>
  <c r="G235" i="12" s="1"/>
  <c r="E44" i="4"/>
  <c r="F235" i="12" s="1"/>
  <c r="F42" i="4"/>
  <c r="E42"/>
  <c r="K115" l="1"/>
  <c r="L115"/>
  <c r="E41"/>
  <c r="E113" s="1"/>
  <c r="E29"/>
  <c r="E114" s="1"/>
  <c r="F41"/>
  <c r="F113" s="1"/>
  <c r="F29"/>
  <c r="F114" s="1"/>
  <c r="J11"/>
  <c r="I11"/>
  <c r="H11"/>
  <c r="G11"/>
  <c r="H13"/>
  <c r="I13"/>
  <c r="J13"/>
  <c r="G13"/>
  <c r="H15"/>
  <c r="I15"/>
  <c r="J15"/>
  <c r="G15"/>
  <c r="H18"/>
  <c r="I18"/>
  <c r="J18"/>
  <c r="G18"/>
  <c r="H20"/>
  <c r="I20"/>
  <c r="J20"/>
  <c r="G20"/>
  <c r="E115" l="1"/>
  <c r="F115"/>
  <c r="H36"/>
  <c r="I233" i="12" s="1"/>
  <c r="I36" i="4"/>
  <c r="J233" i="12" s="1"/>
  <c r="J36" i="4"/>
  <c r="K233" i="12" s="1"/>
  <c r="G36" i="4"/>
  <c r="H233" i="12" s="1"/>
  <c r="H206" i="2"/>
  <c r="H205" s="1"/>
  <c r="I624" i="12" l="1"/>
  <c r="J624"/>
  <c r="K624"/>
  <c r="I643" l="1"/>
  <c r="J643"/>
  <c r="K643"/>
  <c r="L643"/>
  <c r="M643"/>
  <c r="H643"/>
  <c r="B643"/>
  <c r="D45" i="4"/>
  <c r="D44" s="1"/>
  <c r="J44"/>
  <c r="K235" i="12" s="1"/>
  <c r="I44" i="4"/>
  <c r="J235" i="12" s="1"/>
  <c r="H44" i="4"/>
  <c r="I235" i="12" s="1"/>
  <c r="G44" i="4"/>
  <c r="H235" i="12" s="1"/>
  <c r="D43" i="4"/>
  <c r="J42"/>
  <c r="I42"/>
  <c r="H42"/>
  <c r="G42"/>
  <c r="N40"/>
  <c r="N39" s="1"/>
  <c r="D40"/>
  <c r="D39" s="1"/>
  <c r="J39"/>
  <c r="J35" s="1"/>
  <c r="I39"/>
  <c r="I35" s="1"/>
  <c r="H39"/>
  <c r="H35" s="1"/>
  <c r="G39"/>
  <c r="N38"/>
  <c r="M38"/>
  <c r="M36" s="1"/>
  <c r="M35" s="1"/>
  <c r="D38"/>
  <c r="N37"/>
  <c r="D37"/>
  <c r="H7" l="1"/>
  <c r="I232" i="12"/>
  <c r="J7" i="4"/>
  <c r="K232" i="12"/>
  <c r="I7" i="4"/>
  <c r="J232" i="12"/>
  <c r="N36" i="4"/>
  <c r="N35" s="1"/>
  <c r="I41"/>
  <c r="I113" s="1"/>
  <c r="D42"/>
  <c r="D41" s="1"/>
  <c r="D113" s="1"/>
  <c r="D36"/>
  <c r="D35" s="1"/>
  <c r="D7" s="1"/>
  <c r="G41"/>
  <c r="G113" s="1"/>
  <c r="H41"/>
  <c r="H113" s="1"/>
  <c r="G35"/>
  <c r="J41"/>
  <c r="J113" s="1"/>
  <c r="E8"/>
  <c r="F8"/>
  <c r="K8"/>
  <c r="L8"/>
  <c r="E11"/>
  <c r="F11"/>
  <c r="K11"/>
  <c r="L11"/>
  <c r="E12"/>
  <c r="F12"/>
  <c r="G12"/>
  <c r="H12"/>
  <c r="I12"/>
  <c r="J12"/>
  <c r="K12"/>
  <c r="L12"/>
  <c r="E13"/>
  <c r="F13"/>
  <c r="K13"/>
  <c r="L13"/>
  <c r="E15"/>
  <c r="E14" s="1"/>
  <c r="F15"/>
  <c r="F14" s="1"/>
  <c r="G14"/>
  <c r="H14"/>
  <c r="I14"/>
  <c r="J14"/>
  <c r="K15"/>
  <c r="K14" s="1"/>
  <c r="L15"/>
  <c r="L14" s="1"/>
  <c r="E18"/>
  <c r="E17" s="1"/>
  <c r="F18"/>
  <c r="F17" s="1"/>
  <c r="G17"/>
  <c r="H17"/>
  <c r="I17"/>
  <c r="J17"/>
  <c r="K18"/>
  <c r="K17" s="1"/>
  <c r="L18"/>
  <c r="L17" s="1"/>
  <c r="E20"/>
  <c r="E19" s="1"/>
  <c r="F20"/>
  <c r="F19" s="1"/>
  <c r="G19"/>
  <c r="H19"/>
  <c r="I19"/>
  <c r="J19"/>
  <c r="K20"/>
  <c r="K19" s="1"/>
  <c r="L20"/>
  <c r="L19" s="1"/>
  <c r="D33"/>
  <c r="Q32" s="1"/>
  <c r="J32"/>
  <c r="K50" i="12" s="1"/>
  <c r="I32" i="4"/>
  <c r="J50" i="12" s="1"/>
  <c r="H32" i="4"/>
  <c r="I50" i="12" s="1"/>
  <c r="G32" i="4"/>
  <c r="H50" i="12" s="1"/>
  <c r="D31" i="4"/>
  <c r="D30" s="1"/>
  <c r="J30"/>
  <c r="I30"/>
  <c r="H30"/>
  <c r="G30"/>
  <c r="N28"/>
  <c r="N27" s="1"/>
  <c r="D28"/>
  <c r="J27"/>
  <c r="I27"/>
  <c r="H27"/>
  <c r="G27"/>
  <c r="N26"/>
  <c r="M26"/>
  <c r="D26"/>
  <c r="D25"/>
  <c r="D12" s="1"/>
  <c r="N24"/>
  <c r="D24"/>
  <c r="J23"/>
  <c r="K48" i="12" s="1"/>
  <c r="I23" i="4"/>
  <c r="J48" i="12" s="1"/>
  <c r="H23" i="4"/>
  <c r="I48" i="12" s="1"/>
  <c r="G23" i="4"/>
  <c r="H48" i="12" s="1"/>
  <c r="L7" i="4"/>
  <c r="K7"/>
  <c r="F7"/>
  <c r="E7"/>
  <c r="K177" i="12"/>
  <c r="L177"/>
  <c r="M177"/>
  <c r="K178"/>
  <c r="L178"/>
  <c r="M178"/>
  <c r="K179"/>
  <c r="L179"/>
  <c r="M179"/>
  <c r="K180"/>
  <c r="L180"/>
  <c r="M180"/>
  <c r="B176"/>
  <c r="J172"/>
  <c r="K172"/>
  <c r="L172"/>
  <c r="M172"/>
  <c r="J173"/>
  <c r="K173"/>
  <c r="L173"/>
  <c r="M173"/>
  <c r="J174"/>
  <c r="K174"/>
  <c r="L174"/>
  <c r="M174"/>
  <c r="J175"/>
  <c r="K175"/>
  <c r="L175"/>
  <c r="M175"/>
  <c r="B171"/>
  <c r="I167"/>
  <c r="J167"/>
  <c r="K167"/>
  <c r="L167"/>
  <c r="M167"/>
  <c r="I168"/>
  <c r="J168"/>
  <c r="K168"/>
  <c r="L168"/>
  <c r="M168"/>
  <c r="I169"/>
  <c r="J169"/>
  <c r="K169"/>
  <c r="L169"/>
  <c r="M169"/>
  <c r="J170"/>
  <c r="K170"/>
  <c r="L170"/>
  <c r="M170"/>
  <c r="B166"/>
  <c r="G581" i="2"/>
  <c r="L642" i="12"/>
  <c r="M642"/>
  <c r="B642"/>
  <c r="G7" i="4" l="1"/>
  <c r="H232" i="12"/>
  <c r="D8" i="4"/>
  <c r="D6" s="1"/>
  <c r="D13"/>
  <c r="Q31"/>
  <c r="Q33" s="1"/>
  <c r="N23"/>
  <c r="N22" s="1"/>
  <c r="J22"/>
  <c r="K47" i="12" s="1"/>
  <c r="H22" i="4"/>
  <c r="I47" i="12" s="1"/>
  <c r="I22" i="4"/>
  <c r="J47" i="12" s="1"/>
  <c r="D27" i="4"/>
  <c r="D15"/>
  <c r="D14" s="1"/>
  <c r="D32"/>
  <c r="D29" s="1"/>
  <c r="D114" s="1"/>
  <c r="D115" s="1"/>
  <c r="D20"/>
  <c r="D19" s="1"/>
  <c r="D18"/>
  <c r="D11"/>
  <c r="M23"/>
  <c r="M22" s="1"/>
  <c r="H16"/>
  <c r="K16"/>
  <c r="K116" s="1"/>
  <c r="G16"/>
  <c r="I10"/>
  <c r="E10"/>
  <c r="N8"/>
  <c r="L16"/>
  <c r="L116" s="1"/>
  <c r="J10"/>
  <c r="F10"/>
  <c r="K10"/>
  <c r="G10"/>
  <c r="L10"/>
  <c r="H10"/>
  <c r="F16"/>
  <c r="F116" s="1"/>
  <c r="J16"/>
  <c r="I16"/>
  <c r="E16"/>
  <c r="E116" s="1"/>
  <c r="D17"/>
  <c r="H29"/>
  <c r="G29"/>
  <c r="G114" s="1"/>
  <c r="G115" s="1"/>
  <c r="I29"/>
  <c r="I114" s="1"/>
  <c r="I115" s="1"/>
  <c r="G22"/>
  <c r="H47" i="12" s="1"/>
  <c r="J29" i="4"/>
  <c r="J114" s="1"/>
  <c r="J115" s="1"/>
  <c r="J116" s="1"/>
  <c r="D23"/>
  <c r="M11"/>
  <c r="M7"/>
  <c r="M12"/>
  <c r="N13"/>
  <c r="N12"/>
  <c r="M13"/>
  <c r="N7"/>
  <c r="N11"/>
  <c r="I53"/>
  <c r="J53"/>
  <c r="H53"/>
  <c r="I100"/>
  <c r="I99" s="1"/>
  <c r="J100"/>
  <c r="J99" s="1"/>
  <c r="H100"/>
  <c r="H99" s="1"/>
  <c r="N101"/>
  <c r="N53" s="1"/>
  <c r="D101"/>
  <c r="D53" s="1"/>
  <c r="K88" i="12"/>
  <c r="L88"/>
  <c r="M88"/>
  <c r="B86"/>
  <c r="G261" i="3"/>
  <c r="G256"/>
  <c r="G250"/>
  <c r="G243"/>
  <c r="Q92" i="4"/>
  <c r="H115" l="1"/>
  <c r="H114"/>
  <c r="D10"/>
  <c r="I116"/>
  <c r="H116"/>
  <c r="G116"/>
  <c r="D22"/>
  <c r="D16"/>
  <c r="D116" s="1"/>
  <c r="N15"/>
  <c r="N14" s="1"/>
  <c r="M15"/>
  <c r="M14" s="1"/>
  <c r="E9"/>
  <c r="H9"/>
  <c r="I9"/>
  <c r="F9"/>
  <c r="D9"/>
  <c r="M10"/>
  <c r="J9"/>
  <c r="G9"/>
  <c r="L9"/>
  <c r="N10"/>
  <c r="K9"/>
  <c r="N100"/>
  <c r="N99" s="1"/>
  <c r="D100"/>
  <c r="D99" s="1"/>
  <c r="L97"/>
  <c r="K97"/>
  <c r="J97"/>
  <c r="I97"/>
  <c r="H97"/>
  <c r="H109" s="1"/>
  <c r="J56" l="1"/>
  <c r="J109"/>
  <c r="I56"/>
  <c r="I109"/>
  <c r="H56"/>
  <c r="P88"/>
  <c r="M9"/>
  <c r="N9"/>
  <c r="G87"/>
  <c r="G92"/>
  <c r="G97"/>
  <c r="D97" s="1"/>
  <c r="G109" l="1"/>
  <c r="M97"/>
  <c r="N97"/>
  <c r="G127" i="6" l="1"/>
  <c r="F110" l="1"/>
  <c r="F100"/>
  <c r="E117"/>
  <c r="E110"/>
  <c r="E100"/>
  <c r="H76" i="8" l="1"/>
  <c r="H73"/>
  <c r="H71"/>
  <c r="G76"/>
  <c r="G73"/>
  <c r="G71"/>
  <c r="H85"/>
  <c r="G85"/>
  <c r="H82"/>
  <c r="G82"/>
  <c r="H80"/>
  <c r="G80"/>
  <c r="N104" i="9"/>
  <c r="D104"/>
  <c r="N103"/>
  <c r="D103"/>
  <c r="L102"/>
  <c r="K102"/>
  <c r="L89" i="12" s="1"/>
  <c r="J102" i="9"/>
  <c r="K89" i="12" s="1"/>
  <c r="I102" i="9"/>
  <c r="J89" i="12" s="1"/>
  <c r="H102" i="9"/>
  <c r="G102"/>
  <c r="H89" i="12" s="1"/>
  <c r="F102" i="9"/>
  <c r="F101" s="1"/>
  <c r="E102"/>
  <c r="E101" s="1"/>
  <c r="N100"/>
  <c r="D100"/>
  <c r="N99"/>
  <c r="D99"/>
  <c r="L98"/>
  <c r="K98"/>
  <c r="J98"/>
  <c r="I98"/>
  <c r="I97" s="1"/>
  <c r="J88" i="12" s="1"/>
  <c r="H98" i="9"/>
  <c r="H97" s="1"/>
  <c r="I88" i="12" s="1"/>
  <c r="G98" i="9"/>
  <c r="G97" s="1"/>
  <c r="H88" i="12" s="1"/>
  <c r="F98" i="9"/>
  <c r="F97" s="1"/>
  <c r="E98"/>
  <c r="E97" s="1"/>
  <c r="N91"/>
  <c r="N90"/>
  <c r="N87"/>
  <c r="N86"/>
  <c r="D91"/>
  <c r="D90"/>
  <c r="L89"/>
  <c r="K89"/>
  <c r="J89"/>
  <c r="I89"/>
  <c r="H89"/>
  <c r="G89"/>
  <c r="F89"/>
  <c r="E89"/>
  <c r="E85"/>
  <c r="F85"/>
  <c r="D87"/>
  <c r="D86"/>
  <c r="H85"/>
  <c r="I85"/>
  <c r="J85"/>
  <c r="K85"/>
  <c r="L85"/>
  <c r="G85"/>
  <c r="F107"/>
  <c r="D107" s="1"/>
  <c r="D106" s="1"/>
  <c r="D105" s="1"/>
  <c r="L106"/>
  <c r="M90" i="12" s="1"/>
  <c r="K106" i="9"/>
  <c r="L90" i="12" s="1"/>
  <c r="J106" i="9"/>
  <c r="K90" i="12" s="1"/>
  <c r="I106" i="9"/>
  <c r="H106"/>
  <c r="G106"/>
  <c r="E106"/>
  <c r="E105" s="1"/>
  <c r="E9" i="7"/>
  <c r="I9"/>
  <c r="J9"/>
  <c r="L9"/>
  <c r="J13"/>
  <c r="J8"/>
  <c r="J72"/>
  <c r="I686" i="2"/>
  <c r="J686"/>
  <c r="K686"/>
  <c r="L686"/>
  <c r="L442" i="12"/>
  <c r="M442"/>
  <c r="L443"/>
  <c r="M443"/>
  <c r="G444"/>
  <c r="H444"/>
  <c r="I444"/>
  <c r="J444"/>
  <c r="K444"/>
  <c r="L444"/>
  <c r="M444"/>
  <c r="G445"/>
  <c r="H445"/>
  <c r="I445"/>
  <c r="J445"/>
  <c r="K445"/>
  <c r="L445"/>
  <c r="M445"/>
  <c r="F445"/>
  <c r="F444"/>
  <c r="B441"/>
  <c r="H388"/>
  <c r="I388"/>
  <c r="J388"/>
  <c r="K388"/>
  <c r="L388"/>
  <c r="M388"/>
  <c r="F388"/>
  <c r="H389"/>
  <c r="I389"/>
  <c r="J389"/>
  <c r="K389"/>
  <c r="L389"/>
  <c r="M389"/>
  <c r="F389"/>
  <c r="B386"/>
  <c r="J84" i="9" l="1"/>
  <c r="K84"/>
  <c r="L84"/>
  <c r="K105"/>
  <c r="J105"/>
  <c r="L105"/>
  <c r="F106"/>
  <c r="F105" s="1"/>
  <c r="J101"/>
  <c r="J96" s="1"/>
  <c r="K87" i="12" s="1"/>
  <c r="I105" i="9"/>
  <c r="J90" i="12"/>
  <c r="H101" i="9"/>
  <c r="H96" s="1"/>
  <c r="I87" i="12" s="1"/>
  <c r="I89"/>
  <c r="L101" i="9"/>
  <c r="L96" s="1"/>
  <c r="M87" i="12" s="1"/>
  <c r="M89"/>
  <c r="K101" i="9"/>
  <c r="K96" s="1"/>
  <c r="L87" i="12" s="1"/>
  <c r="H105" i="9"/>
  <c r="I90" i="12"/>
  <c r="G105" i="9"/>
  <c r="H90" i="12"/>
  <c r="J7" i="7"/>
  <c r="F96" i="9"/>
  <c r="D102"/>
  <c r="D101" s="1"/>
  <c r="N102"/>
  <c r="N101" s="1"/>
  <c r="D98"/>
  <c r="D97" s="1"/>
  <c r="G101"/>
  <c r="G96" s="1"/>
  <c r="H87" i="12" s="1"/>
  <c r="M102" i="9"/>
  <c r="M101" s="1"/>
  <c r="I101"/>
  <c r="I96" s="1"/>
  <c r="J87" i="12" s="1"/>
  <c r="E96" i="9"/>
  <c r="N98"/>
  <c r="N97" s="1"/>
  <c r="M98"/>
  <c r="M97" s="1"/>
  <c r="D89"/>
  <c r="D85"/>
  <c r="G81"/>
  <c r="P58"/>
  <c r="H48"/>
  <c r="G46"/>
  <c r="P46" s="1"/>
  <c r="G41"/>
  <c r="P34"/>
  <c r="H322" i="2"/>
  <c r="H319" s="1"/>
  <c r="G323"/>
  <c r="G318"/>
  <c r="H202"/>
  <c r="H199" s="1"/>
  <c r="I202"/>
  <c r="I199" s="1"/>
  <c r="J202"/>
  <c r="J199" s="1"/>
  <c r="H194"/>
  <c r="I194"/>
  <c r="J443" i="12" s="1"/>
  <c r="J194" i="2"/>
  <c r="H197"/>
  <c r="I197"/>
  <c r="J197"/>
  <c r="H385"/>
  <c r="G385"/>
  <c r="G382"/>
  <c r="F382"/>
  <c r="F380"/>
  <c r="I254"/>
  <c r="J178" i="12" s="1"/>
  <c r="I257" i="2"/>
  <c r="J179" i="12" s="1"/>
  <c r="I262" i="2"/>
  <c r="H263"/>
  <c r="G263"/>
  <c r="H258"/>
  <c r="G258"/>
  <c r="H255"/>
  <c r="H176" i="7"/>
  <c r="H178"/>
  <c r="G178"/>
  <c r="H171"/>
  <c r="H190" i="2"/>
  <c r="G275"/>
  <c r="H287"/>
  <c r="G287"/>
  <c r="F222"/>
  <c r="E220"/>
  <c r="F219"/>
  <c r="E219"/>
  <c r="H212"/>
  <c r="H214"/>
  <c r="G237"/>
  <c r="G232"/>
  <c r="G179"/>
  <c r="G177"/>
  <c r="G174"/>
  <c r="G172"/>
  <c r="G171"/>
  <c r="G128" i="7"/>
  <c r="F128"/>
  <c r="G123"/>
  <c r="F123"/>
  <c r="G120"/>
  <c r="I30"/>
  <c r="I29" s="1"/>
  <c r="G31"/>
  <c r="G26"/>
  <c r="E8"/>
  <c r="K8"/>
  <c r="L8"/>
  <c r="D90"/>
  <c r="D89" s="1"/>
  <c r="D86" s="1"/>
  <c r="D85"/>
  <c r="D84" s="1"/>
  <c r="D83"/>
  <c r="D82"/>
  <c r="D78"/>
  <c r="D77" s="1"/>
  <c r="D74" s="1"/>
  <c r="D73"/>
  <c r="D72" s="1"/>
  <c r="D71"/>
  <c r="D70"/>
  <c r="J75"/>
  <c r="J77"/>
  <c r="J69"/>
  <c r="J68" s="1"/>
  <c r="H134" i="9"/>
  <c r="I134"/>
  <c r="J134"/>
  <c r="K134"/>
  <c r="L134"/>
  <c r="G137"/>
  <c r="G135"/>
  <c r="F135"/>
  <c r="G132"/>
  <c r="G130"/>
  <c r="G129"/>
  <c r="F132"/>
  <c r="F129"/>
  <c r="E132"/>
  <c r="E16" s="1"/>
  <c r="E129"/>
  <c r="E12" s="1"/>
  <c r="F130"/>
  <c r="H187" i="2" l="1"/>
  <c r="I170" i="12"/>
  <c r="I259" i="2"/>
  <c r="J180" i="12"/>
  <c r="J74" i="7"/>
  <c r="D69"/>
  <c r="D68" s="1"/>
  <c r="D81"/>
  <c r="D80" s="1"/>
  <c r="I253" i="2"/>
  <c r="J177" i="12" s="1"/>
  <c r="I193" i="2"/>
  <c r="H193"/>
  <c r="I443" i="12"/>
  <c r="J193" i="2"/>
  <c r="K443" i="12"/>
  <c r="D96" i="9"/>
  <c r="N96"/>
  <c r="M96"/>
  <c r="H211" i="2"/>
  <c r="E93" i="5"/>
  <c r="E92" s="1"/>
  <c r="E91" s="1"/>
  <c r="F93"/>
  <c r="F92" s="1"/>
  <c r="F91" s="1"/>
  <c r="G93"/>
  <c r="G92" s="1"/>
  <c r="G91" s="1"/>
  <c r="H93"/>
  <c r="H92" s="1"/>
  <c r="H91" s="1"/>
  <c r="I93"/>
  <c r="I92" s="1"/>
  <c r="I91" s="1"/>
  <c r="J93"/>
  <c r="J92" s="1"/>
  <c r="J91" s="1"/>
  <c r="K93"/>
  <c r="K92" s="1"/>
  <c r="K91" s="1"/>
  <c r="L93"/>
  <c r="L92" s="1"/>
  <c r="L91" s="1"/>
  <c r="G96"/>
  <c r="G95" s="1"/>
  <c r="G89" s="1"/>
  <c r="M97"/>
  <c r="M96" s="1"/>
  <c r="M95" s="1"/>
  <c r="D97"/>
  <c r="D96" s="1"/>
  <c r="D95" s="1"/>
  <c r="D89" s="1"/>
  <c r="L96"/>
  <c r="L95" s="1"/>
  <c r="L89" s="1"/>
  <c r="K96"/>
  <c r="K95" s="1"/>
  <c r="K89" s="1"/>
  <c r="J96"/>
  <c r="J95" s="1"/>
  <c r="J89" s="1"/>
  <c r="J88" s="1"/>
  <c r="I96"/>
  <c r="I95" s="1"/>
  <c r="I89" s="1"/>
  <c r="H96"/>
  <c r="H95" s="1"/>
  <c r="H89" s="1"/>
  <c r="F96"/>
  <c r="F95" s="1"/>
  <c r="F89" s="1"/>
  <c r="E96"/>
  <c r="E95" s="1"/>
  <c r="E89" s="1"/>
  <c r="M91"/>
  <c r="G252" i="3"/>
  <c r="G247"/>
  <c r="G263"/>
  <c r="G258"/>
  <c r="G186"/>
  <c r="G184"/>
  <c r="G181"/>
  <c r="G179"/>
  <c r="G178"/>
  <c r="H174"/>
  <c r="G174"/>
  <c r="H172"/>
  <c r="G172"/>
  <c r="H169"/>
  <c r="G169"/>
  <c r="H165"/>
  <c r="G165"/>
  <c r="H162"/>
  <c r="G162"/>
  <c r="J442" i="12" l="1"/>
  <c r="J642"/>
  <c r="I442"/>
  <c r="I642"/>
  <c r="K442"/>
  <c r="K642"/>
  <c r="L88" i="5"/>
  <c r="K88"/>
  <c r="I88"/>
  <c r="H88"/>
  <c r="G88"/>
  <c r="D88"/>
  <c r="F88"/>
  <c r="E88"/>
  <c r="D93"/>
  <c r="D92" s="1"/>
  <c r="D91" s="1"/>
  <c r="N97"/>
  <c r="N96" s="1"/>
  <c r="N95" s="1"/>
  <c r="M92" s="1"/>
  <c r="N93"/>
  <c r="N92" s="1"/>
  <c r="N91" s="1"/>
  <c r="E140" i="6"/>
  <c r="E176"/>
  <c r="E183"/>
  <c r="E152" s="1"/>
  <c r="F172"/>
  <c r="H176"/>
  <c r="F176"/>
  <c r="G184"/>
  <c r="G652" i="2" l="1"/>
  <c r="G660"/>
  <c r="D671" l="1"/>
  <c r="G670"/>
  <c r="G669" s="1"/>
  <c r="D669" s="1"/>
  <c r="H246" i="9"/>
  <c r="G246"/>
  <c r="H241"/>
  <c r="G241"/>
  <c r="H238"/>
  <c r="G238"/>
  <c r="D670" i="2" l="1"/>
  <c r="G42" i="3"/>
  <c r="I42" l="1"/>
  <c r="H42"/>
  <c r="H35"/>
  <c r="G35"/>
  <c r="G36"/>
  <c r="H29"/>
  <c r="G30"/>
  <c r="G29"/>
  <c r="G612" i="2"/>
  <c r="G608"/>
  <c r="G653" i="12"/>
  <c r="G384" l="1"/>
  <c r="H384"/>
  <c r="I384"/>
  <c r="J384"/>
  <c r="K384"/>
  <c r="L384"/>
  <c r="F384"/>
  <c r="B381"/>
  <c r="G379"/>
  <c r="H379"/>
  <c r="I379"/>
  <c r="J379"/>
  <c r="K379"/>
  <c r="F379"/>
  <c r="B376"/>
  <c r="E384" l="1"/>
  <c r="E107" i="7" l="1"/>
  <c r="F107"/>
  <c r="I318" i="2"/>
  <c r="I317" s="1"/>
  <c r="I314"/>
  <c r="E375"/>
  <c r="J374"/>
  <c r="J373" s="1"/>
  <c r="K374"/>
  <c r="L374"/>
  <c r="K368"/>
  <c r="L368"/>
  <c r="J432"/>
  <c r="J431" s="1"/>
  <c r="I433"/>
  <c r="H433"/>
  <c r="H430"/>
  <c r="G430"/>
  <c r="I429"/>
  <c r="I427"/>
  <c r="H428"/>
  <c r="G428"/>
  <c r="J423"/>
  <c r="J422" s="1"/>
  <c r="I424"/>
  <c r="H424"/>
  <c r="H421"/>
  <c r="I420"/>
  <c r="I418"/>
  <c r="H419"/>
  <c r="G421"/>
  <c r="G419"/>
  <c r="E418"/>
  <c r="I406"/>
  <c r="H406"/>
  <c r="E403"/>
  <c r="H403"/>
  <c r="G403"/>
  <c r="H401"/>
  <c r="G401"/>
  <c r="I396"/>
  <c r="I393" s="1"/>
  <c r="H397"/>
  <c r="G397"/>
  <c r="L367" l="1"/>
  <c r="K373"/>
  <c r="L373"/>
  <c r="J367"/>
  <c r="I313"/>
  <c r="E373"/>
  <c r="K367"/>
  <c r="I426"/>
  <c r="I417"/>
  <c r="E20" i="7"/>
  <c r="F20"/>
  <c r="I20"/>
  <c r="J20"/>
  <c r="K20"/>
  <c r="L20"/>
  <c r="E14"/>
  <c r="F14"/>
  <c r="I14"/>
  <c r="J14"/>
  <c r="K14"/>
  <c r="L14"/>
  <c r="E13"/>
  <c r="L13"/>
  <c r="H12"/>
  <c r="I12"/>
  <c r="J12"/>
  <c r="K12"/>
  <c r="L12"/>
  <c r="H103"/>
  <c r="D104"/>
  <c r="D103" s="1"/>
  <c r="K103"/>
  <c r="J103"/>
  <c r="I103"/>
  <c r="G103"/>
  <c r="F103"/>
  <c r="E103"/>
  <c r="D102"/>
  <c r="G100"/>
  <c r="K100"/>
  <c r="J100"/>
  <c r="I100"/>
  <c r="I99" s="1"/>
  <c r="F100"/>
  <c r="E100"/>
  <c r="D98"/>
  <c r="D97" s="1"/>
  <c r="N97"/>
  <c r="M97"/>
  <c r="K97"/>
  <c r="J97"/>
  <c r="I97"/>
  <c r="H97"/>
  <c r="G97"/>
  <c r="F97"/>
  <c r="E97"/>
  <c r="D96"/>
  <c r="N95"/>
  <c r="N93" s="1"/>
  <c r="N92" s="1"/>
  <c r="M95"/>
  <c r="M93" s="1"/>
  <c r="M92" s="1"/>
  <c r="D94"/>
  <c r="L93"/>
  <c r="K93"/>
  <c r="K92" s="1"/>
  <c r="J93"/>
  <c r="J92" s="1"/>
  <c r="I93"/>
  <c r="I92" s="1"/>
  <c r="F93"/>
  <c r="E93"/>
  <c r="F92" l="1"/>
  <c r="E99"/>
  <c r="F99"/>
  <c r="K99"/>
  <c r="J99"/>
  <c r="E92"/>
  <c r="G99"/>
  <c r="H100"/>
  <c r="H99" s="1"/>
  <c r="D101"/>
  <c r="D100" s="1"/>
  <c r="D99" s="1"/>
  <c r="H93"/>
  <c r="H92" s="1"/>
  <c r="D95"/>
  <c r="D93" s="1"/>
  <c r="D92" s="1"/>
  <c r="G93"/>
  <c r="G92" s="1"/>
  <c r="G598" i="12" l="1"/>
  <c r="E23" i="3"/>
  <c r="J23"/>
  <c r="K23"/>
  <c r="E20"/>
  <c r="F20"/>
  <c r="G20"/>
  <c r="H20"/>
  <c r="I20"/>
  <c r="J20"/>
  <c r="K20"/>
  <c r="L20"/>
  <c r="E14"/>
  <c r="F14"/>
  <c r="G14"/>
  <c r="H14"/>
  <c r="I14"/>
  <c r="J14"/>
  <c r="K14"/>
  <c r="L14"/>
  <c r="E13"/>
  <c r="F13"/>
  <c r="E111"/>
  <c r="F383" i="12" s="1"/>
  <c r="F111" i="3"/>
  <c r="G383" i="12" s="1"/>
  <c r="G111" i="3"/>
  <c r="H383" i="12" s="1"/>
  <c r="H111" i="3"/>
  <c r="I383" i="12" s="1"/>
  <c r="I111" i="3"/>
  <c r="J383" i="12" s="1"/>
  <c r="J111" i="3"/>
  <c r="K383" i="12" s="1"/>
  <c r="K111" i="3"/>
  <c r="L383" i="12" s="1"/>
  <c r="L111" i="3"/>
  <c r="D114"/>
  <c r="D14" s="1"/>
  <c r="D121"/>
  <c r="D120" s="1"/>
  <c r="L120"/>
  <c r="K120"/>
  <c r="L385" i="12" s="1"/>
  <c r="J120" i="3"/>
  <c r="K385" i="12" s="1"/>
  <c r="I120" i="3"/>
  <c r="J385" i="12" s="1"/>
  <c r="H120" i="3"/>
  <c r="I385" i="12" s="1"/>
  <c r="G120" i="3"/>
  <c r="H385" i="12" s="1"/>
  <c r="F120" i="3"/>
  <c r="G385" i="12" s="1"/>
  <c r="E120" i="3"/>
  <c r="F385" i="12" s="1"/>
  <c r="D119" i="3"/>
  <c r="D118" s="1"/>
  <c r="L118"/>
  <c r="K118"/>
  <c r="J118"/>
  <c r="I118"/>
  <c r="H118"/>
  <c r="G118"/>
  <c r="F118"/>
  <c r="E118"/>
  <c r="N116"/>
  <c r="N115" s="1"/>
  <c r="M116"/>
  <c r="M115" s="1"/>
  <c r="F115"/>
  <c r="L115"/>
  <c r="K115"/>
  <c r="J115"/>
  <c r="I115"/>
  <c r="H115"/>
  <c r="G115"/>
  <c r="E115"/>
  <c r="N113"/>
  <c r="M113"/>
  <c r="D113"/>
  <c r="N112"/>
  <c r="M112"/>
  <c r="D112"/>
  <c r="M111" l="1"/>
  <c r="M110" s="1"/>
  <c r="J117"/>
  <c r="E385" i="12"/>
  <c r="C384" s="1"/>
  <c r="E383"/>
  <c r="D111" i="3"/>
  <c r="L110"/>
  <c r="H110"/>
  <c r="I110"/>
  <c r="E110"/>
  <c r="F382" i="12" s="1"/>
  <c r="J110" i="3"/>
  <c r="K382" i="12" s="1"/>
  <c r="F110" i="3"/>
  <c r="G382" i="12" s="1"/>
  <c r="K110" i="3"/>
  <c r="L382" i="12" s="1"/>
  <c r="G110" i="3"/>
  <c r="H382" i="12" s="1"/>
  <c r="K117" i="3"/>
  <c r="L117"/>
  <c r="H117"/>
  <c r="G117"/>
  <c r="F117"/>
  <c r="N111"/>
  <c r="N110" s="1"/>
  <c r="D116"/>
  <c r="D115" s="1"/>
  <c r="E117"/>
  <c r="I117"/>
  <c r="D117"/>
  <c r="I382" i="12" l="1"/>
  <c r="D110" i="3"/>
  <c r="J382" i="12"/>
  <c r="N200" i="9"/>
  <c r="N91" i="8"/>
  <c r="N62"/>
  <c r="N111" i="13"/>
  <c r="H607" i="12"/>
  <c r="I627"/>
  <c r="J641"/>
  <c r="K641"/>
  <c r="L641"/>
  <c r="M641"/>
  <c r="B641"/>
  <c r="G15" i="5"/>
  <c r="J492" i="12"/>
  <c r="K492"/>
  <c r="L492"/>
  <c r="M492"/>
  <c r="J493"/>
  <c r="K493"/>
  <c r="L493"/>
  <c r="M493"/>
  <c r="G494"/>
  <c r="H494"/>
  <c r="I494"/>
  <c r="J494"/>
  <c r="K494"/>
  <c r="L494"/>
  <c r="M494"/>
  <c r="G495"/>
  <c r="I495"/>
  <c r="J495"/>
  <c r="K495"/>
  <c r="L495"/>
  <c r="M495"/>
  <c r="F495"/>
  <c r="F494"/>
  <c r="B491"/>
  <c r="K372"/>
  <c r="L372"/>
  <c r="M372"/>
  <c r="K373"/>
  <c r="L373"/>
  <c r="M373"/>
  <c r="H374"/>
  <c r="I374"/>
  <c r="J374"/>
  <c r="K374"/>
  <c r="L374"/>
  <c r="M374"/>
  <c r="H375"/>
  <c r="I375"/>
  <c r="J375"/>
  <c r="K375"/>
  <c r="L375"/>
  <c r="M375"/>
  <c r="F375"/>
  <c r="F374"/>
  <c r="B371"/>
  <c r="G369"/>
  <c r="H369"/>
  <c r="I369"/>
  <c r="J369"/>
  <c r="K369"/>
  <c r="L369"/>
  <c r="M369"/>
  <c r="F369"/>
  <c r="B366"/>
  <c r="G364"/>
  <c r="F364"/>
  <c r="B361"/>
  <c r="E382" l="1"/>
  <c r="D381" s="1"/>
  <c r="E369"/>
  <c r="G663" i="2"/>
  <c r="G662" s="1"/>
  <c r="G686" s="1"/>
  <c r="H19" i="10" l="1"/>
  <c r="I19"/>
  <c r="J19"/>
  <c r="L22" i="5" l="1"/>
  <c r="L21" s="1"/>
  <c r="K22"/>
  <c r="K21" s="1"/>
  <c r="J22"/>
  <c r="J21" s="1"/>
  <c r="I22"/>
  <c r="I21" s="1"/>
  <c r="H22"/>
  <c r="H21" s="1"/>
  <c r="G22"/>
  <c r="G21" s="1"/>
  <c r="F22"/>
  <c r="F21" s="1"/>
  <c r="E22"/>
  <c r="E21" s="1"/>
  <c r="L18"/>
  <c r="K18"/>
  <c r="J18"/>
  <c r="I18"/>
  <c r="H18"/>
  <c r="G18"/>
  <c r="F18"/>
  <c r="E18"/>
  <c r="L16"/>
  <c r="K16"/>
  <c r="J16"/>
  <c r="I16"/>
  <c r="H16"/>
  <c r="G16"/>
  <c r="G14" s="1"/>
  <c r="F16"/>
  <c r="E16"/>
  <c r="N81"/>
  <c r="N80" s="1"/>
  <c r="N79"/>
  <c r="N78" s="1"/>
  <c r="L85"/>
  <c r="L24" s="1"/>
  <c r="K85"/>
  <c r="K24" s="1"/>
  <c r="J85"/>
  <c r="I85"/>
  <c r="H85"/>
  <c r="G85"/>
  <c r="F85"/>
  <c r="E85"/>
  <c r="L83"/>
  <c r="L82" s="1"/>
  <c r="K83"/>
  <c r="K82" s="1"/>
  <c r="J83"/>
  <c r="J82" s="1"/>
  <c r="I83"/>
  <c r="I82" s="1"/>
  <c r="H83"/>
  <c r="H82" s="1"/>
  <c r="G83"/>
  <c r="G82" s="1"/>
  <c r="F83"/>
  <c r="E83"/>
  <c r="L80"/>
  <c r="K80"/>
  <c r="J80"/>
  <c r="I80"/>
  <c r="H80"/>
  <c r="G80"/>
  <c r="F80"/>
  <c r="E80"/>
  <c r="L78"/>
  <c r="K78"/>
  <c r="J78"/>
  <c r="K378" i="12" s="1"/>
  <c r="I78" i="5"/>
  <c r="J378" i="12" s="1"/>
  <c r="H78" i="5"/>
  <c r="I378" i="12" s="1"/>
  <c r="G78" i="5"/>
  <c r="H378" i="12" s="1"/>
  <c r="F78" i="5"/>
  <c r="G378" i="12" s="1"/>
  <c r="E78" i="5"/>
  <c r="F378" i="12" s="1"/>
  <c r="D86" i="5"/>
  <c r="D85" s="1"/>
  <c r="D24" s="1"/>
  <c r="D84"/>
  <c r="D83" s="1"/>
  <c r="D81"/>
  <c r="D80" s="1"/>
  <c r="D79"/>
  <c r="M77"/>
  <c r="H13" i="8"/>
  <c r="L102"/>
  <c r="K102"/>
  <c r="J102"/>
  <c r="L99"/>
  <c r="K99"/>
  <c r="J99"/>
  <c r="L97"/>
  <c r="K97"/>
  <c r="J97"/>
  <c r="E50" i="13"/>
  <c r="E29" i="8"/>
  <c r="E18"/>
  <c r="L13"/>
  <c r="K13"/>
  <c r="J13"/>
  <c r="I13"/>
  <c r="E13"/>
  <c r="F103"/>
  <c r="I102"/>
  <c r="J390" i="12" s="1"/>
  <c r="H102" i="8"/>
  <c r="G102"/>
  <c r="E102"/>
  <c r="N100"/>
  <c r="N99" s="1"/>
  <c r="F100"/>
  <c r="G389" i="12" s="1"/>
  <c r="E389" s="1"/>
  <c r="I99" i="8"/>
  <c r="H99"/>
  <c r="G99"/>
  <c r="F99"/>
  <c r="E99"/>
  <c r="N98"/>
  <c r="N97" s="1"/>
  <c r="F98"/>
  <c r="I97"/>
  <c r="H97"/>
  <c r="G97"/>
  <c r="F97"/>
  <c r="E97"/>
  <c r="I93"/>
  <c r="I92" s="1"/>
  <c r="I90"/>
  <c r="I88"/>
  <c r="J373" i="12" s="1"/>
  <c r="F94" i="8"/>
  <c r="F93" s="1"/>
  <c r="F92" s="1"/>
  <c r="H93"/>
  <c r="H92" s="1"/>
  <c r="G93"/>
  <c r="G92" s="1"/>
  <c r="E93"/>
  <c r="E92" s="1"/>
  <c r="N90"/>
  <c r="F91"/>
  <c r="H90"/>
  <c r="G90"/>
  <c r="E90"/>
  <c r="N89"/>
  <c r="N88" s="1"/>
  <c r="F89"/>
  <c r="M89" s="1"/>
  <c r="M88" s="1"/>
  <c r="H88"/>
  <c r="I373" i="12" s="1"/>
  <c r="G88" i="8"/>
  <c r="H373" i="12" s="1"/>
  <c r="E88" i="8"/>
  <c r="N16" i="5" l="1"/>
  <c r="I101" i="8"/>
  <c r="G101"/>
  <c r="H390" i="12"/>
  <c r="L101" i="8"/>
  <c r="M390" i="12"/>
  <c r="E101" i="8"/>
  <c r="F390" i="12"/>
  <c r="K101" i="8"/>
  <c r="L390" i="12"/>
  <c r="J101" i="8"/>
  <c r="K390" i="12"/>
  <c r="D98" i="8"/>
  <c r="G388" i="12"/>
  <c r="E388" s="1"/>
  <c r="H101" i="8"/>
  <c r="I390" i="12"/>
  <c r="L96" i="8"/>
  <c r="M387" i="12" s="1"/>
  <c r="E24" i="5"/>
  <c r="F380" i="12"/>
  <c r="G24" i="5"/>
  <c r="H380" i="12"/>
  <c r="I24" i="5"/>
  <c r="J380" i="12"/>
  <c r="F24" i="5"/>
  <c r="G380" i="12"/>
  <c r="H24" i="5"/>
  <c r="I380" i="12"/>
  <c r="J24" i="5"/>
  <c r="K380" i="12"/>
  <c r="I96" i="8"/>
  <c r="J387" i="12" s="1"/>
  <c r="E96" i="8"/>
  <c r="F387" i="12" s="1"/>
  <c r="J96" i="8"/>
  <c r="K387" i="12" s="1"/>
  <c r="E87" i="8"/>
  <c r="F372" i="12" s="1"/>
  <c r="F373"/>
  <c r="F96" i="8"/>
  <c r="G387" i="12" s="1"/>
  <c r="H96" i="8"/>
  <c r="I387" i="12" s="1"/>
  <c r="D103" i="8"/>
  <c r="K96"/>
  <c r="L387" i="12" s="1"/>
  <c r="D78" i="5"/>
  <c r="D77" s="1"/>
  <c r="D16"/>
  <c r="E77"/>
  <c r="F377" i="12" s="1"/>
  <c r="G77" i="5"/>
  <c r="H377" i="12" s="1"/>
  <c r="I77" i="5"/>
  <c r="J377" i="12" s="1"/>
  <c r="F88" i="8"/>
  <c r="G373" i="12" s="1"/>
  <c r="D91" i="8"/>
  <c r="D90" s="1"/>
  <c r="G374" i="12"/>
  <c r="E374" s="1"/>
  <c r="D94" i="8"/>
  <c r="D93" s="1"/>
  <c r="D92" s="1"/>
  <c r="G375" i="12"/>
  <c r="E375" s="1"/>
  <c r="G96" i="8"/>
  <c r="H387" i="12" s="1"/>
  <c r="D100" i="8"/>
  <c r="D99" s="1"/>
  <c r="F77" i="5"/>
  <c r="G377" i="12" s="1"/>
  <c r="H77" i="5"/>
  <c r="I377" i="12" s="1"/>
  <c r="J77" i="5"/>
  <c r="K377" i="12" s="1"/>
  <c r="L77" i="5"/>
  <c r="N87" i="8"/>
  <c r="F90"/>
  <c r="H87"/>
  <c r="I372" i="12" s="1"/>
  <c r="M91" i="8"/>
  <c r="M90" s="1"/>
  <c r="M87" s="1"/>
  <c r="D89"/>
  <c r="D88" s="1"/>
  <c r="I87"/>
  <c r="J372" i="12" s="1"/>
  <c r="M98" i="8"/>
  <c r="M97" s="1"/>
  <c r="M100"/>
  <c r="M99" s="1"/>
  <c r="D97"/>
  <c r="D22" i="5"/>
  <c r="D21" s="1"/>
  <c r="K77"/>
  <c r="N18"/>
  <c r="N77"/>
  <c r="D18"/>
  <c r="F82"/>
  <c r="D82"/>
  <c r="E82"/>
  <c r="D102" i="8"/>
  <c r="D101" s="1"/>
  <c r="N96"/>
  <c r="F102"/>
  <c r="G87"/>
  <c r="H372" i="12" s="1"/>
  <c r="E47" i="13"/>
  <c r="E46" s="1"/>
  <c r="F565" i="2"/>
  <c r="E565"/>
  <c r="H284"/>
  <c r="H286"/>
  <c r="F286"/>
  <c r="E286"/>
  <c r="D285"/>
  <c r="G284"/>
  <c r="F284"/>
  <c r="E284"/>
  <c r="D284"/>
  <c r="N282"/>
  <c r="N281" s="1"/>
  <c r="M282"/>
  <c r="M281" s="1"/>
  <c r="D282"/>
  <c r="D281" s="1"/>
  <c r="H281"/>
  <c r="G281"/>
  <c r="F281"/>
  <c r="E281"/>
  <c r="N280"/>
  <c r="M280"/>
  <c r="D280"/>
  <c r="N279"/>
  <c r="N278" s="1"/>
  <c r="M279"/>
  <c r="M278" s="1"/>
  <c r="D279"/>
  <c r="H278"/>
  <c r="G278"/>
  <c r="H493" i="12" s="1"/>
  <c r="F278" i="2"/>
  <c r="G493" i="12" s="1"/>
  <c r="E278" i="2"/>
  <c r="F493" i="12" s="1"/>
  <c r="D96" i="8" l="1"/>
  <c r="F101"/>
  <c r="G390" i="12"/>
  <c r="E390" s="1"/>
  <c r="C389" s="1"/>
  <c r="E387"/>
  <c r="D386" s="1"/>
  <c r="D87" i="8"/>
  <c r="F87"/>
  <c r="G372" i="12" s="1"/>
  <c r="E372" s="1"/>
  <c r="D371" s="1"/>
  <c r="M96" i="8"/>
  <c r="D287" i="2"/>
  <c r="D286" s="1"/>
  <c r="D283" s="1"/>
  <c r="H495" i="12"/>
  <c r="C374"/>
  <c r="H277" i="2"/>
  <c r="I493" i="12"/>
  <c r="E373"/>
  <c r="H283" i="2"/>
  <c r="G286"/>
  <c r="G283" s="1"/>
  <c r="D278"/>
  <c r="D277" s="1"/>
  <c r="E277"/>
  <c r="F492" i="12" s="1"/>
  <c r="G277" i="2"/>
  <c r="F283"/>
  <c r="E283"/>
  <c r="M277"/>
  <c r="N277"/>
  <c r="F277"/>
  <c r="G492" i="12" s="1"/>
  <c r="F46" i="2"/>
  <c r="G46"/>
  <c r="H46"/>
  <c r="I46"/>
  <c r="J46"/>
  <c r="K46"/>
  <c r="L46"/>
  <c r="E46"/>
  <c r="E50"/>
  <c r="F50"/>
  <c r="G50"/>
  <c r="H50"/>
  <c r="I50"/>
  <c r="J50"/>
  <c r="K50"/>
  <c r="L50"/>
  <c r="E39"/>
  <c r="F39"/>
  <c r="G39"/>
  <c r="H39"/>
  <c r="I39"/>
  <c r="J39"/>
  <c r="K39"/>
  <c r="L39"/>
  <c r="F55" i="8"/>
  <c r="H55"/>
  <c r="H29" s="1"/>
  <c r="I55"/>
  <c r="I29" s="1"/>
  <c r="J55"/>
  <c r="J29" s="1"/>
  <c r="K55"/>
  <c r="K29" s="1"/>
  <c r="L29"/>
  <c r="J145"/>
  <c r="K145"/>
  <c r="L145"/>
  <c r="M145"/>
  <c r="E23"/>
  <c r="E14"/>
  <c r="L59"/>
  <c r="M368" i="12" s="1"/>
  <c r="E59" i="8"/>
  <c r="F368" i="12" s="1"/>
  <c r="F59" i="8"/>
  <c r="G368" i="12" s="1"/>
  <c r="G59" i="8"/>
  <c r="H368" i="12" s="1"/>
  <c r="H59" i="8"/>
  <c r="I368" i="12" s="1"/>
  <c r="I59" i="8"/>
  <c r="J368" i="12" s="1"/>
  <c r="J59" i="8"/>
  <c r="K368" i="12" s="1"/>
  <c r="K59" i="8"/>
  <c r="L368" i="12" s="1"/>
  <c r="N60" i="8"/>
  <c r="M283" i="3"/>
  <c r="J280"/>
  <c r="K365" i="12" s="1"/>
  <c r="I280" i="3"/>
  <c r="J365" i="12" s="1"/>
  <c r="L280" i="3"/>
  <c r="M365" i="12" s="1"/>
  <c r="K280" i="3"/>
  <c r="L365" i="12" s="1"/>
  <c r="F280" i="3"/>
  <c r="G365" i="12" s="1"/>
  <c r="E280" i="3"/>
  <c r="F365" i="12" s="1"/>
  <c r="D279" i="3"/>
  <c r="D278" s="1"/>
  <c r="L278"/>
  <c r="K278"/>
  <c r="J278"/>
  <c r="I278"/>
  <c r="H278"/>
  <c r="G278"/>
  <c r="F278"/>
  <c r="E278"/>
  <c r="N276"/>
  <c r="D276"/>
  <c r="N275"/>
  <c r="D275"/>
  <c r="L274"/>
  <c r="K274"/>
  <c r="J274"/>
  <c r="I274"/>
  <c r="H274"/>
  <c r="G274"/>
  <c r="H364" i="12" s="1"/>
  <c r="F273" i="3"/>
  <c r="E273"/>
  <c r="N272"/>
  <c r="D272"/>
  <c r="N271"/>
  <c r="D271"/>
  <c r="L270"/>
  <c r="K270"/>
  <c r="J270"/>
  <c r="I270"/>
  <c r="H270"/>
  <c r="G270"/>
  <c r="N269"/>
  <c r="D269"/>
  <c r="N268"/>
  <c r="D268"/>
  <c r="L267"/>
  <c r="K267"/>
  <c r="J267"/>
  <c r="I267"/>
  <c r="H267"/>
  <c r="G267"/>
  <c r="F266"/>
  <c r="E266"/>
  <c r="F363" i="12" s="1"/>
  <c r="L66" i="8"/>
  <c r="M370" i="12" s="1"/>
  <c r="K66" i="8"/>
  <c r="L370" i="12" s="1"/>
  <c r="J66" i="8"/>
  <c r="K370" i="12" s="1"/>
  <c r="I66" i="8"/>
  <c r="J370" i="12" s="1"/>
  <c r="H66" i="8"/>
  <c r="I370" i="12" s="1"/>
  <c r="G66" i="8"/>
  <c r="H370" i="12" s="1"/>
  <c r="F66" i="8"/>
  <c r="G370" i="12" s="1"/>
  <c r="E66" i="8"/>
  <c r="F370" i="12" s="1"/>
  <c r="L64" i="8"/>
  <c r="K64"/>
  <c r="J64"/>
  <c r="I64"/>
  <c r="H64"/>
  <c r="G64"/>
  <c r="F64"/>
  <c r="E64"/>
  <c r="L61"/>
  <c r="K61"/>
  <c r="J61"/>
  <c r="I61"/>
  <c r="H61"/>
  <c r="F61"/>
  <c r="E61"/>
  <c r="E370" i="12" l="1"/>
  <c r="C369" s="1"/>
  <c r="I273" i="3"/>
  <c r="J364" i="12"/>
  <c r="K273" i="3"/>
  <c r="L364" i="12"/>
  <c r="E368"/>
  <c r="F265" i="3"/>
  <c r="G362" i="12" s="1"/>
  <c r="G363"/>
  <c r="H273" i="3"/>
  <c r="I364" i="12"/>
  <c r="J273" i="3"/>
  <c r="K364" i="12"/>
  <c r="L273" i="3"/>
  <c r="M364" i="12"/>
  <c r="H641"/>
  <c r="H492"/>
  <c r="I641"/>
  <c r="I492"/>
  <c r="G273" i="3"/>
  <c r="K266"/>
  <c r="D55" i="8"/>
  <c r="L277" i="3"/>
  <c r="K277"/>
  <c r="F277"/>
  <c r="E277"/>
  <c r="E265"/>
  <c r="F362" i="12" s="1"/>
  <c r="H266" i="3"/>
  <c r="L266"/>
  <c r="J277"/>
  <c r="H280"/>
  <c r="I277"/>
  <c r="D274"/>
  <c r="G266"/>
  <c r="H363" i="12" s="1"/>
  <c r="J266" i="3"/>
  <c r="N270"/>
  <c r="I266"/>
  <c r="D270"/>
  <c r="P271" s="1"/>
  <c r="D267"/>
  <c r="N267"/>
  <c r="N274"/>
  <c r="N273" s="1"/>
  <c r="M267"/>
  <c r="M266" s="1"/>
  <c r="M274"/>
  <c r="M273" s="1"/>
  <c r="D62" i="8"/>
  <c r="D61" s="1"/>
  <c r="F63"/>
  <c r="D16" i="10" s="1"/>
  <c r="H58" i="8"/>
  <c r="J63"/>
  <c r="H16" i="10" s="1"/>
  <c r="M60" i="8"/>
  <c r="J58"/>
  <c r="D65"/>
  <c r="G63"/>
  <c r="E16" i="10" s="1"/>
  <c r="K63" i="8"/>
  <c r="I16" i="10" s="1"/>
  <c r="K58" i="8"/>
  <c r="L58"/>
  <c r="D67"/>
  <c r="D66" s="1"/>
  <c r="M59"/>
  <c r="N61"/>
  <c r="E63"/>
  <c r="C16" i="10" s="1"/>
  <c r="I63" i="8"/>
  <c r="G16" i="10" s="1"/>
  <c r="E58" i="8"/>
  <c r="G61"/>
  <c r="H63"/>
  <c r="F16" i="10" s="1"/>
  <c r="L63" i="8"/>
  <c r="J16" i="10" s="1"/>
  <c r="I58" i="8"/>
  <c r="N59"/>
  <c r="M62"/>
  <c r="M61" s="1"/>
  <c r="D60"/>
  <c r="D59" s="1"/>
  <c r="F58"/>
  <c r="H43" i="13"/>
  <c r="H38"/>
  <c r="F38"/>
  <c r="H40"/>
  <c r="F40"/>
  <c r="J43"/>
  <c r="I43"/>
  <c r="F43"/>
  <c r="H29"/>
  <c r="F29"/>
  <c r="H31"/>
  <c r="F31"/>
  <c r="I34"/>
  <c r="H34"/>
  <c r="F34"/>
  <c r="F40" i="5"/>
  <c r="H42"/>
  <c r="F42"/>
  <c r="G47"/>
  <c r="F47"/>
  <c r="F65" i="13"/>
  <c r="D65" s="1"/>
  <c r="F67"/>
  <c r="G70"/>
  <c r="G72"/>
  <c r="J59"/>
  <c r="I59"/>
  <c r="H59"/>
  <c r="G59"/>
  <c r="F59"/>
  <c r="J61"/>
  <c r="I61"/>
  <c r="H61"/>
  <c r="G61"/>
  <c r="F61"/>
  <c r="G56"/>
  <c r="F56"/>
  <c r="E56"/>
  <c r="E53" s="1"/>
  <c r="E18" s="1"/>
  <c r="I55"/>
  <c r="H55"/>
  <c r="G55"/>
  <c r="F55"/>
  <c r="G51"/>
  <c r="F51"/>
  <c r="G50"/>
  <c r="F50"/>
  <c r="I49"/>
  <c r="H49"/>
  <c r="G49"/>
  <c r="F49"/>
  <c r="N58" i="7"/>
  <c r="K357" i="12"/>
  <c r="L357"/>
  <c r="M357"/>
  <c r="K358"/>
  <c r="L358"/>
  <c r="M358"/>
  <c r="K359"/>
  <c r="L359"/>
  <c r="M359"/>
  <c r="G360"/>
  <c r="K360"/>
  <c r="L360"/>
  <c r="M360"/>
  <c r="B356"/>
  <c r="J162"/>
  <c r="K162"/>
  <c r="L162"/>
  <c r="M162"/>
  <c r="G163"/>
  <c r="J163"/>
  <c r="K163"/>
  <c r="L163"/>
  <c r="M163"/>
  <c r="G164"/>
  <c r="J164"/>
  <c r="K164"/>
  <c r="L164"/>
  <c r="M164"/>
  <c r="G165"/>
  <c r="J165"/>
  <c r="K165"/>
  <c r="L165"/>
  <c r="M165"/>
  <c r="B161"/>
  <c r="I157"/>
  <c r="J157"/>
  <c r="K157"/>
  <c r="L157"/>
  <c r="M157"/>
  <c r="I158"/>
  <c r="J158"/>
  <c r="K158"/>
  <c r="L158"/>
  <c r="M158"/>
  <c r="I159"/>
  <c r="J159"/>
  <c r="K159"/>
  <c r="L159"/>
  <c r="M159"/>
  <c r="J160"/>
  <c r="K160"/>
  <c r="L160"/>
  <c r="M160"/>
  <c r="F160"/>
  <c r="B156"/>
  <c r="M354"/>
  <c r="J354"/>
  <c r="K354"/>
  <c r="L354"/>
  <c r="J353"/>
  <c r="K353"/>
  <c r="L353"/>
  <c r="M353"/>
  <c r="B351"/>
  <c r="H25" i="13" l="1"/>
  <c r="F13"/>
  <c r="J25"/>
  <c r="F25"/>
  <c r="G25"/>
  <c r="I25"/>
  <c r="H13"/>
  <c r="E364" i="12"/>
  <c r="G367"/>
  <c r="D15" i="10"/>
  <c r="J367" i="12"/>
  <c r="G15" i="10"/>
  <c r="F367" i="12"/>
  <c r="C15" i="10"/>
  <c r="K16"/>
  <c r="M367" i="12"/>
  <c r="J15" i="10"/>
  <c r="I367" i="12"/>
  <c r="F15" i="10"/>
  <c r="H265" i="3"/>
  <c r="I362" i="12" s="1"/>
  <c r="I363"/>
  <c r="L367"/>
  <c r="I15" i="10"/>
  <c r="K367" i="12"/>
  <c r="H15" i="10"/>
  <c r="I265" i="3"/>
  <c r="J362" i="12" s="1"/>
  <c r="J363"/>
  <c r="J265" i="3"/>
  <c r="K362" i="12" s="1"/>
  <c r="K363"/>
  <c r="H277" i="3"/>
  <c r="I365" i="12"/>
  <c r="L265" i="3"/>
  <c r="M362" i="12" s="1"/>
  <c r="M363"/>
  <c r="K265" i="3"/>
  <c r="L362" i="12" s="1"/>
  <c r="L363"/>
  <c r="G265" i="3"/>
  <c r="H362" i="12" s="1"/>
  <c r="D266" i="3"/>
  <c r="D64" i="8"/>
  <c r="D63" s="1"/>
  <c r="D273" i="3"/>
  <c r="D281"/>
  <c r="D280" s="1"/>
  <c r="D277" s="1"/>
  <c r="G280"/>
  <c r="N266"/>
  <c r="N265" s="1"/>
  <c r="M265"/>
  <c r="N58" i="8"/>
  <c r="G58"/>
  <c r="M58"/>
  <c r="D58"/>
  <c r="E362" i="12" l="1"/>
  <c r="D361" s="1"/>
  <c r="E363"/>
  <c r="H367"/>
  <c r="E367" s="1"/>
  <c r="D366" s="1"/>
  <c r="E15" i="10"/>
  <c r="G277" i="3"/>
  <c r="H365" i="12"/>
  <c r="E365" s="1"/>
  <c r="C364" s="1"/>
  <c r="D265" i="3"/>
  <c r="K15" i="10"/>
  <c r="P273" i="3"/>
  <c r="F63" i="6" l="1"/>
  <c r="F62"/>
  <c r="H592" i="12" l="1"/>
  <c r="H590" s="1"/>
  <c r="N109" i="7" l="1"/>
  <c r="K640" i="12"/>
  <c r="L640"/>
  <c r="M640"/>
  <c r="K477"/>
  <c r="L477"/>
  <c r="M477"/>
  <c r="K478"/>
  <c r="L478"/>
  <c r="M478"/>
  <c r="K479"/>
  <c r="L479"/>
  <c r="M479"/>
  <c r="K480"/>
  <c r="L480"/>
  <c r="M480"/>
  <c r="B476"/>
  <c r="J490"/>
  <c r="K490"/>
  <c r="L490"/>
  <c r="M490"/>
  <c r="I489"/>
  <c r="J489"/>
  <c r="K489"/>
  <c r="L489"/>
  <c r="M489"/>
  <c r="F489"/>
  <c r="I487"/>
  <c r="J487"/>
  <c r="K487"/>
  <c r="L487"/>
  <c r="M487"/>
  <c r="I488"/>
  <c r="J488"/>
  <c r="K488"/>
  <c r="L488"/>
  <c r="M488"/>
  <c r="B151"/>
  <c r="B346"/>
  <c r="B341"/>
  <c r="B336"/>
  <c r="B331"/>
  <c r="G149"/>
  <c r="H149"/>
  <c r="I149"/>
  <c r="J149"/>
  <c r="K149"/>
  <c r="L149"/>
  <c r="M149"/>
  <c r="F149"/>
  <c r="B146"/>
  <c r="G329"/>
  <c r="F329"/>
  <c r="B326"/>
  <c r="B321"/>
  <c r="F319"/>
  <c r="B316"/>
  <c r="M630" l="1"/>
  <c r="M628"/>
  <c r="I67"/>
  <c r="J67"/>
  <c r="I68"/>
  <c r="J68"/>
  <c r="G69"/>
  <c r="H69"/>
  <c r="I69"/>
  <c r="J69"/>
  <c r="I70"/>
  <c r="J70"/>
  <c r="F69"/>
  <c r="B66"/>
  <c r="M72" i="1" l="1"/>
  <c r="D235" i="3"/>
  <c r="M679" i="2"/>
  <c r="J678"/>
  <c r="K678"/>
  <c r="L678"/>
  <c r="M678"/>
  <c r="D263" i="3" l="1"/>
  <c r="D262" s="1"/>
  <c r="L262"/>
  <c r="M155" i="12" s="1"/>
  <c r="K262" i="3"/>
  <c r="L155" i="12" s="1"/>
  <c r="J262" i="3"/>
  <c r="K155" i="12" s="1"/>
  <c r="I262" i="3"/>
  <c r="J155" i="12" s="1"/>
  <c r="H262" i="3"/>
  <c r="I155" i="12" s="1"/>
  <c r="G262" i="3"/>
  <c r="H155" i="12" s="1"/>
  <c r="F262" i="3"/>
  <c r="G155" i="12" s="1"/>
  <c r="E262" i="3"/>
  <c r="F155" i="12" s="1"/>
  <c r="D261" i="3"/>
  <c r="D260" s="1"/>
  <c r="L260"/>
  <c r="K260"/>
  <c r="J260"/>
  <c r="I260"/>
  <c r="H260"/>
  <c r="G260"/>
  <c r="F260"/>
  <c r="E260"/>
  <c r="L257"/>
  <c r="M154" i="12" s="1"/>
  <c r="K257" i="3"/>
  <c r="L154" i="12" s="1"/>
  <c r="J257" i="3"/>
  <c r="K154" i="12" s="1"/>
  <c r="I257" i="3"/>
  <c r="J154" i="12" s="1"/>
  <c r="H257" i="3"/>
  <c r="I154" i="12" s="1"/>
  <c r="F257" i="3"/>
  <c r="G154" i="12" s="1"/>
  <c r="E257" i="3"/>
  <c r="F154" i="12" s="1"/>
  <c r="L255" i="3"/>
  <c r="M153" i="12" s="1"/>
  <c r="K255" i="3"/>
  <c r="L153" i="12" s="1"/>
  <c r="J255" i="3"/>
  <c r="K153" i="12" s="1"/>
  <c r="I255" i="3"/>
  <c r="J153" i="12" s="1"/>
  <c r="H255" i="3"/>
  <c r="I153" i="12" s="1"/>
  <c r="M255" i="3"/>
  <c r="F255"/>
  <c r="G153" i="12" s="1"/>
  <c r="E255" i="3"/>
  <c r="F153" i="12" s="1"/>
  <c r="D252" i="3"/>
  <c r="D251" s="1"/>
  <c r="L251"/>
  <c r="M350" i="12" s="1"/>
  <c r="K251" i="3"/>
  <c r="L350" i="12" s="1"/>
  <c r="J251" i="3"/>
  <c r="K350" i="12" s="1"/>
  <c r="I251" i="3"/>
  <c r="J350" i="12" s="1"/>
  <c r="H251" i="3"/>
  <c r="I350" i="12" s="1"/>
  <c r="G251" i="3"/>
  <c r="H350" i="12" s="1"/>
  <c r="F251" i="3"/>
  <c r="G350" i="12" s="1"/>
  <c r="E251" i="3"/>
  <c r="F350" i="12" s="1"/>
  <c r="D250" i="3"/>
  <c r="D249" s="1"/>
  <c r="L249"/>
  <c r="K249"/>
  <c r="J249"/>
  <c r="I249"/>
  <c r="H249"/>
  <c r="G249"/>
  <c r="F249"/>
  <c r="E249"/>
  <c r="N247"/>
  <c r="D247"/>
  <c r="N246"/>
  <c r="D246"/>
  <c r="L245"/>
  <c r="L244" s="1"/>
  <c r="M349" i="12" s="1"/>
  <c r="K245" i="3"/>
  <c r="K244" s="1"/>
  <c r="L349" i="12" s="1"/>
  <c r="J245" i="3"/>
  <c r="J244" s="1"/>
  <c r="K349" i="12" s="1"/>
  <c r="I245" i="3"/>
  <c r="I244" s="1"/>
  <c r="J349" i="12" s="1"/>
  <c r="H245" i="3"/>
  <c r="H244" s="1"/>
  <c r="I349" i="12" s="1"/>
  <c r="G245" i="3"/>
  <c r="G244" s="1"/>
  <c r="H349" i="12" s="1"/>
  <c r="F244" i="3"/>
  <c r="G349" i="12" s="1"/>
  <c r="E244" i="3"/>
  <c r="F349" i="12" s="1"/>
  <c r="N243" i="3"/>
  <c r="D243"/>
  <c r="N242"/>
  <c r="D242"/>
  <c r="L241"/>
  <c r="L240" s="1"/>
  <c r="M348" i="12" s="1"/>
  <c r="K241" i="3"/>
  <c r="K240" s="1"/>
  <c r="L348" i="12" s="1"/>
  <c r="J241" i="3"/>
  <c r="J240" s="1"/>
  <c r="K348" i="12" s="1"/>
  <c r="I241" i="3"/>
  <c r="I240" s="1"/>
  <c r="J348" i="12" s="1"/>
  <c r="H241" i="3"/>
  <c r="H240" s="1"/>
  <c r="I348" i="12" s="1"/>
  <c r="G241" i="3"/>
  <c r="M240"/>
  <c r="F240"/>
  <c r="G348" i="12" s="1"/>
  <c r="E240" i="3"/>
  <c r="F348" i="12" s="1"/>
  <c r="D237" i="3"/>
  <c r="D236" s="1"/>
  <c r="L236"/>
  <c r="M345" i="12" s="1"/>
  <c r="K236" i="3"/>
  <c r="L345" i="12" s="1"/>
  <c r="J236" i="3"/>
  <c r="K345" i="12" s="1"/>
  <c r="I236" i="3"/>
  <c r="J345" i="12" s="1"/>
  <c r="H236" i="3"/>
  <c r="I345" i="12" s="1"/>
  <c r="G236" i="3"/>
  <c r="H345" i="12" s="1"/>
  <c r="F236" i="3"/>
  <c r="G345" i="12" s="1"/>
  <c r="E236" i="3"/>
  <c r="F345" i="12" s="1"/>
  <c r="L234" i="3"/>
  <c r="K234"/>
  <c r="J234"/>
  <c r="I234"/>
  <c r="H234"/>
  <c r="G234"/>
  <c r="F234"/>
  <c r="E234"/>
  <c r="N232"/>
  <c r="D232"/>
  <c r="N231"/>
  <c r="D231"/>
  <c r="L230"/>
  <c r="L229" s="1"/>
  <c r="M344" i="12" s="1"/>
  <c r="K230" i="3"/>
  <c r="K229" s="1"/>
  <c r="L344" i="12" s="1"/>
  <c r="J230" i="3"/>
  <c r="J229" s="1"/>
  <c r="K344" i="12" s="1"/>
  <c r="I230" i="3"/>
  <c r="I229" s="1"/>
  <c r="J344" i="12" s="1"/>
  <c r="H230" i="3"/>
  <c r="H229" s="1"/>
  <c r="I344" i="12" s="1"/>
  <c r="G230" i="3"/>
  <c r="F229"/>
  <c r="G344" i="12" s="1"/>
  <c r="E229" i="3"/>
  <c r="F344" i="12" s="1"/>
  <c r="N228" i="3"/>
  <c r="D228"/>
  <c r="N227"/>
  <c r="D227"/>
  <c r="L226"/>
  <c r="K226"/>
  <c r="J226"/>
  <c r="I226"/>
  <c r="H226"/>
  <c r="G226"/>
  <c r="N225"/>
  <c r="D225"/>
  <c r="N224"/>
  <c r="D224"/>
  <c r="L223"/>
  <c r="K223"/>
  <c r="J223"/>
  <c r="I223"/>
  <c r="H223"/>
  <c r="G223"/>
  <c r="F222"/>
  <c r="G343" i="12" s="1"/>
  <c r="E222" i="3"/>
  <c r="F343" i="12" s="1"/>
  <c r="E22" i="3"/>
  <c r="K22"/>
  <c r="L22"/>
  <c r="E21" i="9"/>
  <c r="F21"/>
  <c r="G21"/>
  <c r="H21"/>
  <c r="I21"/>
  <c r="J21"/>
  <c r="K21"/>
  <c r="L21"/>
  <c r="E14"/>
  <c r="F14"/>
  <c r="G14"/>
  <c r="H14"/>
  <c r="I14"/>
  <c r="J14"/>
  <c r="K14"/>
  <c r="L14"/>
  <c r="E155" i="12" l="1"/>
  <c r="E349"/>
  <c r="D230" i="3"/>
  <c r="E345" i="12"/>
  <c r="E350"/>
  <c r="D234" i="3"/>
  <c r="D233" s="1"/>
  <c r="H259"/>
  <c r="L259"/>
  <c r="J259"/>
  <c r="E239"/>
  <c r="F347" i="12" s="1"/>
  <c r="F233" i="3"/>
  <c r="J233"/>
  <c r="F221"/>
  <c r="G342" i="12" s="1"/>
  <c r="F248" i="3"/>
  <c r="J248"/>
  <c r="E221"/>
  <c r="F342" i="12" s="1"/>
  <c r="H233" i="3"/>
  <c r="G248"/>
  <c r="K248"/>
  <c r="F254"/>
  <c r="G152" i="12" s="1"/>
  <c r="D248" i="3"/>
  <c r="H248"/>
  <c r="L248"/>
  <c r="E259"/>
  <c r="I259"/>
  <c r="K222"/>
  <c r="L233"/>
  <c r="G259"/>
  <c r="K259"/>
  <c r="K254"/>
  <c r="L152" i="12" s="1"/>
  <c r="F259" i="3"/>
  <c r="L222"/>
  <c r="G233"/>
  <c r="K233"/>
  <c r="I239"/>
  <c r="J347" i="12" s="1"/>
  <c r="E248" i="3"/>
  <c r="E254"/>
  <c r="F152" i="12" s="1"/>
  <c r="H254" i="3"/>
  <c r="I152" i="12" s="1"/>
  <c r="L254" i="3"/>
  <c r="M152" i="12" s="1"/>
  <c r="F239" i="3"/>
  <c r="G347" i="12" s="1"/>
  <c r="N256" i="3"/>
  <c r="N255" s="1"/>
  <c r="E233"/>
  <c r="I233"/>
  <c r="D241"/>
  <c r="G255"/>
  <c r="H153" i="12" s="1"/>
  <c r="E153" s="1"/>
  <c r="D256" i="3"/>
  <c r="D255" s="1"/>
  <c r="J254"/>
  <c r="K152" i="12" s="1"/>
  <c r="M258" i="3"/>
  <c r="M257" s="1"/>
  <c r="M254" s="1"/>
  <c r="I254"/>
  <c r="J152" i="12" s="1"/>
  <c r="D259" i="3"/>
  <c r="G257"/>
  <c r="H154" i="12" s="1"/>
  <c r="E154" s="1"/>
  <c r="D258" i="3"/>
  <c r="D257" s="1"/>
  <c r="N258"/>
  <c r="N257" s="1"/>
  <c r="I248"/>
  <c r="K239"/>
  <c r="L347" i="12" s="1"/>
  <c r="J239" i="3"/>
  <c r="K347" i="12" s="1"/>
  <c r="D245" i="3"/>
  <c r="D244" s="1"/>
  <c r="P244" s="1"/>
  <c r="H239"/>
  <c r="I347" i="12" s="1"/>
  <c r="L239" i="3"/>
  <c r="M347" i="12" s="1"/>
  <c r="N241" i="3"/>
  <c r="N240" s="1"/>
  <c r="N245"/>
  <c r="N244" s="1"/>
  <c r="M245"/>
  <c r="M244" s="1"/>
  <c r="M239" s="1"/>
  <c r="G240"/>
  <c r="J222"/>
  <c r="I222"/>
  <c r="H222"/>
  <c r="M230"/>
  <c r="M229" s="1"/>
  <c r="M223"/>
  <c r="M222" s="1"/>
  <c r="N226"/>
  <c r="D226"/>
  <c r="P226" s="1"/>
  <c r="G222"/>
  <c r="H343" i="12" s="1"/>
  <c r="D223" i="3"/>
  <c r="N223"/>
  <c r="G229"/>
  <c r="H344" i="12" s="1"/>
  <c r="E344" s="1"/>
  <c r="D229" i="3"/>
  <c r="P229" s="1"/>
  <c r="N230"/>
  <c r="N229" s="1"/>
  <c r="D114" i="7"/>
  <c r="D113" s="1"/>
  <c r="D116"/>
  <c r="D115" s="1"/>
  <c r="E113"/>
  <c r="E115"/>
  <c r="E110"/>
  <c r="E106" s="1"/>
  <c r="D111"/>
  <c r="D110" s="1"/>
  <c r="D108"/>
  <c r="D109"/>
  <c r="F92" i="6"/>
  <c r="F90"/>
  <c r="F87"/>
  <c r="F85"/>
  <c r="D107" i="7" l="1"/>
  <c r="D106" s="1"/>
  <c r="E112"/>
  <c r="C349" i="12"/>
  <c r="C344"/>
  <c r="C154"/>
  <c r="I221" i="3"/>
  <c r="J342" i="12" s="1"/>
  <c r="J343"/>
  <c r="G239" i="3"/>
  <c r="H347" i="12" s="1"/>
  <c r="E347" s="1"/>
  <c r="D346" s="1"/>
  <c r="H348"/>
  <c r="E348" s="1"/>
  <c r="H221" i="3"/>
  <c r="I342" i="12" s="1"/>
  <c r="I343"/>
  <c r="J221" i="3"/>
  <c r="K342" i="12" s="1"/>
  <c r="K343"/>
  <c r="L221" i="3"/>
  <c r="M342" i="12" s="1"/>
  <c r="M343"/>
  <c r="K221" i="3"/>
  <c r="L342" i="12" s="1"/>
  <c r="L343"/>
  <c r="D112" i="7"/>
  <c r="D240" i="3"/>
  <c r="D239" s="1"/>
  <c r="P241"/>
  <c r="G254"/>
  <c r="H152" i="12" s="1"/>
  <c r="E152" s="1"/>
  <c r="D151" s="1"/>
  <c r="D254" i="3"/>
  <c r="N254"/>
  <c r="N239"/>
  <c r="G221"/>
  <c r="H342" i="12" s="1"/>
  <c r="M221" i="3"/>
  <c r="D222"/>
  <c r="D221" s="1"/>
  <c r="N222"/>
  <c r="N221" s="1"/>
  <c r="G415" i="2"/>
  <c r="G412"/>
  <c r="G410"/>
  <c r="H400"/>
  <c r="H402"/>
  <c r="I405"/>
  <c r="I404" s="1"/>
  <c r="G406"/>
  <c r="H391"/>
  <c r="I164" i="12" s="1"/>
  <c r="H388" i="2"/>
  <c r="H384"/>
  <c r="J63" i="7"/>
  <c r="J65"/>
  <c r="D66"/>
  <c r="D65" s="1"/>
  <c r="D64"/>
  <c r="D63" s="1"/>
  <c r="D61"/>
  <c r="D60" s="1"/>
  <c r="D59"/>
  <c r="D58"/>
  <c r="J60"/>
  <c r="J57"/>
  <c r="F108" i="3"/>
  <c r="F103"/>
  <c r="F100"/>
  <c r="G96"/>
  <c r="G91"/>
  <c r="G88"/>
  <c r="F84"/>
  <c r="F79"/>
  <c r="F76"/>
  <c r="H69"/>
  <c r="I69"/>
  <c r="J69"/>
  <c r="K69"/>
  <c r="L69"/>
  <c r="J71"/>
  <c r="K71"/>
  <c r="L71"/>
  <c r="I72"/>
  <c r="H72"/>
  <c r="G72"/>
  <c r="F72"/>
  <c r="J63"/>
  <c r="K63"/>
  <c r="L63"/>
  <c r="J66"/>
  <c r="K66"/>
  <c r="L66"/>
  <c r="I67"/>
  <c r="H67"/>
  <c r="G67"/>
  <c r="F67"/>
  <c r="I64"/>
  <c r="G64"/>
  <c r="H64"/>
  <c r="F64"/>
  <c r="J49" i="2"/>
  <c r="K49"/>
  <c r="L49"/>
  <c r="I274"/>
  <c r="J480" i="12" s="1"/>
  <c r="I269" i="2"/>
  <c r="J479" i="12" s="1"/>
  <c r="I266" i="2"/>
  <c r="J478" i="12" s="1"/>
  <c r="D275" i="2"/>
  <c r="D274" s="1"/>
  <c r="H274"/>
  <c r="I480" i="12" s="1"/>
  <c r="G274" i="2"/>
  <c r="H480" i="12" s="1"/>
  <c r="F274" i="2"/>
  <c r="G480" i="12" s="1"/>
  <c r="E274" i="2"/>
  <c r="F480" i="12" s="1"/>
  <c r="D273" i="2"/>
  <c r="G272"/>
  <c r="F272"/>
  <c r="E272"/>
  <c r="E271" s="1"/>
  <c r="D272"/>
  <c r="N270"/>
  <c r="N269" s="1"/>
  <c r="M270"/>
  <c r="M269" s="1"/>
  <c r="D270"/>
  <c r="D269" s="1"/>
  <c r="H269"/>
  <c r="G269"/>
  <c r="H479" i="12" s="1"/>
  <c r="F269" i="2"/>
  <c r="G479" i="12" s="1"/>
  <c r="E269" i="2"/>
  <c r="F479" i="12" s="1"/>
  <c r="N268" i="2"/>
  <c r="M268"/>
  <c r="D268"/>
  <c r="N267"/>
  <c r="N266" s="1"/>
  <c r="M267"/>
  <c r="M266" s="1"/>
  <c r="H266"/>
  <c r="I478" i="12" s="1"/>
  <c r="G266" i="2"/>
  <c r="H478" i="12" s="1"/>
  <c r="F266" i="2"/>
  <c r="G478" i="12" s="1"/>
  <c r="E266" i="2"/>
  <c r="F179"/>
  <c r="F177"/>
  <c r="F174"/>
  <c r="F172"/>
  <c r="F171"/>
  <c r="F215"/>
  <c r="F213"/>
  <c r="F210"/>
  <c r="F208"/>
  <c r="F207"/>
  <c r="H318"/>
  <c r="H314"/>
  <c r="F315"/>
  <c r="E225"/>
  <c r="F258"/>
  <c r="F255"/>
  <c r="F186"/>
  <c r="F271" l="1"/>
  <c r="H317"/>
  <c r="H313" s="1"/>
  <c r="H271"/>
  <c r="D57" i="7"/>
  <c r="D56" s="1"/>
  <c r="J62"/>
  <c r="F265" i="2"/>
  <c r="G477" i="12" s="1"/>
  <c r="H399" i="2"/>
  <c r="E342" i="12"/>
  <c r="D341" s="1"/>
  <c r="E343"/>
  <c r="E265" i="2"/>
  <c r="F477" i="12" s="1"/>
  <c r="F478"/>
  <c r="H265" i="2"/>
  <c r="I479" i="12"/>
  <c r="I265" i="2"/>
  <c r="I271"/>
  <c r="H387"/>
  <c r="I162" i="12" s="1"/>
  <c r="I163"/>
  <c r="H383" i="2"/>
  <c r="I160" i="12"/>
  <c r="G271" i="2"/>
  <c r="G265"/>
  <c r="D62" i="7"/>
  <c r="P239" i="3"/>
  <c r="L62"/>
  <c r="J68"/>
  <c r="K68"/>
  <c r="J62"/>
  <c r="L68"/>
  <c r="K62"/>
  <c r="J56" i="7"/>
  <c r="N265" i="2"/>
  <c r="D271"/>
  <c r="M265"/>
  <c r="D267"/>
  <c r="D266" s="1"/>
  <c r="D265" s="1"/>
  <c r="H49" l="1"/>
  <c r="H640" i="12"/>
  <c r="H477"/>
  <c r="J640"/>
  <c r="J477"/>
  <c r="I640"/>
  <c r="I477"/>
  <c r="N260" i="9"/>
  <c r="E15"/>
  <c r="E13"/>
  <c r="F13"/>
  <c r="G13"/>
  <c r="H13"/>
  <c r="I13"/>
  <c r="J13"/>
  <c r="K13"/>
  <c r="D241"/>
  <c r="D239"/>
  <c r="D238"/>
  <c r="D246"/>
  <c r="N29"/>
  <c r="N356" i="2"/>
  <c r="N354"/>
  <c r="N353"/>
  <c r="G358"/>
  <c r="E360"/>
  <c r="F70" i="12" s="1"/>
  <c r="F360" i="2"/>
  <c r="G70" i="12" s="1"/>
  <c r="G360" i="2"/>
  <c r="H70" i="12" s="1"/>
  <c r="E352" i="2"/>
  <c r="F352"/>
  <c r="G68" i="12" s="1"/>
  <c r="G352" i="2"/>
  <c r="H68" i="12" s="1"/>
  <c r="E355" i="2"/>
  <c r="F355"/>
  <c r="G355"/>
  <c r="G349"/>
  <c r="E40"/>
  <c r="H40"/>
  <c r="J40"/>
  <c r="K40"/>
  <c r="L40"/>
  <c r="E48"/>
  <c r="H48"/>
  <c r="I48"/>
  <c r="J48"/>
  <c r="K48"/>
  <c r="L48"/>
  <c r="G343"/>
  <c r="G339"/>
  <c r="G357" l="1"/>
  <c r="E351"/>
  <c r="F67" i="12" s="1"/>
  <c r="F68"/>
  <c r="E70"/>
  <c r="E11" i="9"/>
  <c r="G351" i="2"/>
  <c r="H67" i="12" s="1"/>
  <c r="F351" i="2"/>
  <c r="G67" i="12" s="1"/>
  <c r="N352" i="2"/>
  <c r="F49" i="8"/>
  <c r="J16" i="3"/>
  <c r="K16"/>
  <c r="L16"/>
  <c r="E19"/>
  <c r="F19"/>
  <c r="G19"/>
  <c r="H19"/>
  <c r="I19"/>
  <c r="J19"/>
  <c r="K19"/>
  <c r="L19"/>
  <c r="K21"/>
  <c r="E207"/>
  <c r="F338" i="12" s="1"/>
  <c r="F207" i="3"/>
  <c r="G338" i="12" s="1"/>
  <c r="D219" i="3"/>
  <c r="D218" s="1"/>
  <c r="L218"/>
  <c r="M340" i="12" s="1"/>
  <c r="K218" i="3"/>
  <c r="L340" i="12" s="1"/>
  <c r="J218" i="3"/>
  <c r="K340" i="12" s="1"/>
  <c r="I218" i="3"/>
  <c r="J340" i="12" s="1"/>
  <c r="H218" i="3"/>
  <c r="I340" i="12" s="1"/>
  <c r="G218" i="3"/>
  <c r="H340" i="12" s="1"/>
  <c r="F218" i="3"/>
  <c r="G340" i="12" s="1"/>
  <c r="E218" i="3"/>
  <c r="F340" i="12" s="1"/>
  <c r="D217" i="3"/>
  <c r="D216" s="1"/>
  <c r="L216"/>
  <c r="K216"/>
  <c r="J216"/>
  <c r="I216"/>
  <c r="H216"/>
  <c r="G216"/>
  <c r="F216"/>
  <c r="E216"/>
  <c r="N214"/>
  <c r="D214"/>
  <c r="N213"/>
  <c r="D213"/>
  <c r="L212"/>
  <c r="L211" s="1"/>
  <c r="M339" i="12" s="1"/>
  <c r="K212" i="3"/>
  <c r="K211" s="1"/>
  <c r="L339" i="12" s="1"/>
  <c r="J212" i="3"/>
  <c r="J211" s="1"/>
  <c r="K339" i="12" s="1"/>
  <c r="I212" i="3"/>
  <c r="I211" s="1"/>
  <c r="J339" i="12" s="1"/>
  <c r="H212" i="3"/>
  <c r="H211" s="1"/>
  <c r="I339" i="12" s="1"/>
  <c r="G212" i="3"/>
  <c r="G211" s="1"/>
  <c r="H339" i="12" s="1"/>
  <c r="F211" i="3"/>
  <c r="G339" i="12" s="1"/>
  <c r="E211" i="3"/>
  <c r="F339" i="12" s="1"/>
  <c r="N210" i="3"/>
  <c r="D210"/>
  <c r="N209"/>
  <c r="D209"/>
  <c r="L208"/>
  <c r="L207" s="1"/>
  <c r="M338" i="12" s="1"/>
  <c r="K208" i="3"/>
  <c r="K207" s="1"/>
  <c r="L338" i="12" s="1"/>
  <c r="J208" i="3"/>
  <c r="J207" s="1"/>
  <c r="K338" i="12" s="1"/>
  <c r="I208" i="3"/>
  <c r="I207" s="1"/>
  <c r="J338" i="12" s="1"/>
  <c r="H208" i="3"/>
  <c r="H207" s="1"/>
  <c r="I338" i="12" s="1"/>
  <c r="G208" i="3"/>
  <c r="G207" s="1"/>
  <c r="H338" i="12" s="1"/>
  <c r="M284" i="3"/>
  <c r="G193"/>
  <c r="H193"/>
  <c r="D191"/>
  <c r="D192"/>
  <c r="D194"/>
  <c r="D195"/>
  <c r="D204"/>
  <c r="D203" s="1"/>
  <c r="L203"/>
  <c r="K203"/>
  <c r="L335" i="12" s="1"/>
  <c r="J203" i="3"/>
  <c r="K335" i="12" s="1"/>
  <c r="I203" i="3"/>
  <c r="J335" i="12" s="1"/>
  <c r="H203" i="3"/>
  <c r="I335" i="12" s="1"/>
  <c r="G203" i="3"/>
  <c r="H335" i="12" s="1"/>
  <c r="F203" i="3"/>
  <c r="G335" i="12" s="1"/>
  <c r="E203" i="3"/>
  <c r="F335" i="12" s="1"/>
  <c r="D202" i="3"/>
  <c r="D201" s="1"/>
  <c r="L201"/>
  <c r="K201"/>
  <c r="J201"/>
  <c r="I201"/>
  <c r="H201"/>
  <c r="G201"/>
  <c r="F201"/>
  <c r="E201"/>
  <c r="N199"/>
  <c r="D199"/>
  <c r="N198"/>
  <c r="D198"/>
  <c r="L197"/>
  <c r="L196" s="1"/>
  <c r="K197"/>
  <c r="K196" s="1"/>
  <c r="L334" i="12" s="1"/>
  <c r="J197" i="3"/>
  <c r="J196" s="1"/>
  <c r="K334" i="12" s="1"/>
  <c r="I197" i="3"/>
  <c r="I196" s="1"/>
  <c r="J334" i="12" s="1"/>
  <c r="H197" i="3"/>
  <c r="H196" s="1"/>
  <c r="I334" i="12" s="1"/>
  <c r="G197" i="3"/>
  <c r="G196" s="1"/>
  <c r="H334" i="12" s="1"/>
  <c r="F196" i="3"/>
  <c r="G334" i="12" s="1"/>
  <c r="E196" i="3"/>
  <c r="F334" i="12" s="1"/>
  <c r="N195" i="3"/>
  <c r="N194"/>
  <c r="L193"/>
  <c r="K193"/>
  <c r="J193"/>
  <c r="I193"/>
  <c r="N192"/>
  <c r="N191"/>
  <c r="L190"/>
  <c r="K190"/>
  <c r="J190"/>
  <c r="I190"/>
  <c r="H190"/>
  <c r="G190"/>
  <c r="F189"/>
  <c r="E189"/>
  <c r="F76" i="8"/>
  <c r="F85"/>
  <c r="F82"/>
  <c r="F80"/>
  <c r="F81" i="6"/>
  <c r="F79"/>
  <c r="F76"/>
  <c r="F74"/>
  <c r="F29" i="8" l="1"/>
  <c r="G29"/>
  <c r="E334" i="12"/>
  <c r="E340"/>
  <c r="F188" i="3"/>
  <c r="G332" i="12" s="1"/>
  <c r="G333"/>
  <c r="E335"/>
  <c r="E339"/>
  <c r="E188" i="3"/>
  <c r="F332" i="12" s="1"/>
  <c r="F333"/>
  <c r="E338"/>
  <c r="K200" i="3"/>
  <c r="J189"/>
  <c r="G215"/>
  <c r="E21"/>
  <c r="E18" s="1"/>
  <c r="E215"/>
  <c r="E200"/>
  <c r="I200"/>
  <c r="F358" i="2"/>
  <c r="F357" s="1"/>
  <c r="E358"/>
  <c r="E357" s="1"/>
  <c r="L200" i="3"/>
  <c r="G200"/>
  <c r="L215"/>
  <c r="J24" i="10" s="1"/>
  <c r="F206" i="3"/>
  <c r="G337" i="12" s="1"/>
  <c r="K18" i="3"/>
  <c r="N208"/>
  <c r="N207" s="1"/>
  <c r="K206"/>
  <c r="I23" i="10" s="1"/>
  <c r="D212" i="3"/>
  <c r="H215"/>
  <c r="I206"/>
  <c r="J337" i="12" s="1"/>
  <c r="I189" i="3"/>
  <c r="K189"/>
  <c r="E206"/>
  <c r="F337" i="12" s="1"/>
  <c r="D208" i="3"/>
  <c r="D207" s="1"/>
  <c r="K215"/>
  <c r="I24" i="10" s="1"/>
  <c r="L189" i="3"/>
  <c r="L188" s="1"/>
  <c r="F200"/>
  <c r="J200"/>
  <c r="G206"/>
  <c r="H337" i="12" s="1"/>
  <c r="F215" i="3"/>
  <c r="J215"/>
  <c r="H24" i="10" s="1"/>
  <c r="D215" i="3"/>
  <c r="I215"/>
  <c r="H206"/>
  <c r="I337" i="12" s="1"/>
  <c r="L206" i="3"/>
  <c r="J23" i="10" s="1"/>
  <c r="J206" i="3"/>
  <c r="H23" i="10" s="1"/>
  <c r="N212" i="3"/>
  <c r="N211" s="1"/>
  <c r="M207"/>
  <c r="M212"/>
  <c r="M211" s="1"/>
  <c r="D197"/>
  <c r="D196" s="1"/>
  <c r="G189"/>
  <c r="D200"/>
  <c r="H200"/>
  <c r="D193"/>
  <c r="D190"/>
  <c r="H189"/>
  <c r="N193"/>
  <c r="N190"/>
  <c r="N197"/>
  <c r="N196" s="1"/>
  <c r="M190"/>
  <c r="M189" s="1"/>
  <c r="M197"/>
  <c r="M196" s="1"/>
  <c r="G72" i="5"/>
  <c r="F72"/>
  <c r="F75"/>
  <c r="F156" i="9"/>
  <c r="F154"/>
  <c r="F150"/>
  <c r="F147"/>
  <c r="D147" s="1"/>
  <c r="H145"/>
  <c r="G145"/>
  <c r="F146"/>
  <c r="D146" s="1"/>
  <c r="F143"/>
  <c r="D143" s="1"/>
  <c r="H141"/>
  <c r="G141"/>
  <c r="F142"/>
  <c r="D142" s="1"/>
  <c r="G212"/>
  <c r="G209"/>
  <c r="G207"/>
  <c r="H203"/>
  <c r="N199"/>
  <c r="F199"/>
  <c r="F195"/>
  <c r="F194" s="1"/>
  <c r="L136" i="6"/>
  <c r="F136"/>
  <c r="H132"/>
  <c r="F130"/>
  <c r="L128"/>
  <c r="K128"/>
  <c r="J128"/>
  <c r="I128"/>
  <c r="G128"/>
  <c r="F128"/>
  <c r="F127"/>
  <c r="H122"/>
  <c r="F122"/>
  <c r="H108"/>
  <c r="D136" l="1"/>
  <c r="C334" i="12"/>
  <c r="F141" i="9"/>
  <c r="H188" i="3"/>
  <c r="I332" i="12" s="1"/>
  <c r="I333"/>
  <c r="K337"/>
  <c r="K188" i="3"/>
  <c r="L332" i="12" s="1"/>
  <c r="L333"/>
  <c r="C339"/>
  <c r="G188" i="3"/>
  <c r="H332" i="12" s="1"/>
  <c r="H333"/>
  <c r="M337"/>
  <c r="I188" i="3"/>
  <c r="J332" i="12" s="1"/>
  <c r="J333"/>
  <c r="L337"/>
  <c r="J188" i="3"/>
  <c r="K332" i="12" s="1"/>
  <c r="K333"/>
  <c r="D211" i="3"/>
  <c r="D206" s="1"/>
  <c r="P212"/>
  <c r="P208"/>
  <c r="M206"/>
  <c r="N206"/>
  <c r="M188"/>
  <c r="D189"/>
  <c r="D188" s="1"/>
  <c r="N189"/>
  <c r="N188" s="1"/>
  <c r="F145" i="9"/>
  <c r="J108" i="6"/>
  <c r="J100"/>
  <c r="K607" i="12" s="1"/>
  <c r="J607"/>
  <c r="H113" i="6"/>
  <c r="H103"/>
  <c r="H100"/>
  <c r="I607" i="12" s="1"/>
  <c r="F114" i="6"/>
  <c r="F113"/>
  <c r="F103"/>
  <c r="L117"/>
  <c r="D117" s="1"/>
  <c r="H110"/>
  <c r="H112"/>
  <c r="F112"/>
  <c r="F111"/>
  <c r="L109"/>
  <c r="K109"/>
  <c r="J109"/>
  <c r="H109"/>
  <c r="F108"/>
  <c r="E108"/>
  <c r="G607" i="12"/>
  <c r="F98" i="6"/>
  <c r="E332" i="12" l="1"/>
  <c r="D331" s="1"/>
  <c r="E333"/>
  <c r="E337"/>
  <c r="D336" s="1"/>
  <c r="F183" i="6"/>
  <c r="H565" i="2" l="1"/>
  <c r="F660"/>
  <c r="F661"/>
  <c r="F664"/>
  <c r="F652"/>
  <c r="F675"/>
  <c r="F656"/>
  <c r="F222" i="9"/>
  <c r="F218"/>
  <c r="G222"/>
  <c r="G221"/>
  <c r="F221"/>
  <c r="G218"/>
  <c r="G217"/>
  <c r="F217"/>
  <c r="G131" i="3"/>
  <c r="F131"/>
  <c r="G130"/>
  <c r="F130"/>
  <c r="G127"/>
  <c r="F127"/>
  <c r="G126"/>
  <c r="F126"/>
  <c r="F169" i="9"/>
  <c r="F165"/>
  <c r="G169"/>
  <c r="G165"/>
  <c r="H169"/>
  <c r="H167" s="1"/>
  <c r="H165"/>
  <c r="H163" s="1"/>
  <c r="H243" i="6"/>
  <c r="F255"/>
  <c r="I156" i="3"/>
  <c r="H156"/>
  <c r="H152"/>
  <c r="G152"/>
  <c r="I151"/>
  <c r="H151"/>
  <c r="G151"/>
  <c r="I146"/>
  <c r="I23" s="1"/>
  <c r="H23"/>
  <c r="G23"/>
  <c r="G143"/>
  <c r="F143"/>
  <c r="F142"/>
  <c r="F140"/>
  <c r="N169" i="9" l="1"/>
  <c r="G167"/>
  <c r="N165"/>
  <c r="G163"/>
  <c r="F611" i="2"/>
  <c r="F612"/>
  <c r="F608"/>
  <c r="F607"/>
  <c r="F644"/>
  <c r="F603"/>
  <c r="G12" i="7"/>
  <c r="G121"/>
  <c r="F120"/>
  <c r="F12" s="1"/>
  <c r="F167" i="9"/>
  <c r="F164"/>
  <c r="F163" s="1"/>
  <c r="F168"/>
  <c r="F239" i="2"/>
  <c r="F234"/>
  <c r="F231"/>
  <c r="E51" i="9"/>
  <c r="F488" i="12" s="1"/>
  <c r="H489"/>
  <c r="G51" i="9"/>
  <c r="H488" i="12" s="1"/>
  <c r="F55" i="9"/>
  <c r="G489" i="12" s="1"/>
  <c r="F52" i="9"/>
  <c r="F51" s="1"/>
  <c r="D58"/>
  <c r="D57" s="1"/>
  <c r="L57"/>
  <c r="K57"/>
  <c r="J57"/>
  <c r="I57"/>
  <c r="H57"/>
  <c r="G57"/>
  <c r="F57"/>
  <c r="E57"/>
  <c r="N53"/>
  <c r="D53"/>
  <c r="N41"/>
  <c r="G39"/>
  <c r="E39"/>
  <c r="D46"/>
  <c r="D45" s="1"/>
  <c r="L45"/>
  <c r="K45"/>
  <c r="J45"/>
  <c r="I45"/>
  <c r="H45"/>
  <c r="G45"/>
  <c r="F45"/>
  <c r="E45"/>
  <c r="F43"/>
  <c r="D41"/>
  <c r="F40"/>
  <c r="F39" s="1"/>
  <c r="D34"/>
  <c r="D33" s="1"/>
  <c r="L33"/>
  <c r="K33"/>
  <c r="J33"/>
  <c r="I33"/>
  <c r="H33"/>
  <c r="G33"/>
  <c r="F33"/>
  <c r="E33"/>
  <c r="F31"/>
  <c r="E27"/>
  <c r="D29"/>
  <c r="F28"/>
  <c r="N14" l="1"/>
  <c r="G27"/>
  <c r="N31"/>
  <c r="F27"/>
  <c r="G224" i="6"/>
  <c r="F224"/>
  <c r="G222"/>
  <c r="F222"/>
  <c r="G219"/>
  <c r="F219"/>
  <c r="G216"/>
  <c r="F216"/>
  <c r="H20" i="7"/>
  <c r="G20"/>
  <c r="H14"/>
  <c r="G14"/>
  <c r="F35"/>
  <c r="F8" s="1"/>
  <c r="G176"/>
  <c r="H173"/>
  <c r="G173"/>
  <c r="G171"/>
  <c r="I166"/>
  <c r="H166"/>
  <c r="G166"/>
  <c r="I164"/>
  <c r="H164"/>
  <c r="G164"/>
  <c r="I161"/>
  <c r="H161"/>
  <c r="G161"/>
  <c r="I159"/>
  <c r="H159"/>
  <c r="H8" s="1"/>
  <c r="G159"/>
  <c r="G8" s="1"/>
  <c r="G133"/>
  <c r="F133"/>
  <c r="H54"/>
  <c r="G54"/>
  <c r="H52"/>
  <c r="G52"/>
  <c r="H49"/>
  <c r="G49"/>
  <c r="H47"/>
  <c r="F47"/>
  <c r="F167" i="2"/>
  <c r="F162"/>
  <c r="F159"/>
  <c r="G130"/>
  <c r="G129" s="1"/>
  <c r="G143"/>
  <c r="F136"/>
  <c r="F131"/>
  <c r="G81"/>
  <c r="F82"/>
  <c r="F251"/>
  <c r="F246"/>
  <c r="F243"/>
  <c r="F237"/>
  <c r="F232"/>
  <c r="G215" i="6"/>
  <c r="F215"/>
  <c r="H9" i="7" l="1"/>
  <c r="I13"/>
  <c r="I8"/>
  <c r="H13"/>
  <c r="G80" i="2"/>
  <c r="H202" i="12" s="1"/>
  <c r="H203"/>
  <c r="L14" i="8"/>
  <c r="L18"/>
  <c r="J47"/>
  <c r="J14" s="1"/>
  <c r="J49"/>
  <c r="J18" s="1"/>
  <c r="I47"/>
  <c r="I14" s="1"/>
  <c r="I49"/>
  <c r="I18" s="1"/>
  <c r="H47"/>
  <c r="H14" s="1"/>
  <c r="H49"/>
  <c r="H18" s="1"/>
  <c r="F47"/>
  <c r="F14" s="1"/>
  <c r="L23"/>
  <c r="J52"/>
  <c r="J23" s="1"/>
  <c r="I52"/>
  <c r="I23" s="1"/>
  <c r="H52"/>
  <c r="H23" s="1"/>
  <c r="F52"/>
  <c r="G217" i="6"/>
  <c r="F217"/>
  <c r="F23" i="8" l="1"/>
  <c r="G37" i="6"/>
  <c r="F65"/>
  <c r="G68"/>
  <c r="G70"/>
  <c r="F29"/>
  <c r="F33"/>
  <c r="G34"/>
  <c r="F34"/>
  <c r="N34" l="1"/>
  <c r="G31"/>
  <c r="F30" i="3"/>
  <c r="F29"/>
  <c r="F36"/>
  <c r="F35"/>
  <c r="G22"/>
  <c r="G454" i="2"/>
  <c r="F454"/>
  <c r="G455"/>
  <c r="F455"/>
  <c r="G459"/>
  <c r="F459"/>
  <c r="G460"/>
  <c r="F460"/>
  <c r="H463"/>
  <c r="H375" s="1"/>
  <c r="G463"/>
  <c r="G375" s="1"/>
  <c r="G440"/>
  <c r="F440"/>
  <c r="F439"/>
  <c r="G445"/>
  <c r="F445"/>
  <c r="F444"/>
  <c r="N444"/>
  <c r="F448"/>
  <c r="F373" l="1"/>
  <c r="F375"/>
  <c r="G373"/>
  <c r="H373"/>
  <c r="P457"/>
  <c r="I22" i="3"/>
  <c r="I21" s="1"/>
  <c r="I18" s="1"/>
  <c r="H22"/>
  <c r="H21" s="1"/>
  <c r="H18" s="1"/>
  <c r="G573" i="12" l="1"/>
  <c r="I573"/>
  <c r="K573"/>
  <c r="L573"/>
  <c r="M573"/>
  <c r="B570"/>
  <c r="G484"/>
  <c r="B481"/>
  <c r="D262" i="9" l="1"/>
  <c r="D267" l="1"/>
  <c r="L266"/>
  <c r="K266"/>
  <c r="L485" i="12" s="1"/>
  <c r="J266" i="9"/>
  <c r="I266"/>
  <c r="J485" i="12" s="1"/>
  <c r="H266" i="9"/>
  <c r="G266"/>
  <c r="H485" i="12" s="1"/>
  <c r="F266" i="9"/>
  <c r="G485" i="12" s="1"/>
  <c r="E266" i="9"/>
  <c r="F485" i="12" s="1"/>
  <c r="D265" i="9"/>
  <c r="L264"/>
  <c r="K264"/>
  <c r="J264"/>
  <c r="I264"/>
  <c r="H264"/>
  <c r="G264"/>
  <c r="F264"/>
  <c r="E264"/>
  <c r="N262"/>
  <c r="N261" s="1"/>
  <c r="M262"/>
  <c r="M261" s="1"/>
  <c r="D261"/>
  <c r="L261"/>
  <c r="M484" i="12" s="1"/>
  <c r="K261" i="9"/>
  <c r="L484" i="12" s="1"/>
  <c r="J261" i="9"/>
  <c r="K484" i="12" s="1"/>
  <c r="I261" i="9"/>
  <c r="J484" i="12" s="1"/>
  <c r="H261" i="9"/>
  <c r="I484" i="12" s="1"/>
  <c r="G261" i="9"/>
  <c r="H484" i="12" s="1"/>
  <c r="E261" i="9"/>
  <c r="M260"/>
  <c r="D260"/>
  <c r="D14" s="1"/>
  <c r="N259"/>
  <c r="N258" s="1"/>
  <c r="M259"/>
  <c r="D259"/>
  <c r="L258"/>
  <c r="K258"/>
  <c r="L483" i="12" s="1"/>
  <c r="J258" i="9"/>
  <c r="I258"/>
  <c r="J483" i="12" s="1"/>
  <c r="H258" i="9"/>
  <c r="G258"/>
  <c r="H483" i="12" s="1"/>
  <c r="F258" i="9"/>
  <c r="E258"/>
  <c r="F483" i="12" s="1"/>
  <c r="D255" i="9"/>
  <c r="D254" s="1"/>
  <c r="D253" s="1"/>
  <c r="L254"/>
  <c r="K254"/>
  <c r="L574" i="12" s="1"/>
  <c r="J254" i="9"/>
  <c r="I254"/>
  <c r="J574" i="12" s="1"/>
  <c r="H254" i="9"/>
  <c r="G254"/>
  <c r="H574" i="12" s="1"/>
  <c r="F254" i="9"/>
  <c r="E254"/>
  <c r="F574" i="12" s="1"/>
  <c r="E253" i="9"/>
  <c r="N252"/>
  <c r="N251" s="1"/>
  <c r="M252"/>
  <c r="M251" s="1"/>
  <c r="D252"/>
  <c r="D251" s="1"/>
  <c r="I251"/>
  <c r="J573" i="12" s="1"/>
  <c r="G251" i="9"/>
  <c r="H573" i="12" s="1"/>
  <c r="E251" i="9"/>
  <c r="F573" i="12" s="1"/>
  <c r="N250" i="9"/>
  <c r="N249" s="1"/>
  <c r="M250"/>
  <c r="M249" s="1"/>
  <c r="D250"/>
  <c r="D249" s="1"/>
  <c r="L249"/>
  <c r="K249"/>
  <c r="L572" i="12" s="1"/>
  <c r="J249" i="9"/>
  <c r="I249"/>
  <c r="J572" i="12" s="1"/>
  <c r="H249" i="9"/>
  <c r="G249"/>
  <c r="H572" i="12" s="1"/>
  <c r="F249" i="9"/>
  <c r="G572" i="12" s="1"/>
  <c r="E249" i="9"/>
  <c r="F572" i="12" s="1"/>
  <c r="F248" i="9"/>
  <c r="G571" i="12" s="1"/>
  <c r="G263" i="9" l="1"/>
  <c r="K263"/>
  <c r="E263"/>
  <c r="I263"/>
  <c r="I248"/>
  <c r="J571" i="12" s="1"/>
  <c r="G253" i="9"/>
  <c r="G248" s="1"/>
  <c r="H571" i="12" s="1"/>
  <c r="D258" i="9"/>
  <c r="E248"/>
  <c r="F571" i="12" s="1"/>
  <c r="K253" i="9"/>
  <c r="K248" s="1"/>
  <c r="L571" i="12" s="1"/>
  <c r="I257" i="9"/>
  <c r="J482" i="12" s="1"/>
  <c r="I572"/>
  <c r="J248" i="9"/>
  <c r="K571" i="12" s="1"/>
  <c r="K572"/>
  <c r="M572"/>
  <c r="H263" i="9"/>
  <c r="I485" i="12"/>
  <c r="L263" i="9"/>
  <c r="M485" i="12"/>
  <c r="E573"/>
  <c r="I253" i="9"/>
  <c r="F253"/>
  <c r="G574" i="12"/>
  <c r="H253" i="9"/>
  <c r="H248" s="1"/>
  <c r="I571" i="12" s="1"/>
  <c r="I574"/>
  <c r="J253" i="9"/>
  <c r="K574" i="12"/>
  <c r="L253" i="9"/>
  <c r="L248" s="1"/>
  <c r="M571" i="12" s="1"/>
  <c r="M528" s="1"/>
  <c r="M574"/>
  <c r="G257" i="9"/>
  <c r="H482" i="12" s="1"/>
  <c r="K257" i="9"/>
  <c r="L482" i="12" s="1"/>
  <c r="F257" i="9"/>
  <c r="G482" i="12" s="1"/>
  <c r="G483"/>
  <c r="H257" i="9"/>
  <c r="I482" i="12" s="1"/>
  <c r="I483"/>
  <c r="J257" i="9"/>
  <c r="K482" i="12" s="1"/>
  <c r="K483"/>
  <c r="L257" i="9"/>
  <c r="M482" i="12" s="1"/>
  <c r="M483"/>
  <c r="E257" i="9"/>
  <c r="F482" i="12" s="1"/>
  <c r="F484"/>
  <c r="J263" i="9"/>
  <c r="K485" i="12"/>
  <c r="D266" i="9"/>
  <c r="D264"/>
  <c r="M248"/>
  <c r="D248"/>
  <c r="M258"/>
  <c r="M257" s="1"/>
  <c r="F263"/>
  <c r="D257"/>
  <c r="N257"/>
  <c r="N248"/>
  <c r="K402" i="12"/>
  <c r="L402"/>
  <c r="M402"/>
  <c r="K403"/>
  <c r="L403"/>
  <c r="M403"/>
  <c r="E572" l="1"/>
  <c r="E571"/>
  <c r="D570" s="1"/>
  <c r="D263" i="9"/>
  <c r="E574" i="12"/>
  <c r="C573" s="1"/>
  <c r="F318" i="2"/>
  <c r="E407" i="12" l="1"/>
  <c r="B311"/>
  <c r="L58" i="3" l="1"/>
  <c r="M325" i="12" s="1"/>
  <c r="K58" i="3"/>
  <c r="L325" i="12" s="1"/>
  <c r="J58" i="3"/>
  <c r="K325" i="12" s="1"/>
  <c r="I58" i="3"/>
  <c r="J325" i="12" s="1"/>
  <c r="L56" i="3"/>
  <c r="L55" s="1"/>
  <c r="K56"/>
  <c r="J56"/>
  <c r="I56"/>
  <c r="L52"/>
  <c r="K52"/>
  <c r="J52"/>
  <c r="I52"/>
  <c r="L47"/>
  <c r="K47"/>
  <c r="J47"/>
  <c r="I47"/>
  <c r="E47"/>
  <c r="J324" i="12" l="1"/>
  <c r="M324"/>
  <c r="I55" i="3"/>
  <c r="K51"/>
  <c r="L324" i="12"/>
  <c r="J51" i="3"/>
  <c r="K324" i="12"/>
  <c r="I51" i="3"/>
  <c r="L51"/>
  <c r="K46"/>
  <c r="I46"/>
  <c r="J323" i="12" s="1"/>
  <c r="J46" i="3"/>
  <c r="L46"/>
  <c r="M323" i="12" s="1"/>
  <c r="J55" i="3"/>
  <c r="K55"/>
  <c r="C16" i="14"/>
  <c r="D16"/>
  <c r="I45" i="3" l="1"/>
  <c r="L45"/>
  <c r="J45"/>
  <c r="K323" i="12"/>
  <c r="K45" i="3"/>
  <c r="L323" i="12"/>
  <c r="J322" l="1"/>
  <c r="K322"/>
  <c r="M322"/>
  <c r="L322"/>
  <c r="B221"/>
  <c r="B141"/>
  <c r="N48" i="3" l="1"/>
  <c r="N49"/>
  <c r="F52"/>
  <c r="E52"/>
  <c r="E17" s="1"/>
  <c r="G324" i="12" l="1"/>
  <c r="F324"/>
  <c r="G631"/>
  <c r="E143" l="1"/>
  <c r="D186" i="3" l="1"/>
  <c r="D185" s="1"/>
  <c r="L185"/>
  <c r="M150" i="12" s="1"/>
  <c r="K185" i="3"/>
  <c r="L150" i="12" s="1"/>
  <c r="J185" i="3"/>
  <c r="K150" i="12" s="1"/>
  <c r="I185" i="3"/>
  <c r="J150" i="12" s="1"/>
  <c r="H185" i="3"/>
  <c r="I150" i="12" s="1"/>
  <c r="G185" i="3"/>
  <c r="H150" i="12" s="1"/>
  <c r="F185" i="3"/>
  <c r="G150" i="12" s="1"/>
  <c r="E185" i="3"/>
  <c r="F150" i="12" s="1"/>
  <c r="D184" i="3"/>
  <c r="D183" s="1"/>
  <c r="L183"/>
  <c r="K183"/>
  <c r="J183"/>
  <c r="I183"/>
  <c r="H183"/>
  <c r="G183"/>
  <c r="F183"/>
  <c r="E183"/>
  <c r="K180"/>
  <c r="J180"/>
  <c r="I180"/>
  <c r="H180"/>
  <c r="L180"/>
  <c r="F180"/>
  <c r="E180"/>
  <c r="L177"/>
  <c r="M148" i="12" s="1"/>
  <c r="K177" i="3"/>
  <c r="L148" i="12" s="1"/>
  <c r="J177" i="3"/>
  <c r="K148" i="12" s="1"/>
  <c r="I177" i="3"/>
  <c r="J148" i="12" s="1"/>
  <c r="H177" i="3"/>
  <c r="I148" i="12" s="1"/>
  <c r="G177" i="3"/>
  <c r="H148" i="12" s="1"/>
  <c r="F177" i="3"/>
  <c r="G148" i="12" s="1"/>
  <c r="E177" i="3"/>
  <c r="E159"/>
  <c r="F328" i="12" s="1"/>
  <c r="F159" i="3"/>
  <c r="G328" i="12" s="1"/>
  <c r="D174" i="3"/>
  <c r="L171"/>
  <c r="K171"/>
  <c r="J171"/>
  <c r="I171"/>
  <c r="H171"/>
  <c r="G171"/>
  <c r="F171"/>
  <c r="E171"/>
  <c r="D172"/>
  <c r="D171" s="1"/>
  <c r="L163"/>
  <c r="L13" s="1"/>
  <c r="K163"/>
  <c r="K13" s="1"/>
  <c r="J163"/>
  <c r="J13" s="1"/>
  <c r="I163"/>
  <c r="I13" s="1"/>
  <c r="H163"/>
  <c r="H13" s="1"/>
  <c r="G163"/>
  <c r="G13" s="1"/>
  <c r="D165"/>
  <c r="D164"/>
  <c r="N165"/>
  <c r="N164"/>
  <c r="J182" l="1"/>
  <c r="E150" i="12"/>
  <c r="E176" i="3"/>
  <c r="F147" i="12" s="1"/>
  <c r="F148"/>
  <c r="E148" s="1"/>
  <c r="L182" i="3"/>
  <c r="F182"/>
  <c r="H182"/>
  <c r="M181"/>
  <c r="M180" s="1"/>
  <c r="E182"/>
  <c r="G182"/>
  <c r="I182"/>
  <c r="K182"/>
  <c r="N163"/>
  <c r="F176"/>
  <c r="G147" i="12" s="1"/>
  <c r="J176" i="3"/>
  <c r="K147" i="12" s="1"/>
  <c r="I176" i="3"/>
  <c r="J147" i="12" s="1"/>
  <c r="K176" i="3"/>
  <c r="L147" i="12" s="1"/>
  <c r="M178" i="3"/>
  <c r="M177" s="1"/>
  <c r="D179"/>
  <c r="P184" s="1"/>
  <c r="H176"/>
  <c r="L176"/>
  <c r="M147" i="12" s="1"/>
  <c r="D182" i="3"/>
  <c r="G180"/>
  <c r="D181"/>
  <c r="D180" s="1"/>
  <c r="D163"/>
  <c r="D178"/>
  <c r="N178"/>
  <c r="N179"/>
  <c r="N181"/>
  <c r="N180" s="1"/>
  <c r="I147" i="12" l="1"/>
  <c r="I632"/>
  <c r="M176" i="3"/>
  <c r="P172"/>
  <c r="K632" i="12"/>
  <c r="J632"/>
  <c r="G176" i="3"/>
  <c r="H147" i="12" s="1"/>
  <c r="D177" i="3"/>
  <c r="D176" s="1"/>
  <c r="P186"/>
  <c r="N177"/>
  <c r="N176" s="1"/>
  <c r="H632" i="12" l="1"/>
  <c r="L167" i="3"/>
  <c r="M329" i="12" s="1"/>
  <c r="K167" i="3"/>
  <c r="L329" i="12" s="1"/>
  <c r="J167" i="3"/>
  <c r="K329" i="12" s="1"/>
  <c r="I167" i="3"/>
  <c r="J329" i="12" s="1"/>
  <c r="H167" i="3"/>
  <c r="I329" i="12" s="1"/>
  <c r="G167" i="3"/>
  <c r="H329" i="12" s="1"/>
  <c r="N169" i="3"/>
  <c r="N168"/>
  <c r="N162"/>
  <c r="N161"/>
  <c r="H160"/>
  <c r="I160"/>
  <c r="J160"/>
  <c r="K160"/>
  <c r="L160"/>
  <c r="G160"/>
  <c r="H631" i="12" l="1"/>
  <c r="N160" i="3"/>
  <c r="N159" s="1"/>
  <c r="E329" i="12"/>
  <c r="H159" i="3"/>
  <c r="I328" i="12" s="1"/>
  <c r="J159" i="3"/>
  <c r="K328" i="12" s="1"/>
  <c r="K159" i="3"/>
  <c r="L328" i="12" s="1"/>
  <c r="L159" i="3"/>
  <c r="M328" i="12" s="1"/>
  <c r="I159" i="3"/>
  <c r="J328" i="12" s="1"/>
  <c r="G159" i="3"/>
  <c r="H328" i="12" s="1"/>
  <c r="D167" i="3"/>
  <c r="D173"/>
  <c r="D170" s="1"/>
  <c r="L173"/>
  <c r="M330" i="12" s="1"/>
  <c r="K173" i="3"/>
  <c r="L330" i="12" s="1"/>
  <c r="J173" i="3"/>
  <c r="K330" i="12" s="1"/>
  <c r="I173" i="3"/>
  <c r="J330" i="12" s="1"/>
  <c r="H173" i="3"/>
  <c r="I330" i="12" s="1"/>
  <c r="G173" i="3"/>
  <c r="H330" i="12" s="1"/>
  <c r="F173" i="3"/>
  <c r="E173"/>
  <c r="D169"/>
  <c r="D168"/>
  <c r="M167"/>
  <c r="M166" s="1"/>
  <c r="N167"/>
  <c r="N166" s="1"/>
  <c r="L166"/>
  <c r="K166"/>
  <c r="J166"/>
  <c r="I166"/>
  <c r="H166"/>
  <c r="G166"/>
  <c r="F166"/>
  <c r="E166"/>
  <c r="D162"/>
  <c r="D161"/>
  <c r="M160"/>
  <c r="M159" s="1"/>
  <c r="E328" i="12" l="1"/>
  <c r="F170" i="3"/>
  <c r="G330" i="12"/>
  <c r="E170" i="3"/>
  <c r="F330" i="12"/>
  <c r="P174" i="3"/>
  <c r="I170"/>
  <c r="K170"/>
  <c r="J170"/>
  <c r="L170"/>
  <c r="J158"/>
  <c r="K327" i="12" s="1"/>
  <c r="N158" i="3"/>
  <c r="H170"/>
  <c r="G170"/>
  <c r="D166"/>
  <c r="H158"/>
  <c r="I327" i="12" s="1"/>
  <c r="L158" i="3"/>
  <c r="M327" i="12" s="1"/>
  <c r="F158" i="3"/>
  <c r="G327" i="12" s="1"/>
  <c r="E158" i="3"/>
  <c r="F327" i="12" s="1"/>
  <c r="K158" i="3"/>
  <c r="L327" i="12" s="1"/>
  <c r="G158" i="3"/>
  <c r="H327" i="12" s="1"/>
  <c r="I158" i="3"/>
  <c r="J327" i="12" s="1"/>
  <c r="M158" i="3"/>
  <c r="D160"/>
  <c r="D159" s="1"/>
  <c r="F442" i="2"/>
  <c r="E330" i="12" l="1"/>
  <c r="C329" s="1"/>
  <c r="E327"/>
  <c r="D326" s="1"/>
  <c r="D158" i="3"/>
  <c r="P157" l="1"/>
  <c r="N172" i="2" l="1"/>
  <c r="N232"/>
  <c r="O59" i="4" l="1"/>
  <c r="L59"/>
  <c r="O21" i="10" l="1"/>
  <c r="M287" i="9" l="1"/>
  <c r="M172" i="2" l="1"/>
  <c r="M145" i="7"/>
  <c r="L56" i="4"/>
  <c r="M92"/>
  <c r="M87"/>
  <c r="M75"/>
  <c r="M171" i="7"/>
  <c r="M159"/>
  <c r="M56" i="4" l="1"/>
  <c r="E30" i="7"/>
  <c r="E29" s="1"/>
  <c r="D444" i="2" l="1"/>
  <c r="E22" i="7" l="1"/>
  <c r="F22"/>
  <c r="G22"/>
  <c r="H22"/>
  <c r="I22"/>
  <c r="J22"/>
  <c r="K22"/>
  <c r="L22"/>
  <c r="I113" i="6" l="1"/>
  <c r="I103"/>
  <c r="E31" l="1"/>
  <c r="I19" i="7" l="1"/>
  <c r="I137" i="12"/>
  <c r="J137"/>
  <c r="K137"/>
  <c r="L137"/>
  <c r="M137"/>
  <c r="I138"/>
  <c r="J138"/>
  <c r="K138"/>
  <c r="L138"/>
  <c r="M138"/>
  <c r="I139"/>
  <c r="J139"/>
  <c r="K139"/>
  <c r="L139"/>
  <c r="M139"/>
  <c r="I140"/>
  <c r="J140"/>
  <c r="K140"/>
  <c r="L140"/>
  <c r="M140"/>
  <c r="G563"/>
  <c r="I563"/>
  <c r="K563"/>
  <c r="L563"/>
  <c r="B560"/>
  <c r="M239" i="9"/>
  <c r="M14" s="1"/>
  <c r="G469" i="12"/>
  <c r="B466"/>
  <c r="B136"/>
  <c r="J262"/>
  <c r="K262"/>
  <c r="L262"/>
  <c r="M262"/>
  <c r="J263"/>
  <c r="K263"/>
  <c r="L263"/>
  <c r="M263"/>
  <c r="J264"/>
  <c r="K264"/>
  <c r="L264"/>
  <c r="M264"/>
  <c r="J265"/>
  <c r="K265"/>
  <c r="L265"/>
  <c r="M265"/>
  <c r="B261"/>
  <c r="K127"/>
  <c r="L127"/>
  <c r="K128"/>
  <c r="L128"/>
  <c r="K129"/>
  <c r="L129"/>
  <c r="K130"/>
  <c r="L130"/>
  <c r="B126"/>
  <c r="F94" i="9" l="1"/>
  <c r="M35" i="8" l="1"/>
  <c r="M15" s="1"/>
  <c r="E19" i="7"/>
  <c r="H19"/>
  <c r="J19"/>
  <c r="K19"/>
  <c r="L19"/>
  <c r="E16"/>
  <c r="F16"/>
  <c r="G16"/>
  <c r="H16"/>
  <c r="I16"/>
  <c r="J16"/>
  <c r="K16"/>
  <c r="L16"/>
  <c r="E158"/>
  <c r="E12" s="1"/>
  <c r="D178"/>
  <c r="D177" s="1"/>
  <c r="K177"/>
  <c r="J177"/>
  <c r="I177"/>
  <c r="H177"/>
  <c r="G177"/>
  <c r="F177"/>
  <c r="E177"/>
  <c r="D176"/>
  <c r="D175" s="1"/>
  <c r="K175"/>
  <c r="J175"/>
  <c r="J174" s="1"/>
  <c r="I175"/>
  <c r="H175"/>
  <c r="G175"/>
  <c r="F175"/>
  <c r="F174" s="1"/>
  <c r="E175"/>
  <c r="D173"/>
  <c r="D172" s="1"/>
  <c r="N172"/>
  <c r="M172"/>
  <c r="K172"/>
  <c r="J172"/>
  <c r="I172"/>
  <c r="H172"/>
  <c r="G172"/>
  <c r="F172"/>
  <c r="E172"/>
  <c r="N171"/>
  <c r="N169" s="1"/>
  <c r="N168" s="1"/>
  <c r="M169"/>
  <c r="M168" s="1"/>
  <c r="D170"/>
  <c r="K169"/>
  <c r="J169"/>
  <c r="J168" s="1"/>
  <c r="I169"/>
  <c r="H169"/>
  <c r="G169"/>
  <c r="F169"/>
  <c r="E169"/>
  <c r="D166"/>
  <c r="D165" s="1"/>
  <c r="K165"/>
  <c r="J165"/>
  <c r="I165"/>
  <c r="H165"/>
  <c r="G165"/>
  <c r="F165"/>
  <c r="E165"/>
  <c r="D164"/>
  <c r="D163" s="1"/>
  <c r="K163"/>
  <c r="J163"/>
  <c r="J162" s="1"/>
  <c r="I163"/>
  <c r="H163"/>
  <c r="G163"/>
  <c r="G162" s="1"/>
  <c r="F163"/>
  <c r="F162" s="1"/>
  <c r="E163"/>
  <c r="D161"/>
  <c r="D160" s="1"/>
  <c r="N160"/>
  <c r="M160"/>
  <c r="K160"/>
  <c r="J160"/>
  <c r="I160"/>
  <c r="H160"/>
  <c r="G160"/>
  <c r="F160"/>
  <c r="E160"/>
  <c r="N159"/>
  <c r="N157" s="1"/>
  <c r="N156" s="1"/>
  <c r="M157"/>
  <c r="M156" s="1"/>
  <c r="K157"/>
  <c r="J157"/>
  <c r="I157"/>
  <c r="H157"/>
  <c r="G157"/>
  <c r="F157"/>
  <c r="G19"/>
  <c r="F52"/>
  <c r="F19" s="1"/>
  <c r="G47"/>
  <c r="G9" s="1"/>
  <c r="G156" l="1"/>
  <c r="K156"/>
  <c r="D158"/>
  <c r="K168"/>
  <c r="F156"/>
  <c r="J156"/>
  <c r="E168"/>
  <c r="I168"/>
  <c r="K174"/>
  <c r="K162"/>
  <c r="E162"/>
  <c r="I156"/>
  <c r="G174"/>
  <c r="H168"/>
  <c r="G168"/>
  <c r="F168"/>
  <c r="E174"/>
  <c r="I174"/>
  <c r="I162"/>
  <c r="H156"/>
  <c r="H162"/>
  <c r="E157"/>
  <c r="E156" s="1"/>
  <c r="H174"/>
  <c r="D174"/>
  <c r="D162"/>
  <c r="D171"/>
  <c r="D159"/>
  <c r="D157" s="1"/>
  <c r="D156" s="1"/>
  <c r="F251" i="6"/>
  <c r="M251" s="1"/>
  <c r="G250"/>
  <c r="G249" s="1"/>
  <c r="I43"/>
  <c r="E43"/>
  <c r="E41" s="1"/>
  <c r="I47"/>
  <c r="E47"/>
  <c r="E45" s="1"/>
  <c r="I52"/>
  <c r="E52"/>
  <c r="E50" s="1"/>
  <c r="D53"/>
  <c r="F58"/>
  <c r="N33"/>
  <c r="F37"/>
  <c r="N52" l="1"/>
  <c r="D48"/>
  <c r="D33"/>
  <c r="M33"/>
  <c r="D52"/>
  <c r="M199"/>
  <c r="D169" i="7"/>
  <c r="D168" s="1"/>
  <c r="D47" i="6"/>
  <c r="G71" i="5"/>
  <c r="G70" s="1"/>
  <c r="G74"/>
  <c r="G73" s="1"/>
  <c r="I29" i="3"/>
  <c r="I30"/>
  <c r="H30"/>
  <c r="E30"/>
  <c r="E27" s="1"/>
  <c r="E12" s="1"/>
  <c r="E11" s="1"/>
  <c r="I35"/>
  <c r="I36"/>
  <c r="H36"/>
  <c r="E36"/>
  <c r="J42"/>
  <c r="F42"/>
  <c r="F22" s="1"/>
  <c r="I454" i="2"/>
  <c r="H454"/>
  <c r="I455"/>
  <c r="H455"/>
  <c r="I459"/>
  <c r="H459"/>
  <c r="I460"/>
  <c r="H460"/>
  <c r="I448"/>
  <c r="H440"/>
  <c r="N440" s="1"/>
  <c r="E440"/>
  <c r="H445"/>
  <c r="N445" s="1"/>
  <c r="E445"/>
  <c r="E442" s="1"/>
  <c r="E369" s="1"/>
  <c r="E367" s="1"/>
  <c r="I375" l="1"/>
  <c r="I373" s="1"/>
  <c r="N36" i="3"/>
  <c r="N455" i="2"/>
  <c r="N35" i="3"/>
  <c r="N30"/>
  <c r="N454" i="2"/>
  <c r="N29" i="3"/>
  <c r="J22"/>
  <c r="J21" s="1"/>
  <c r="J18" s="1"/>
  <c r="D445" i="2"/>
  <c r="D440"/>
  <c r="E437"/>
  <c r="D35" i="3"/>
  <c r="D29"/>
  <c r="D36"/>
  <c r="E33"/>
  <c r="E16" s="1"/>
  <c r="E15" s="1"/>
  <c r="D30"/>
  <c r="E10" l="1"/>
  <c r="N73" i="8"/>
  <c r="F73"/>
  <c r="F18" s="1"/>
  <c r="F71"/>
  <c r="D244" i="9"/>
  <c r="D21" s="1"/>
  <c r="L243"/>
  <c r="K243"/>
  <c r="J243"/>
  <c r="I243"/>
  <c r="H243"/>
  <c r="G243"/>
  <c r="F243"/>
  <c r="E243"/>
  <c r="E237"/>
  <c r="F468" i="12" s="1"/>
  <c r="F237" i="9"/>
  <c r="G468" i="12" s="1"/>
  <c r="G237" i="9"/>
  <c r="H468" i="12" s="1"/>
  <c r="H237" i="9"/>
  <c r="I237"/>
  <c r="J468" i="12" s="1"/>
  <c r="H240" i="9"/>
  <c r="I469" i="12" s="1"/>
  <c r="I240" i="9"/>
  <c r="J240"/>
  <c r="K469" i="12" s="1"/>
  <c r="K240" i="9"/>
  <c r="L469" i="12" s="1"/>
  <c r="L240" i="9"/>
  <c r="E232"/>
  <c r="E233"/>
  <c r="J237"/>
  <c r="K468" i="12" s="1"/>
  <c r="K237" i="9"/>
  <c r="L468" i="12" s="1"/>
  <c r="L237" i="9"/>
  <c r="J233"/>
  <c r="I230"/>
  <c r="J563" i="12" s="1"/>
  <c r="I228" i="9"/>
  <c r="J562" i="12" s="1"/>
  <c r="J228" i="9"/>
  <c r="K228"/>
  <c r="L562" i="12" s="1"/>
  <c r="L228" i="9"/>
  <c r="H228"/>
  <c r="I562" i="12" s="1"/>
  <c r="D245" i="9"/>
  <c r="L245"/>
  <c r="K245"/>
  <c r="L470" i="12" s="1"/>
  <c r="J245" i="9"/>
  <c r="I245"/>
  <c r="H245"/>
  <c r="G245"/>
  <c r="F245"/>
  <c r="G470" i="12" s="1"/>
  <c r="E245" i="9"/>
  <c r="F470" i="12" s="1"/>
  <c r="N241" i="9"/>
  <c r="N240" s="1"/>
  <c r="M241"/>
  <c r="M240" s="1"/>
  <c r="D240"/>
  <c r="G240"/>
  <c r="E240"/>
  <c r="F469" i="12" s="1"/>
  <c r="N238" i="9"/>
  <c r="N237" s="1"/>
  <c r="M238"/>
  <c r="M237" s="1"/>
  <c r="D237"/>
  <c r="D234"/>
  <c r="D233" s="1"/>
  <c r="D232" s="1"/>
  <c r="L233"/>
  <c r="L23" s="1"/>
  <c r="K233"/>
  <c r="K23" s="1"/>
  <c r="I233"/>
  <c r="I23" s="1"/>
  <c r="H233"/>
  <c r="H23" s="1"/>
  <c r="G233"/>
  <c r="F233"/>
  <c r="N231"/>
  <c r="N230" s="1"/>
  <c r="M231"/>
  <c r="M230" s="1"/>
  <c r="D231"/>
  <c r="D230" s="1"/>
  <c r="G230"/>
  <c r="H563" i="12" s="1"/>
  <c r="E230" i="9"/>
  <c r="F563" i="12" s="1"/>
  <c r="N229" i="9"/>
  <c r="N228" s="1"/>
  <c r="M229"/>
  <c r="M228" s="1"/>
  <c r="D229"/>
  <c r="D228" s="1"/>
  <c r="G228"/>
  <c r="H562" i="12" s="1"/>
  <c r="F228" i="9"/>
  <c r="G562" i="12" s="1"/>
  <c r="E228" i="9"/>
  <c r="F562" i="12" s="1"/>
  <c r="F227" i="9"/>
  <c r="J23" l="1"/>
  <c r="E23"/>
  <c r="L236"/>
  <c r="M227"/>
  <c r="E236"/>
  <c r="F467" i="12" s="1"/>
  <c r="F236" i="9"/>
  <c r="G467" i="12" s="1"/>
  <c r="E227" i="9"/>
  <c r="F561" i="12" s="1"/>
  <c r="F528" s="1"/>
  <c r="K236" i="9"/>
  <c r="L467" i="12" s="1"/>
  <c r="D236" i="9"/>
  <c r="J236"/>
  <c r="K467" i="12" s="1"/>
  <c r="L232" i="9"/>
  <c r="L227" s="1"/>
  <c r="J38" i="10" s="1"/>
  <c r="J227" i="9"/>
  <c r="K562" i="12"/>
  <c r="E562" s="1"/>
  <c r="I236" i="9"/>
  <c r="J467" i="12" s="1"/>
  <c r="J469"/>
  <c r="H236" i="9"/>
  <c r="I467" i="12" s="1"/>
  <c r="I468"/>
  <c r="D243" i="9"/>
  <c r="D242" s="1"/>
  <c r="G561" i="12"/>
  <c r="G528" s="1"/>
  <c r="E563"/>
  <c r="G236" i="9"/>
  <c r="H467" i="12" s="1"/>
  <c r="H469"/>
  <c r="I227" i="9"/>
  <c r="F564" i="12"/>
  <c r="F529" s="1"/>
  <c r="G232" i="9"/>
  <c r="H564" i="12"/>
  <c r="H529" s="1"/>
  <c r="H584" s="1"/>
  <c r="H582" s="1"/>
  <c r="I232" i="9"/>
  <c r="J564" i="12"/>
  <c r="G242" i="9"/>
  <c r="H470" i="12"/>
  <c r="I242" i="9"/>
  <c r="J470" i="12"/>
  <c r="J232" i="9"/>
  <c r="K564" i="12"/>
  <c r="F232" i="9"/>
  <c r="G564" i="12"/>
  <c r="H232" i="9"/>
  <c r="I564" i="12"/>
  <c r="K232" i="9"/>
  <c r="L564" i="12"/>
  <c r="L529" s="1"/>
  <c r="L584" s="1"/>
  <c r="H242" i="9"/>
  <c r="I470" i="12"/>
  <c r="J242" i="9"/>
  <c r="K470" i="12"/>
  <c r="F242" i="9"/>
  <c r="L242"/>
  <c r="K242"/>
  <c r="E242"/>
  <c r="C39" i="10" s="1"/>
  <c r="M236" i="9"/>
  <c r="N236"/>
  <c r="D227"/>
  <c r="N227"/>
  <c r="F137"/>
  <c r="C38" i="10" l="1"/>
  <c r="D38"/>
  <c r="E467" i="12"/>
  <c r="F39" i="10"/>
  <c r="H39"/>
  <c r="G38"/>
  <c r="J561" i="12"/>
  <c r="J528" s="1"/>
  <c r="H38" i="10"/>
  <c r="K561" i="12"/>
  <c r="K528" s="1"/>
  <c r="I39" i="10"/>
  <c r="D39"/>
  <c r="G39"/>
  <c r="G227" i="9"/>
  <c r="E38" i="10" s="1"/>
  <c r="E39"/>
  <c r="J39"/>
  <c r="E564" i="12"/>
  <c r="C563" s="1"/>
  <c r="K227" i="9"/>
  <c r="I38" i="10" s="1"/>
  <c r="H227" i="9"/>
  <c r="F38" i="10" s="1"/>
  <c r="H561" i="12" l="1"/>
  <c r="H528" s="1"/>
  <c r="K39" i="10"/>
  <c r="I561" i="12"/>
  <c r="I528" s="1"/>
  <c r="M38" i="10"/>
  <c r="L561" i="12"/>
  <c r="L528" s="1"/>
  <c r="K38" i="10"/>
  <c r="G40" i="13"/>
  <c r="L38" i="10" l="1"/>
  <c r="E561" i="12"/>
  <c r="D560" s="1"/>
  <c r="G29" i="13"/>
  <c r="G38"/>
  <c r="G31"/>
  <c r="G13" l="1"/>
  <c r="G172" i="9"/>
  <c r="G23" s="1"/>
  <c r="F172"/>
  <c r="H18" i="7" l="1"/>
  <c r="I18"/>
  <c r="J18"/>
  <c r="L18"/>
  <c r="E11"/>
  <c r="H11"/>
  <c r="J11"/>
  <c r="L11"/>
  <c r="E18"/>
  <c r="F18"/>
  <c r="K18"/>
  <c r="I11"/>
  <c r="D152"/>
  <c r="D20" s="1"/>
  <c r="E150"/>
  <c r="F150"/>
  <c r="G150"/>
  <c r="H150"/>
  <c r="I150"/>
  <c r="J150"/>
  <c r="K150"/>
  <c r="E143"/>
  <c r="F143"/>
  <c r="G143"/>
  <c r="H143"/>
  <c r="I143"/>
  <c r="J143"/>
  <c r="K143"/>
  <c r="L143"/>
  <c r="D146"/>
  <c r="D14" s="1"/>
  <c r="D154"/>
  <c r="D153" s="1"/>
  <c r="K153"/>
  <c r="J153"/>
  <c r="I153"/>
  <c r="H153"/>
  <c r="G153"/>
  <c r="F153"/>
  <c r="E153"/>
  <c r="D151"/>
  <c r="D148"/>
  <c r="D147" s="1"/>
  <c r="N147"/>
  <c r="M147"/>
  <c r="K147"/>
  <c r="J147"/>
  <c r="I147"/>
  <c r="H147"/>
  <c r="G147"/>
  <c r="F147"/>
  <c r="E147"/>
  <c r="M143"/>
  <c r="M142" s="1"/>
  <c r="D145"/>
  <c r="D144"/>
  <c r="E7"/>
  <c r="H7"/>
  <c r="I7"/>
  <c r="L7"/>
  <c r="F39"/>
  <c r="F38" s="1"/>
  <c r="D40"/>
  <c r="D39" s="1"/>
  <c r="D38" s="1"/>
  <c r="G39"/>
  <c r="G38" s="1"/>
  <c r="D37"/>
  <c r="D36" s="1"/>
  <c r="G34"/>
  <c r="G33" s="1"/>
  <c r="M35"/>
  <c r="D35"/>
  <c r="D8" s="1"/>
  <c r="I34"/>
  <c r="H34"/>
  <c r="F34"/>
  <c r="F33" s="1"/>
  <c r="E34"/>
  <c r="E33" s="1"/>
  <c r="I33"/>
  <c r="H33"/>
  <c r="L23" i="3"/>
  <c r="H45" i="2"/>
  <c r="I45"/>
  <c r="J45"/>
  <c r="K45"/>
  <c r="L45"/>
  <c r="H38"/>
  <c r="I38"/>
  <c r="J38"/>
  <c r="K38"/>
  <c r="L38"/>
  <c r="N231"/>
  <c r="N230" s="1"/>
  <c r="G45"/>
  <c r="G38"/>
  <c r="G176"/>
  <c r="F176"/>
  <c r="H262"/>
  <c r="I180" i="12" s="1"/>
  <c r="H257" i="2"/>
  <c r="I179" i="12" s="1"/>
  <c r="H254" i="2"/>
  <c r="I178" i="12" s="1"/>
  <c r="D263" i="2"/>
  <c r="D262" s="1"/>
  <c r="G262"/>
  <c r="H180" i="12" s="1"/>
  <c r="E262" i="2"/>
  <c r="F180" i="12" s="1"/>
  <c r="D261" i="2"/>
  <c r="D260" s="1"/>
  <c r="G260"/>
  <c r="F260"/>
  <c r="E260"/>
  <c r="N258"/>
  <c r="N257" s="1"/>
  <c r="D258"/>
  <c r="D257" s="1"/>
  <c r="G257"/>
  <c r="H179" i="12" s="1"/>
  <c r="E257" i="2"/>
  <c r="F179" i="12" s="1"/>
  <c r="N256" i="2"/>
  <c r="M256"/>
  <c r="D256"/>
  <c r="N255"/>
  <c r="N254" s="1"/>
  <c r="D255"/>
  <c r="G254"/>
  <c r="H178" i="12" s="1"/>
  <c r="E254" i="2"/>
  <c r="F178" i="12" s="1"/>
  <c r="G580" i="2"/>
  <c r="G579" s="1"/>
  <c r="F581"/>
  <c r="K149" i="7" l="1"/>
  <c r="E142"/>
  <c r="K142"/>
  <c r="I142"/>
  <c r="F142"/>
  <c r="E149"/>
  <c r="I149"/>
  <c r="L21" i="3"/>
  <c r="L18" s="1"/>
  <c r="J142" i="7"/>
  <c r="M174" i="2"/>
  <c r="D254"/>
  <c r="D253" s="1"/>
  <c r="M171"/>
  <c r="M170" s="1"/>
  <c r="G21" i="3"/>
  <c r="G18" s="1"/>
  <c r="N88"/>
  <c r="E253" i="2"/>
  <c r="F177" i="12" s="1"/>
  <c r="D150" i="7"/>
  <c r="D149" s="1"/>
  <c r="G149"/>
  <c r="G142"/>
  <c r="H142"/>
  <c r="H259" i="2"/>
  <c r="N171"/>
  <c r="N170" s="1"/>
  <c r="M34" i="7"/>
  <c r="M33" s="1"/>
  <c r="M8"/>
  <c r="G253" i="2"/>
  <c r="H177" i="12" s="1"/>
  <c r="H253" i="2"/>
  <c r="I177" i="12" s="1"/>
  <c r="D34" i="7"/>
  <c r="D33" s="1"/>
  <c r="M67" i="3"/>
  <c r="M64"/>
  <c r="G18" i="7"/>
  <c r="J149"/>
  <c r="H149"/>
  <c r="F149"/>
  <c r="D143"/>
  <c r="D142" s="1"/>
  <c r="N145"/>
  <c r="N143" s="1"/>
  <c r="N142" s="1"/>
  <c r="N35"/>
  <c r="N34" s="1"/>
  <c r="N33" s="1"/>
  <c r="G259" i="2"/>
  <c r="E259"/>
  <c r="D259"/>
  <c r="N253"/>
  <c r="M255"/>
  <c r="M254" s="1"/>
  <c r="M258"/>
  <c r="M257" s="1"/>
  <c r="F254"/>
  <c r="G178" i="12" s="1"/>
  <c r="E178" s="1"/>
  <c r="F257" i="2"/>
  <c r="G179" i="12" s="1"/>
  <c r="E179" s="1"/>
  <c r="F262" i="2"/>
  <c r="G180" i="12" s="1"/>
  <c r="E180" s="1"/>
  <c r="G379" i="2"/>
  <c r="H158" i="12" s="1"/>
  <c r="G381" i="2"/>
  <c r="H159" i="12" s="1"/>
  <c r="C179" l="1"/>
  <c r="G378" i="2"/>
  <c r="H157" i="12" s="1"/>
  <c r="F259" i="2"/>
  <c r="F253"/>
  <c r="G177" i="12" s="1"/>
  <c r="E177" s="1"/>
  <c r="D176" s="1"/>
  <c r="M253" i="2"/>
  <c r="K638" i="12"/>
  <c r="K637"/>
  <c r="L637"/>
  <c r="J635"/>
  <c r="K635"/>
  <c r="L635"/>
  <c r="J634"/>
  <c r="K634"/>
  <c r="J633"/>
  <c r="K633"/>
  <c r="L631"/>
  <c r="M631"/>
  <c r="F115" i="13" l="1"/>
  <c r="F103" s="1"/>
  <c r="N115" l="1"/>
  <c r="G103"/>
  <c r="N103" s="1"/>
  <c r="M215" i="6"/>
  <c r="M219"/>
  <c r="M216"/>
  <c r="F156" i="3" l="1"/>
  <c r="F153"/>
  <c r="F152"/>
  <c r="D152" s="1"/>
  <c r="F151"/>
  <c r="F146"/>
  <c r="I143"/>
  <c r="N143" s="1"/>
  <c r="F141"/>
  <c r="F139"/>
  <c r="F23" l="1"/>
  <c r="D153"/>
  <c r="D143"/>
  <c r="D140"/>
  <c r="D142"/>
  <c r="D151"/>
  <c r="D139"/>
  <c r="D141"/>
  <c r="D85" i="8"/>
  <c r="D84" s="1"/>
  <c r="D83" s="1"/>
  <c r="H84"/>
  <c r="I265" i="12" s="1"/>
  <c r="G84" i="8"/>
  <c r="H265" i="12" s="1"/>
  <c r="F84" i="8"/>
  <c r="G265" i="12" s="1"/>
  <c r="E84" i="8"/>
  <c r="F265" i="12" s="1"/>
  <c r="N82" i="8"/>
  <c r="N81" s="1"/>
  <c r="M82"/>
  <c r="M81" s="1"/>
  <c r="D82"/>
  <c r="D81" s="1"/>
  <c r="H81"/>
  <c r="I264" i="12" s="1"/>
  <c r="G81" i="8"/>
  <c r="H264" i="12" s="1"/>
  <c r="F81" i="8"/>
  <c r="G264" i="12" s="1"/>
  <c r="E81" i="8"/>
  <c r="F264" i="12" s="1"/>
  <c r="N80" i="8"/>
  <c r="N79" s="1"/>
  <c r="M80"/>
  <c r="M79" s="1"/>
  <c r="D80"/>
  <c r="D79" s="1"/>
  <c r="H79"/>
  <c r="I263" i="12" s="1"/>
  <c r="G79" i="8"/>
  <c r="H263" i="12" s="1"/>
  <c r="F79" i="8"/>
  <c r="G263" i="12" s="1"/>
  <c r="E79" i="8"/>
  <c r="F263" i="12" s="1"/>
  <c r="J10" i="8"/>
  <c r="K10"/>
  <c r="L10"/>
  <c r="F20"/>
  <c r="G20"/>
  <c r="H20"/>
  <c r="I20"/>
  <c r="J20"/>
  <c r="K20"/>
  <c r="L20"/>
  <c r="D76"/>
  <c r="I75"/>
  <c r="J130" i="12" s="1"/>
  <c r="H75" i="8"/>
  <c r="I130" i="12" s="1"/>
  <c r="G75" i="8"/>
  <c r="H130" i="12" s="1"/>
  <c r="F75" i="8"/>
  <c r="G130" i="12" s="1"/>
  <c r="E75" i="8"/>
  <c r="F130" i="12" s="1"/>
  <c r="H74" i="8"/>
  <c r="H145" s="1"/>
  <c r="N72"/>
  <c r="M73"/>
  <c r="M72" s="1"/>
  <c r="D73"/>
  <c r="D72" s="1"/>
  <c r="I72"/>
  <c r="J129" i="12" s="1"/>
  <c r="H72" i="8"/>
  <c r="I129" i="12" s="1"/>
  <c r="G72" i="8"/>
  <c r="H129" i="12" s="1"/>
  <c r="F72" i="8"/>
  <c r="G129" i="12" s="1"/>
  <c r="E72" i="8"/>
  <c r="F129" i="12" s="1"/>
  <c r="N71" i="8"/>
  <c r="N70" s="1"/>
  <c r="M71"/>
  <c r="D71"/>
  <c r="I70"/>
  <c r="J128" i="12" s="1"/>
  <c r="H70" i="8"/>
  <c r="I128" i="12" s="1"/>
  <c r="G70" i="8"/>
  <c r="H128" i="12" s="1"/>
  <c r="F70" i="8"/>
  <c r="G128" i="12" s="1"/>
  <c r="E70" i="8"/>
  <c r="D106"/>
  <c r="E106"/>
  <c r="F106"/>
  <c r="G106"/>
  <c r="H106"/>
  <c r="I106"/>
  <c r="J106"/>
  <c r="H83" l="1"/>
  <c r="G83"/>
  <c r="D29"/>
  <c r="F128" i="12"/>
  <c r="E69" i="8"/>
  <c r="F127" i="12" s="1"/>
  <c r="D75" i="8"/>
  <c r="D74" s="1"/>
  <c r="D145" s="1"/>
  <c r="H78"/>
  <c r="I262" i="12" s="1"/>
  <c r="G78" i="8"/>
  <c r="H262" i="12" s="1"/>
  <c r="I69" i="8"/>
  <c r="I10" s="1"/>
  <c r="F74"/>
  <c r="F145" s="1"/>
  <c r="G69"/>
  <c r="H127" i="12" s="1"/>
  <c r="E74" i="8"/>
  <c r="E145" s="1"/>
  <c r="I74"/>
  <c r="I145" s="1"/>
  <c r="N106"/>
  <c r="E78"/>
  <c r="F262" i="12" s="1"/>
  <c r="G74" i="8"/>
  <c r="G145" s="1"/>
  <c r="F83"/>
  <c r="N78"/>
  <c r="D78"/>
  <c r="F78"/>
  <c r="G262" i="12" s="1"/>
  <c r="M78" i="8"/>
  <c r="E83"/>
  <c r="N69"/>
  <c r="F69"/>
  <c r="G637" i="12" s="1"/>
  <c r="H69" i="8"/>
  <c r="I637" i="12" s="1"/>
  <c r="M70" i="8"/>
  <c r="M69" s="1"/>
  <c r="D70"/>
  <c r="D69" s="1"/>
  <c r="K52"/>
  <c r="K23" s="1"/>
  <c r="K49"/>
  <c r="K18" s="1"/>
  <c r="K47"/>
  <c r="K14" s="1"/>
  <c r="G14"/>
  <c r="J637" i="12" l="1"/>
  <c r="J127"/>
  <c r="G18" i="8"/>
  <c r="N49"/>
  <c r="I127" i="12"/>
  <c r="G23" i="8"/>
  <c r="D52"/>
  <c r="D23" s="1"/>
  <c r="H637" i="12"/>
  <c r="G127"/>
  <c r="F584" i="2"/>
  <c r="F537" s="1"/>
  <c r="E581"/>
  <c r="E251" i="6"/>
  <c r="K21" i="10"/>
  <c r="M21"/>
  <c r="L21"/>
  <c r="M15"/>
  <c r="L15"/>
  <c r="M11"/>
  <c r="L11"/>
  <c r="M9"/>
  <c r="L9"/>
  <c r="M51" i="5"/>
  <c r="M31"/>
  <c r="M29"/>
  <c r="G17" i="10"/>
  <c r="H17"/>
  <c r="I17"/>
  <c r="J17"/>
  <c r="G18"/>
  <c r="H18"/>
  <c r="I18"/>
  <c r="J18"/>
  <c r="L13" i="9"/>
  <c r="E20"/>
  <c r="E19" s="1"/>
  <c r="F20"/>
  <c r="F19" s="1"/>
  <c r="G20"/>
  <c r="G19" s="1"/>
  <c r="H20"/>
  <c r="H19" s="1"/>
  <c r="I20"/>
  <c r="I19" s="1"/>
  <c r="J20"/>
  <c r="J19" s="1"/>
  <c r="K20"/>
  <c r="K19" s="1"/>
  <c r="L20"/>
  <c r="L19" s="1"/>
  <c r="E22"/>
  <c r="E18" s="1"/>
  <c r="I22"/>
  <c r="J22"/>
  <c r="K22"/>
  <c r="L22"/>
  <c r="E15" i="8"/>
  <c r="F15"/>
  <c r="G15"/>
  <c r="H15"/>
  <c r="I15"/>
  <c r="J15"/>
  <c r="K15"/>
  <c r="L15"/>
  <c r="G16"/>
  <c r="H16"/>
  <c r="I16"/>
  <c r="J16"/>
  <c r="K16"/>
  <c r="L16"/>
  <c r="E20"/>
  <c r="E16" s="1"/>
  <c r="E25"/>
  <c r="F25"/>
  <c r="G25"/>
  <c r="H25"/>
  <c r="I25"/>
  <c r="J25"/>
  <c r="K25"/>
  <c r="L25"/>
  <c r="E31"/>
  <c r="E28" s="1"/>
  <c r="F31"/>
  <c r="H31"/>
  <c r="H28" s="1"/>
  <c r="I31"/>
  <c r="I28" s="1"/>
  <c r="J31"/>
  <c r="J28" s="1"/>
  <c r="K31"/>
  <c r="K28" s="1"/>
  <c r="L31"/>
  <c r="L28" s="1"/>
  <c r="G54"/>
  <c r="G51"/>
  <c r="G48"/>
  <c r="G46"/>
  <c r="G13" s="1"/>
  <c r="L109" i="4"/>
  <c r="K109"/>
  <c r="F109"/>
  <c r="M59"/>
  <c r="E56"/>
  <c r="F56"/>
  <c r="G56"/>
  <c r="K56"/>
  <c r="E57"/>
  <c r="E6" s="1"/>
  <c r="F57"/>
  <c r="F6" s="1"/>
  <c r="G57"/>
  <c r="H57"/>
  <c r="I57"/>
  <c r="J57"/>
  <c r="K57"/>
  <c r="L57"/>
  <c r="E58"/>
  <c r="F58"/>
  <c r="G58"/>
  <c r="H58"/>
  <c r="I58"/>
  <c r="J58"/>
  <c r="G57" i="1" s="1"/>
  <c r="G109" s="1"/>
  <c r="K58" i="4"/>
  <c r="L58"/>
  <c r="I57" i="1" s="1"/>
  <c r="E59" i="4"/>
  <c r="F59"/>
  <c r="G59"/>
  <c r="H59"/>
  <c r="I59"/>
  <c r="J59"/>
  <c r="K59"/>
  <c r="E61"/>
  <c r="F61"/>
  <c r="G61"/>
  <c r="H61"/>
  <c r="I61"/>
  <c r="J61"/>
  <c r="K61"/>
  <c r="L61"/>
  <c r="E62"/>
  <c r="F62"/>
  <c r="G62"/>
  <c r="H62"/>
  <c r="I62"/>
  <c r="J62"/>
  <c r="K62"/>
  <c r="L62"/>
  <c r="E66"/>
  <c r="F66"/>
  <c r="G66"/>
  <c r="H66"/>
  <c r="I66"/>
  <c r="J66"/>
  <c r="K66"/>
  <c r="L66"/>
  <c r="E67"/>
  <c r="F67"/>
  <c r="G67"/>
  <c r="H67"/>
  <c r="I67"/>
  <c r="J67"/>
  <c r="K67"/>
  <c r="L67"/>
  <c r="E68"/>
  <c r="F68"/>
  <c r="G68"/>
  <c r="H68"/>
  <c r="I68"/>
  <c r="J68"/>
  <c r="K68"/>
  <c r="L68"/>
  <c r="M52"/>
  <c r="E52"/>
  <c r="F52"/>
  <c r="G52"/>
  <c r="H52"/>
  <c r="I52"/>
  <c r="J52"/>
  <c r="K52"/>
  <c r="L52"/>
  <c r="E53"/>
  <c r="F53"/>
  <c r="G53"/>
  <c r="K53"/>
  <c r="L53"/>
  <c r="I56" i="1" l="1"/>
  <c r="L6" i="4"/>
  <c r="E56" i="1"/>
  <c r="H6" i="4"/>
  <c r="F56" i="1"/>
  <c r="I6" i="4"/>
  <c r="G56" i="1"/>
  <c r="J6" i="4"/>
  <c r="H56" i="1"/>
  <c r="K6" i="4"/>
  <c r="D56" i="1"/>
  <c r="E127" i="12"/>
  <c r="K18" i="9"/>
  <c r="I18"/>
  <c r="J18"/>
  <c r="L18"/>
  <c r="M13"/>
  <c r="G45" i="8"/>
  <c r="G44" s="1"/>
  <c r="G9" s="1"/>
  <c r="G12"/>
  <c r="G11" s="1"/>
  <c r="N13" i="9"/>
  <c r="K65" i="4"/>
  <c r="K64" s="1"/>
  <c r="I65"/>
  <c r="G65"/>
  <c r="E65"/>
  <c r="E64" s="1"/>
  <c r="L65"/>
  <c r="J65"/>
  <c r="H65"/>
  <c r="F65"/>
  <c r="F64" s="1"/>
  <c r="L55"/>
  <c r="L54" s="1"/>
  <c r="J55"/>
  <c r="J54" s="1"/>
  <c r="H55"/>
  <c r="H54" s="1"/>
  <c r="K55"/>
  <c r="K54" s="1"/>
  <c r="I55"/>
  <c r="I54" s="1"/>
  <c r="G55"/>
  <c r="G54" s="1"/>
  <c r="E55"/>
  <c r="E54" s="1"/>
  <c r="K22" i="8"/>
  <c r="I22"/>
  <c r="I21" s="1"/>
  <c r="E22"/>
  <c r="E21" s="1"/>
  <c r="I12"/>
  <c r="I11" s="1"/>
  <c r="E12"/>
  <c r="E11" s="1"/>
  <c r="L22"/>
  <c r="L21" s="1"/>
  <c r="J22"/>
  <c r="J21" s="1"/>
  <c r="H22"/>
  <c r="H21" s="1"/>
  <c r="L12"/>
  <c r="L11" s="1"/>
  <c r="G22"/>
  <c r="H12"/>
  <c r="H11" s="1"/>
  <c r="F55" i="4"/>
  <c r="F54" s="1"/>
  <c r="K12" i="8"/>
  <c r="K11" s="1"/>
  <c r="J12"/>
  <c r="J11" s="1"/>
  <c r="G50"/>
  <c r="G144" s="1"/>
  <c r="E10" i="9"/>
  <c r="K21" i="8"/>
  <c r="L64" i="4"/>
  <c r="H64" l="1"/>
  <c r="G64"/>
  <c r="M8"/>
  <c r="M6" s="1"/>
  <c r="G6"/>
  <c r="N6"/>
  <c r="J64"/>
  <c r="I64"/>
  <c r="E13" i="10"/>
  <c r="O13" s="1"/>
  <c r="E14"/>
  <c r="E380" i="2"/>
  <c r="H41"/>
  <c r="J41"/>
  <c r="K41"/>
  <c r="L41"/>
  <c r="G138"/>
  <c r="E143"/>
  <c r="F143"/>
  <c r="E140"/>
  <c r="F140"/>
  <c r="F45" s="1"/>
  <c r="E136"/>
  <c r="E133"/>
  <c r="F133"/>
  <c r="F38" s="1"/>
  <c r="E131"/>
  <c r="E90"/>
  <c r="E88"/>
  <c r="E85"/>
  <c r="E83"/>
  <c r="E82"/>
  <c r="E38" l="1"/>
  <c r="E45"/>
  <c r="E44" s="1"/>
  <c r="K44"/>
  <c r="K43" s="1"/>
  <c r="I44"/>
  <c r="K36"/>
  <c r="K35" s="1"/>
  <c r="L44"/>
  <c r="L43" s="1"/>
  <c r="J44"/>
  <c r="J43" s="1"/>
  <c r="H44"/>
  <c r="H43" s="1"/>
  <c r="L36"/>
  <c r="L35" s="1"/>
  <c r="J36"/>
  <c r="J35" s="1"/>
  <c r="H36"/>
  <c r="H35" s="1"/>
  <c r="E41" l="1"/>
  <c r="E49"/>
  <c r="E43" s="1"/>
  <c r="E36"/>
  <c r="M115" i="13"/>
  <c r="M114" s="1"/>
  <c r="M113" s="1"/>
  <c r="M111"/>
  <c r="M110" s="1"/>
  <c r="M109" s="1"/>
  <c r="M100"/>
  <c r="M67"/>
  <c r="M66" s="1"/>
  <c r="M65"/>
  <c r="M64" s="1"/>
  <c r="M51"/>
  <c r="M75"/>
  <c r="M40"/>
  <c r="M39" s="1"/>
  <c r="M38"/>
  <c r="M37" s="1"/>
  <c r="M31"/>
  <c r="M30" s="1"/>
  <c r="M29"/>
  <c r="M28" s="1"/>
  <c r="M17"/>
  <c r="M290" i="9"/>
  <c r="M289" s="1"/>
  <c r="M286"/>
  <c r="M285" s="1"/>
  <c r="M283"/>
  <c r="M282" s="1"/>
  <c r="M281" s="1"/>
  <c r="M222"/>
  <c r="M221"/>
  <c r="M218"/>
  <c r="M217"/>
  <c r="M209"/>
  <c r="M208" s="1"/>
  <c r="M207"/>
  <c r="M206" s="1"/>
  <c r="M200"/>
  <c r="M199"/>
  <c r="M196"/>
  <c r="M195"/>
  <c r="M187"/>
  <c r="M186" s="1"/>
  <c r="M185"/>
  <c r="M184" s="1"/>
  <c r="M178"/>
  <c r="M177" s="1"/>
  <c r="M176"/>
  <c r="M175" s="1"/>
  <c r="M167"/>
  <c r="M166" s="1"/>
  <c r="M163"/>
  <c r="M162" s="1"/>
  <c r="M156"/>
  <c r="M155" s="1"/>
  <c r="M154"/>
  <c r="M153" s="1"/>
  <c r="M130"/>
  <c r="M122"/>
  <c r="M121" s="1"/>
  <c r="M120"/>
  <c r="M119" s="1"/>
  <c r="M133" i="8"/>
  <c r="M132" s="1"/>
  <c r="M131" s="1"/>
  <c r="M125"/>
  <c r="M124"/>
  <c r="M134" i="7"/>
  <c r="M133"/>
  <c r="M131" s="1"/>
  <c r="M130" s="1"/>
  <c r="M122"/>
  <c r="M110"/>
  <c r="M109"/>
  <c r="M107" s="1"/>
  <c r="M106" s="1"/>
  <c r="M84"/>
  <c r="M83"/>
  <c r="M81" s="1"/>
  <c r="M80" s="1"/>
  <c r="M72"/>
  <c r="M70"/>
  <c r="M69" s="1"/>
  <c r="M68" s="1"/>
  <c r="M60"/>
  <c r="M58"/>
  <c r="M57" s="1"/>
  <c r="M56" s="1"/>
  <c r="M48"/>
  <c r="M15"/>
  <c r="M262" i="6"/>
  <c r="M261"/>
  <c r="M250"/>
  <c r="M249" s="1"/>
  <c r="M230"/>
  <c r="M229" s="1"/>
  <c r="M228"/>
  <c r="M218"/>
  <c r="M214"/>
  <c r="M173"/>
  <c r="M129"/>
  <c r="M120"/>
  <c r="M102"/>
  <c r="M17" s="1"/>
  <c r="M101"/>
  <c r="M99"/>
  <c r="M87"/>
  <c r="M86" s="1"/>
  <c r="M85"/>
  <c r="M84" s="1"/>
  <c r="M65"/>
  <c r="M64" s="1"/>
  <c r="M63"/>
  <c r="M62"/>
  <c r="M53"/>
  <c r="M52"/>
  <c r="M48"/>
  <c r="M47"/>
  <c r="M43"/>
  <c r="M96" i="4"/>
  <c r="M95" s="1"/>
  <c r="M94" s="1"/>
  <c r="M91"/>
  <c r="M90"/>
  <c r="M89" s="1"/>
  <c r="M86"/>
  <c r="M85"/>
  <c r="M84" s="1"/>
  <c r="M76"/>
  <c r="M61" s="1"/>
  <c r="M74"/>
  <c r="M101" i="3"/>
  <c r="M89"/>
  <c r="M79"/>
  <c r="M78" s="1"/>
  <c r="M77"/>
  <c r="M76"/>
  <c r="M66"/>
  <c r="M65"/>
  <c r="M63" s="1"/>
  <c r="M50"/>
  <c r="M37"/>
  <c r="M36"/>
  <c r="M35"/>
  <c r="M31"/>
  <c r="M30"/>
  <c r="M29"/>
  <c r="M675" i="2"/>
  <c r="M674" s="1"/>
  <c r="M673" s="1"/>
  <c r="M668"/>
  <c r="M667" s="1"/>
  <c r="M666" s="1"/>
  <c r="M660"/>
  <c r="M640"/>
  <c r="M639" s="1"/>
  <c r="M638" s="1"/>
  <c r="M636"/>
  <c r="M635" s="1"/>
  <c r="M634" s="1"/>
  <c r="M629"/>
  <c r="M628"/>
  <c r="M621"/>
  <c r="M620"/>
  <c r="M596"/>
  <c r="M595" s="1"/>
  <c r="M594" s="1"/>
  <c r="M589"/>
  <c r="M588"/>
  <c r="M587" s="1"/>
  <c r="M586" s="1"/>
  <c r="M574"/>
  <c r="M573"/>
  <c r="M569"/>
  <c r="M568" s="1"/>
  <c r="M567" s="1"/>
  <c r="M558"/>
  <c r="M521"/>
  <c r="M520" s="1"/>
  <c r="M519"/>
  <c r="M518" s="1"/>
  <c r="M503"/>
  <c r="M502" s="1"/>
  <c r="M501"/>
  <c r="M500" s="1"/>
  <c r="M488"/>
  <c r="M487"/>
  <c r="M485"/>
  <c r="M484"/>
  <c r="M483"/>
  <c r="M460"/>
  <c r="M459"/>
  <c r="M455"/>
  <c r="M454"/>
  <c r="M430"/>
  <c r="M429" s="1"/>
  <c r="M428"/>
  <c r="M427" s="1"/>
  <c r="M421"/>
  <c r="M420" s="1"/>
  <c r="M419"/>
  <c r="M418" s="1"/>
  <c r="M390"/>
  <c r="M339"/>
  <c r="M356"/>
  <c r="M355" s="1"/>
  <c r="M354"/>
  <c r="M353"/>
  <c r="M244"/>
  <c r="M232"/>
  <c r="M220"/>
  <c r="M120"/>
  <c r="M119" s="1"/>
  <c r="M108"/>
  <c r="M107" s="1"/>
  <c r="M97"/>
  <c r="M96" s="1"/>
  <c r="M95"/>
  <c r="M85"/>
  <c r="M84" s="1"/>
  <c r="M83"/>
  <c r="M73"/>
  <c r="M72" s="1"/>
  <c r="M71"/>
  <c r="M60"/>
  <c r="M58" s="1"/>
  <c r="M57"/>
  <c r="K139" i="1"/>
  <c r="K130"/>
  <c r="K125"/>
  <c r="K124"/>
  <c r="K122"/>
  <c r="K121"/>
  <c r="K120"/>
  <c r="K119"/>
  <c r="M191" i="9" l="1"/>
  <c r="M74" i="13"/>
  <c r="E35" i="2"/>
  <c r="K140" i="1"/>
  <c r="M123" i="8"/>
  <c r="M122" s="1"/>
  <c r="M38" i="6"/>
  <c r="M53" i="4"/>
  <c r="M51" s="1"/>
  <c r="M62" i="3"/>
  <c r="M417" i="2"/>
  <c r="M426"/>
  <c r="M352"/>
  <c r="M351" s="1"/>
  <c r="M482"/>
  <c r="M260" i="6"/>
  <c r="M259" s="1"/>
  <c r="M216" i="9"/>
  <c r="M215" s="1"/>
  <c r="M194"/>
  <c r="M193" s="1"/>
  <c r="M220"/>
  <c r="M219" s="1"/>
  <c r="M572" i="2"/>
  <c r="M571" s="1"/>
  <c r="M61" i="6"/>
  <c r="M60" s="1"/>
  <c r="V110" i="4"/>
  <c r="K126" i="1"/>
  <c r="M83" i="6"/>
  <c r="M486" i="2"/>
  <c r="M72" i="4"/>
  <c r="M71" s="1"/>
  <c r="M36" i="13"/>
  <c r="M27"/>
  <c r="M213" i="6"/>
  <c r="M183" i="9"/>
  <c r="M174"/>
  <c r="M63" i="13"/>
  <c r="M152" i="9"/>
  <c r="M118"/>
  <c r="M161"/>
  <c r="M205"/>
  <c r="M55" i="4"/>
  <c r="M54" s="1"/>
  <c r="M75" i="3"/>
  <c r="M74" s="1"/>
  <c r="M619" i="2"/>
  <c r="M618" s="1"/>
  <c r="M627"/>
  <c r="M626" s="1"/>
  <c r="M499"/>
  <c r="M517"/>
  <c r="M139" i="5"/>
  <c r="M138" s="1"/>
  <c r="M129"/>
  <c r="M126"/>
  <c r="M125" s="1"/>
  <c r="M119"/>
  <c r="M118" s="1"/>
  <c r="M117" s="1"/>
  <c r="M101"/>
  <c r="M72"/>
  <c r="M71" s="1"/>
  <c r="M70" s="1"/>
  <c r="M65"/>
  <c r="M64" s="1"/>
  <c r="M63" s="1"/>
  <c r="M58"/>
  <c r="M57" s="1"/>
  <c r="M56" s="1"/>
  <c r="M50"/>
  <c r="M49" s="1"/>
  <c r="M30"/>
  <c r="M28"/>
  <c r="M12"/>
  <c r="E75"/>
  <c r="E72"/>
  <c r="E47"/>
  <c r="M42"/>
  <c r="M41" s="1"/>
  <c r="E42"/>
  <c r="M40"/>
  <c r="M39" s="1"/>
  <c r="E40"/>
  <c r="M481" i="2" l="1"/>
  <c r="M214" i="9"/>
  <c r="M38" i="5"/>
  <c r="M27"/>
  <c r="E370" i="2"/>
  <c r="E372" l="1"/>
  <c r="E366"/>
  <c r="M382" l="1"/>
  <c r="M381" s="1"/>
  <c r="M380"/>
  <c r="M379" s="1"/>
  <c r="M557"/>
  <c r="M556" s="1"/>
  <c r="M555" s="1"/>
  <c r="M581"/>
  <c r="M580" s="1"/>
  <c r="M579" s="1"/>
  <c r="M198"/>
  <c r="M197" s="1"/>
  <c r="M195"/>
  <c r="M194" s="1"/>
  <c r="M150"/>
  <c r="M149" s="1"/>
  <c r="E141"/>
  <c r="E138"/>
  <c r="M136"/>
  <c r="M134" s="1"/>
  <c r="M131"/>
  <c r="M116"/>
  <c r="M115" s="1"/>
  <c r="M114" s="1"/>
  <c r="M106"/>
  <c r="M105" s="1"/>
  <c r="M104" s="1"/>
  <c r="M94"/>
  <c r="M93" s="1"/>
  <c r="M92" s="1"/>
  <c r="M82"/>
  <c r="M81" s="1"/>
  <c r="M80" s="1"/>
  <c r="M70"/>
  <c r="M69" s="1"/>
  <c r="M68" s="1"/>
  <c r="M56"/>
  <c r="M55" s="1"/>
  <c r="M54" s="1"/>
  <c r="M193" l="1"/>
  <c r="E137"/>
  <c r="M378"/>
  <c r="M133"/>
  <c r="M130" s="1"/>
  <c r="M129" s="1"/>
  <c r="M147"/>
  <c r="M146" s="1"/>
  <c r="M145" s="1"/>
  <c r="E149"/>
  <c r="E146"/>
  <c r="E154"/>
  <c r="E151" s="1"/>
  <c r="N92" i="4"/>
  <c r="H157" i="6"/>
  <c r="I157"/>
  <c r="J157"/>
  <c r="K157"/>
  <c r="L157"/>
  <c r="F158"/>
  <c r="F157" s="1"/>
  <c r="G158"/>
  <c r="G157" s="1"/>
  <c r="D159"/>
  <c r="M159" s="1"/>
  <c r="N159"/>
  <c r="H161"/>
  <c r="H160" s="1"/>
  <c r="I161"/>
  <c r="I160" s="1"/>
  <c r="J161"/>
  <c r="J160" s="1"/>
  <c r="K161"/>
  <c r="K160" s="1"/>
  <c r="L161"/>
  <c r="L160" s="1"/>
  <c r="F162"/>
  <c r="F161" s="1"/>
  <c r="G162"/>
  <c r="G161" s="1"/>
  <c r="G160" s="1"/>
  <c r="F164"/>
  <c r="G164"/>
  <c r="H164"/>
  <c r="I164"/>
  <c r="J164"/>
  <c r="K164"/>
  <c r="L164"/>
  <c r="D165"/>
  <c r="H167"/>
  <c r="H166" s="1"/>
  <c r="I167"/>
  <c r="I166" s="1"/>
  <c r="J167"/>
  <c r="J166" s="1"/>
  <c r="K167"/>
  <c r="K166" s="1"/>
  <c r="L167"/>
  <c r="L166" s="1"/>
  <c r="F168"/>
  <c r="F167" s="1"/>
  <c r="G168"/>
  <c r="G167" s="1"/>
  <c r="G166" s="1"/>
  <c r="N173"/>
  <c r="N53"/>
  <c r="N47"/>
  <c r="N48"/>
  <c r="N43"/>
  <c r="N100" i="13"/>
  <c r="N65"/>
  <c r="N64" s="1"/>
  <c r="N67"/>
  <c r="N66" s="1"/>
  <c r="N51"/>
  <c r="N40"/>
  <c r="N38"/>
  <c r="N31"/>
  <c r="N29"/>
  <c r="N158" i="6" l="1"/>
  <c r="N162"/>
  <c r="N63" i="13"/>
  <c r="E145" i="2"/>
  <c r="D164" i="6"/>
  <c r="L163"/>
  <c r="F166"/>
  <c r="D166" s="1"/>
  <c r="D167"/>
  <c r="K163"/>
  <c r="I163"/>
  <c r="G163"/>
  <c r="F160"/>
  <c r="F156" s="1"/>
  <c r="D161"/>
  <c r="M161" s="1"/>
  <c r="N161"/>
  <c r="D157"/>
  <c r="M157" s="1"/>
  <c r="N157"/>
  <c r="K156"/>
  <c r="I156"/>
  <c r="J163"/>
  <c r="H163"/>
  <c r="G156"/>
  <c r="L156"/>
  <c r="J156"/>
  <c r="H156"/>
  <c r="D168"/>
  <c r="D162"/>
  <c r="M162" s="1"/>
  <c r="D158"/>
  <c r="M158" s="1"/>
  <c r="D275" i="9"/>
  <c r="N287"/>
  <c r="N283"/>
  <c r="N222"/>
  <c r="N221"/>
  <c r="N218"/>
  <c r="N217"/>
  <c r="N209"/>
  <c r="N207"/>
  <c r="N196"/>
  <c r="N195"/>
  <c r="N187"/>
  <c r="N185"/>
  <c r="N178"/>
  <c r="N176"/>
  <c r="N167"/>
  <c r="N163"/>
  <c r="N156"/>
  <c r="N154"/>
  <c r="N130"/>
  <c r="N122"/>
  <c r="N120"/>
  <c r="N124" i="8"/>
  <c r="N18"/>
  <c r="N47"/>
  <c r="N14" s="1"/>
  <c r="N35"/>
  <c r="N15" s="1"/>
  <c r="N194" i="9" l="1"/>
  <c r="F163" i="6"/>
  <c r="D163" s="1"/>
  <c r="N216" i="9"/>
  <c r="N215" s="1"/>
  <c r="N220"/>
  <c r="N219" s="1"/>
  <c r="D156" i="6"/>
  <c r="M156" s="1"/>
  <c r="N156"/>
  <c r="D160"/>
  <c r="M160" s="1"/>
  <c r="N160"/>
  <c r="N214" i="9" l="1"/>
  <c r="N133" i="7"/>
  <c r="N99" i="6"/>
  <c r="N101"/>
  <c r="N131"/>
  <c r="N130"/>
  <c r="N129"/>
  <c r="E15"/>
  <c r="J15"/>
  <c r="K15"/>
  <c r="L15"/>
  <c r="E16"/>
  <c r="E22"/>
  <c r="H22"/>
  <c r="I22"/>
  <c r="J22"/>
  <c r="K22"/>
  <c r="L22"/>
  <c r="N261"/>
  <c r="N251"/>
  <c r="N230"/>
  <c r="N228"/>
  <c r="N87"/>
  <c r="N85"/>
  <c r="N76"/>
  <c r="N74"/>
  <c r="N65"/>
  <c r="N63"/>
  <c r="N62"/>
  <c r="N40" i="5"/>
  <c r="N42"/>
  <c r="N72"/>
  <c r="N58"/>
  <c r="N87" i="4"/>
  <c r="N76"/>
  <c r="N61" s="1"/>
  <c r="N75"/>
  <c r="N59" s="1"/>
  <c r="N74"/>
  <c r="N13" i="3"/>
  <c r="N103"/>
  <c r="N101"/>
  <c r="N100"/>
  <c r="N89"/>
  <c r="N79"/>
  <c r="N77"/>
  <c r="N76"/>
  <c r="N65"/>
  <c r="N675" i="2"/>
  <c r="N668"/>
  <c r="N661"/>
  <c r="N660"/>
  <c r="N653"/>
  <c r="N652"/>
  <c r="N648"/>
  <c r="N608"/>
  <c r="N581"/>
  <c r="N569"/>
  <c r="N558"/>
  <c r="N557"/>
  <c r="N430"/>
  <c r="N428"/>
  <c r="N421"/>
  <c r="N419"/>
  <c r="N412"/>
  <c r="N410"/>
  <c r="N403"/>
  <c r="N401"/>
  <c r="N392"/>
  <c r="N390"/>
  <c r="N389"/>
  <c r="N382"/>
  <c r="N380"/>
  <c r="N339"/>
  <c r="N318"/>
  <c r="N222"/>
  <c r="N220"/>
  <c r="N207"/>
  <c r="N198"/>
  <c r="N195"/>
  <c r="N150"/>
  <c r="N147"/>
  <c r="N136"/>
  <c r="N133"/>
  <c r="N131"/>
  <c r="N120"/>
  <c r="N116"/>
  <c r="N108"/>
  <c r="N106"/>
  <c r="N97"/>
  <c r="N95"/>
  <c r="N94"/>
  <c r="N85"/>
  <c r="N83"/>
  <c r="N82"/>
  <c r="N73"/>
  <c r="N71"/>
  <c r="N70"/>
  <c r="N60"/>
  <c r="N57"/>
  <c r="N56"/>
  <c r="N56" i="4" l="1"/>
  <c r="W109"/>
  <c r="V112" s="1"/>
  <c r="N52"/>
  <c r="M13" i="3"/>
  <c r="G655" i="12" l="1"/>
  <c r="I132"/>
  <c r="J132"/>
  <c r="K132"/>
  <c r="L132"/>
  <c r="M132"/>
  <c r="I133"/>
  <c r="J133"/>
  <c r="K133"/>
  <c r="L133"/>
  <c r="M133"/>
  <c r="I134"/>
  <c r="J134"/>
  <c r="K134"/>
  <c r="L134"/>
  <c r="M134"/>
  <c r="I135"/>
  <c r="J135"/>
  <c r="K135"/>
  <c r="L135"/>
  <c r="M135"/>
  <c r="B131"/>
  <c r="E479"/>
  <c r="G624" l="1"/>
  <c r="M661" i="2" l="1"/>
  <c r="M659" s="1"/>
  <c r="M658" s="1"/>
  <c r="F648" l="1"/>
  <c r="M648" s="1"/>
  <c r="M647" s="1"/>
  <c r="M646" s="1"/>
  <c r="F60" i="9" l="1"/>
  <c r="N55"/>
  <c r="M55"/>
  <c r="M54" s="1"/>
  <c r="N52"/>
  <c r="N51" s="1"/>
  <c r="M52"/>
  <c r="M51" s="1"/>
  <c r="F48"/>
  <c r="N43"/>
  <c r="M43"/>
  <c r="M42" s="1"/>
  <c r="N40"/>
  <c r="N39" s="1"/>
  <c r="G22"/>
  <c r="G18" s="1"/>
  <c r="F36"/>
  <c r="F23" s="1"/>
  <c r="F22" l="1"/>
  <c r="F18" s="1"/>
  <c r="M50"/>
  <c r="M40"/>
  <c r="M39" s="1"/>
  <c r="M38" s="1"/>
  <c r="M28"/>
  <c r="N28"/>
  <c r="M31"/>
  <c r="M30" s="1"/>
  <c r="H224" i="2"/>
  <c r="H226"/>
  <c r="I175" i="12" s="1"/>
  <c r="F227" i="2"/>
  <c r="H221"/>
  <c r="I174" i="12" s="1"/>
  <c r="H218" i="2"/>
  <c r="I173" i="12" s="1"/>
  <c r="M222" i="2"/>
  <c r="M221" s="1"/>
  <c r="N210"/>
  <c r="M210"/>
  <c r="M209" s="1"/>
  <c r="M207"/>
  <c r="G141"/>
  <c r="G137" s="1"/>
  <c r="N174"/>
  <c r="F191"/>
  <c r="N186"/>
  <c r="N183"/>
  <c r="N219" l="1"/>
  <c r="N27" i="9"/>
  <c r="M27"/>
  <c r="M26" s="1"/>
  <c r="M219" i="2"/>
  <c r="M218" s="1"/>
  <c r="M217" s="1"/>
  <c r="H217"/>
  <c r="I172" i="12" s="1"/>
  <c r="M315" i="2"/>
  <c r="M314" s="1"/>
  <c r="M208"/>
  <c r="M206" s="1"/>
  <c r="M205" s="1"/>
  <c r="N208"/>
  <c r="N315"/>
  <c r="M183"/>
  <c r="M182" s="1"/>
  <c r="M186"/>
  <c r="M185" s="1"/>
  <c r="M173"/>
  <c r="H223"/>
  <c r="B226" i="12"/>
  <c r="E542"/>
  <c r="E526"/>
  <c r="E525"/>
  <c r="E524"/>
  <c r="E523"/>
  <c r="E516"/>
  <c r="E515"/>
  <c r="E514"/>
  <c r="E505"/>
  <c r="E504"/>
  <c r="E503"/>
  <c r="E502"/>
  <c r="E500"/>
  <c r="E499"/>
  <c r="E498"/>
  <c r="E497"/>
  <c r="E380"/>
  <c r="E379"/>
  <c r="E378"/>
  <c r="E377"/>
  <c r="E410"/>
  <c r="E409"/>
  <c r="E408"/>
  <c r="E243"/>
  <c r="E238"/>
  <c r="E233"/>
  <c r="E198"/>
  <c r="E197"/>
  <c r="E196"/>
  <c r="E195"/>
  <c r="E33"/>
  <c r="G49" i="2" l="1"/>
  <c r="C409" i="12"/>
  <c r="M169" i="2"/>
  <c r="M181"/>
  <c r="C379" i="12"/>
  <c r="C197"/>
  <c r="C515"/>
  <c r="C525"/>
  <c r="C499"/>
  <c r="C504"/>
  <c r="J644" i="2" l="1"/>
  <c r="J643"/>
  <c r="I644"/>
  <c r="H644"/>
  <c r="J602"/>
  <c r="J601" s="1"/>
  <c r="I602"/>
  <c r="I601" s="1"/>
  <c r="N603" l="1"/>
  <c r="M644"/>
  <c r="M643" s="1"/>
  <c r="M642" s="1"/>
  <c r="M603"/>
  <c r="M602" s="1"/>
  <c r="M601" s="1"/>
  <c r="N644"/>
  <c r="J642"/>
  <c r="G150" i="3"/>
  <c r="H150"/>
  <c r="I144" i="12" s="1"/>
  <c r="I150" i="3"/>
  <c r="J144" i="12" s="1"/>
  <c r="J150" i="3"/>
  <c r="K144" i="12" s="1"/>
  <c r="K150" i="3"/>
  <c r="L144" i="12" s="1"/>
  <c r="F150" i="3"/>
  <c r="G144" i="12" s="1"/>
  <c r="H144" l="1"/>
  <c r="M150" i="3"/>
  <c r="M149" s="1"/>
  <c r="M148" s="1"/>
  <c r="N651" i="2"/>
  <c r="M130" i="6" l="1"/>
  <c r="L108"/>
  <c r="L100"/>
  <c r="F104"/>
  <c r="E125"/>
  <c r="E121"/>
  <c r="E102"/>
  <c r="F96"/>
  <c r="D130"/>
  <c r="D129"/>
  <c r="E109"/>
  <c r="E96"/>
  <c r="E14" s="1"/>
  <c r="L96" l="1"/>
  <c r="M607" i="12"/>
  <c r="E106" i="6"/>
  <c r="E17"/>
  <c r="B23" i="1" s="1"/>
  <c r="N17" i="13" l="1"/>
  <c r="F21"/>
  <c r="F20" s="1"/>
  <c r="D278" i="9"/>
  <c r="D277" s="1"/>
  <c r="D56" i="8"/>
  <c r="D126" i="7"/>
  <c r="D133"/>
  <c r="D46"/>
  <c r="D28"/>
  <c r="D132"/>
  <c r="D265" i="6"/>
  <c r="D262"/>
  <c r="D45" i="5"/>
  <c r="D44" s="1"/>
  <c r="D106" i="3"/>
  <c r="D101"/>
  <c r="D94"/>
  <c r="D89"/>
  <c r="D43"/>
  <c r="D40"/>
  <c r="D37"/>
  <c r="D31"/>
  <c r="D524" i="2"/>
  <c r="D521"/>
  <c r="D519"/>
  <c r="D506"/>
  <c r="D503"/>
  <c r="D501"/>
  <c r="D497"/>
  <c r="D496"/>
  <c r="D495"/>
  <c r="D493"/>
  <c r="D492"/>
  <c r="D491"/>
  <c r="D488"/>
  <c r="D487"/>
  <c r="D485"/>
  <c r="D484"/>
  <c r="D483"/>
  <c r="D460"/>
  <c r="D459"/>
  <c r="D592"/>
  <c r="D589"/>
  <c r="D588"/>
  <c r="D577"/>
  <c r="D574"/>
  <c r="D573"/>
  <c r="D333"/>
  <c r="D361"/>
  <c r="D359"/>
  <c r="D356"/>
  <c r="D354"/>
  <c r="D353"/>
  <c r="D321"/>
  <c r="D316"/>
  <c r="D249"/>
  <c r="D244"/>
  <c r="D237"/>
  <c r="D232"/>
  <c r="D126"/>
  <c r="D124"/>
  <c r="D123"/>
  <c r="D102"/>
  <c r="D65"/>
  <c r="D59"/>
  <c r="D57"/>
  <c r="E182" i="6"/>
  <c r="E181" s="1"/>
  <c r="E179"/>
  <c r="E171"/>
  <c r="E175"/>
  <c r="E174" s="1"/>
  <c r="E144"/>
  <c r="E143" s="1"/>
  <c r="E19" s="1"/>
  <c r="E23"/>
  <c r="E21" s="1"/>
  <c r="N15" i="1"/>
  <c r="H20" i="10"/>
  <c r="I20"/>
  <c r="J20"/>
  <c r="E151" i="6" l="1"/>
  <c r="E25" s="1"/>
  <c r="E13"/>
  <c r="E170"/>
  <c r="E178"/>
  <c r="E142"/>
  <c r="E18"/>
  <c r="E24" l="1"/>
  <c r="E20" s="1"/>
  <c r="E150"/>
  <c r="E12"/>
  <c r="E255"/>
  <c r="E243" s="1"/>
  <c r="E242" s="1"/>
  <c r="E241" s="1"/>
  <c r="E23" i="13"/>
  <c r="E21"/>
  <c r="E20" s="1"/>
  <c r="E14"/>
  <c r="E12" s="1"/>
  <c r="E21" i="7"/>
  <c r="E17" s="1"/>
  <c r="E15"/>
  <c r="E25" i="5"/>
  <c r="E23" s="1"/>
  <c r="E20" s="1"/>
  <c r="E19"/>
  <c r="E17" s="1"/>
  <c r="E15"/>
  <c r="E14" s="1"/>
  <c r="E540" i="2"/>
  <c r="E539"/>
  <c r="E538"/>
  <c r="E534"/>
  <c r="E533"/>
  <c r="E532"/>
  <c r="E531"/>
  <c r="E28"/>
  <c r="E15"/>
  <c r="B20" i="1" s="1"/>
  <c r="C35" i="10"/>
  <c r="E114" i="13"/>
  <c r="E113" s="1"/>
  <c r="E110"/>
  <c r="E109" s="1"/>
  <c r="E71"/>
  <c r="E69"/>
  <c r="E66"/>
  <c r="E64"/>
  <c r="E60"/>
  <c r="E58"/>
  <c r="E52"/>
  <c r="E39"/>
  <c r="E37"/>
  <c r="E30"/>
  <c r="E28"/>
  <c r="D115"/>
  <c r="D51"/>
  <c r="D111"/>
  <c r="D72"/>
  <c r="D71" s="1"/>
  <c r="D70"/>
  <c r="D69" s="1"/>
  <c r="D67"/>
  <c r="D66" s="1"/>
  <c r="D64"/>
  <c r="D48"/>
  <c r="D31"/>
  <c r="D29"/>
  <c r="E286" i="9"/>
  <c r="E285" s="1"/>
  <c r="E282"/>
  <c r="E281" s="1"/>
  <c r="E224"/>
  <c r="E219"/>
  <c r="F314" i="12" s="1"/>
  <c r="E215" i="9"/>
  <c r="F313" i="12" s="1"/>
  <c r="E211" i="9"/>
  <c r="E210" s="1"/>
  <c r="E208"/>
  <c r="E206"/>
  <c r="E202"/>
  <c r="E197"/>
  <c r="E193"/>
  <c r="F318" i="12" s="1"/>
  <c r="E189" i="9"/>
  <c r="E186"/>
  <c r="E184"/>
  <c r="E180"/>
  <c r="E177"/>
  <c r="E175"/>
  <c r="E171"/>
  <c r="E166"/>
  <c r="F354" i="12" s="1"/>
  <c r="E162" i="9"/>
  <c r="F353" i="12" s="1"/>
  <c r="E158" i="9"/>
  <c r="E157" s="1"/>
  <c r="E155"/>
  <c r="E153"/>
  <c r="E149"/>
  <c r="E148" s="1"/>
  <c r="E144"/>
  <c r="E140"/>
  <c r="E134"/>
  <c r="E136"/>
  <c r="F95" i="12" s="1"/>
  <c r="E131" i="9"/>
  <c r="F94" i="12" s="1"/>
  <c r="E128" i="9"/>
  <c r="F93" i="12" s="1"/>
  <c r="E124" i="9"/>
  <c r="E123" s="1"/>
  <c r="E121"/>
  <c r="E119"/>
  <c r="E93"/>
  <c r="E92" s="1"/>
  <c r="E88"/>
  <c r="E84"/>
  <c r="E80"/>
  <c r="E79" s="1"/>
  <c r="E77"/>
  <c r="E75"/>
  <c r="E59"/>
  <c r="E54"/>
  <c r="E47"/>
  <c r="E44" s="1"/>
  <c r="E42"/>
  <c r="E38" s="1"/>
  <c r="E35"/>
  <c r="E32" s="1"/>
  <c r="E30"/>
  <c r="D287"/>
  <c r="D283"/>
  <c r="D225"/>
  <c r="D212"/>
  <c r="D209"/>
  <c r="D207"/>
  <c r="D203"/>
  <c r="D181"/>
  <c r="D172"/>
  <c r="D171" s="1"/>
  <c r="D170" s="1"/>
  <c r="D167"/>
  <c r="D163"/>
  <c r="D159"/>
  <c r="D158" s="1"/>
  <c r="D157" s="1"/>
  <c r="D156"/>
  <c r="D154"/>
  <c r="D150"/>
  <c r="D149" s="1"/>
  <c r="D148" s="1"/>
  <c r="D135"/>
  <c r="D130"/>
  <c r="D13" s="1"/>
  <c r="D125"/>
  <c r="D124" s="1"/>
  <c r="D123" s="1"/>
  <c r="D122"/>
  <c r="D120"/>
  <c r="D81"/>
  <c r="E54" i="8"/>
  <c r="E51"/>
  <c r="E48"/>
  <c r="E45"/>
  <c r="E41"/>
  <c r="E39"/>
  <c r="E38" s="1"/>
  <c r="C18" i="10" s="1"/>
  <c r="E36" i="8"/>
  <c r="E34"/>
  <c r="E123"/>
  <c r="E122" s="1"/>
  <c r="E107" s="1"/>
  <c r="E105" s="1"/>
  <c r="D128"/>
  <c r="D124"/>
  <c r="D53"/>
  <c r="E131" i="7"/>
  <c r="E125"/>
  <c r="E127"/>
  <c r="E122"/>
  <c r="E119"/>
  <c r="E53"/>
  <c r="E51"/>
  <c r="E48"/>
  <c r="E45"/>
  <c r="E25"/>
  <c r="E24" s="1"/>
  <c r="D120"/>
  <c r="D12" s="1"/>
  <c r="D123"/>
  <c r="D52"/>
  <c r="D49"/>
  <c r="D128"/>
  <c r="D54"/>
  <c r="D31"/>
  <c r="E260" i="6"/>
  <c r="E259" s="1"/>
  <c r="E254"/>
  <c r="E253" s="1"/>
  <c r="E250"/>
  <c r="E249" s="1"/>
  <c r="E234"/>
  <c r="F20" i="12" s="1"/>
  <c r="E232" i="6"/>
  <c r="E229"/>
  <c r="F19" i="12" s="1"/>
  <c r="E227" i="6"/>
  <c r="E223"/>
  <c r="E221"/>
  <c r="E218"/>
  <c r="E214"/>
  <c r="E148"/>
  <c r="E139"/>
  <c r="E138" s="1"/>
  <c r="E135"/>
  <c r="E134" s="1"/>
  <c r="E124"/>
  <c r="E120"/>
  <c r="E116"/>
  <c r="E115" s="1"/>
  <c r="E105"/>
  <c r="E95"/>
  <c r="E91"/>
  <c r="E89"/>
  <c r="E86"/>
  <c r="E84"/>
  <c r="E80"/>
  <c r="E78"/>
  <c r="E75"/>
  <c r="E73"/>
  <c r="E69"/>
  <c r="E67"/>
  <c r="E64"/>
  <c r="E61"/>
  <c r="E57"/>
  <c r="E55"/>
  <c r="E49"/>
  <c r="F309" i="12" s="1"/>
  <c r="E40" i="6"/>
  <c r="E36"/>
  <c r="E35" s="1"/>
  <c r="E30"/>
  <c r="F289" i="12" s="1"/>
  <c r="E28" i="6"/>
  <c r="D87"/>
  <c r="D70"/>
  <c r="D69" s="1"/>
  <c r="D37"/>
  <c r="D261"/>
  <c r="D251"/>
  <c r="D235"/>
  <c r="D233"/>
  <c r="D230"/>
  <c r="D228"/>
  <c r="D101"/>
  <c r="D99"/>
  <c r="D97"/>
  <c r="D92"/>
  <c r="D90"/>
  <c r="D85"/>
  <c r="D68"/>
  <c r="D65"/>
  <c r="D64" s="1"/>
  <c r="D63"/>
  <c r="D62"/>
  <c r="D58"/>
  <c r="D56"/>
  <c r="D43"/>
  <c r="E74" i="5"/>
  <c r="E73" s="1"/>
  <c r="E71"/>
  <c r="E70" s="1"/>
  <c r="E60"/>
  <c r="E59" s="1"/>
  <c r="E57"/>
  <c r="E56" s="1"/>
  <c r="E44"/>
  <c r="E46"/>
  <c r="E41"/>
  <c r="E39"/>
  <c r="D61"/>
  <c r="D92" i="4"/>
  <c r="E95"/>
  <c r="E94" s="1"/>
  <c r="E90"/>
  <c r="E89" s="1"/>
  <c r="E85"/>
  <c r="E84" s="1"/>
  <c r="E72"/>
  <c r="E71" s="1"/>
  <c r="E80"/>
  <c r="E79"/>
  <c r="D96"/>
  <c r="D91"/>
  <c r="D87"/>
  <c r="D56" s="1"/>
  <c r="D86"/>
  <c r="D66"/>
  <c r="D76"/>
  <c r="D75"/>
  <c r="D74"/>
  <c r="D58" s="1"/>
  <c r="D73"/>
  <c r="E155" i="3"/>
  <c r="E154" s="1"/>
  <c r="E149"/>
  <c r="E148" s="1"/>
  <c r="E145"/>
  <c r="E144" s="1"/>
  <c r="E137"/>
  <c r="E136" s="1"/>
  <c r="E133"/>
  <c r="E132" s="1"/>
  <c r="E128"/>
  <c r="E124"/>
  <c r="E105"/>
  <c r="E107"/>
  <c r="E102"/>
  <c r="E99"/>
  <c r="E93"/>
  <c r="E95"/>
  <c r="E90"/>
  <c r="E87"/>
  <c r="E81"/>
  <c r="E83"/>
  <c r="E78"/>
  <c r="E75"/>
  <c r="E69"/>
  <c r="E71"/>
  <c r="E66"/>
  <c r="E63"/>
  <c r="E56"/>
  <c r="E58"/>
  <c r="F325" i="12" s="1"/>
  <c r="E51" i="3"/>
  <c r="E46"/>
  <c r="F323" i="12" s="1"/>
  <c r="E32" i="3"/>
  <c r="F219" i="12" s="1"/>
  <c r="E26" i="3"/>
  <c r="D76"/>
  <c r="E19" i="13" l="1"/>
  <c r="D103"/>
  <c r="P63" i="6"/>
  <c r="E147"/>
  <c r="E239"/>
  <c r="E72"/>
  <c r="E83"/>
  <c r="E44" i="7"/>
  <c r="E56" i="9"/>
  <c r="F490" i="12"/>
  <c r="E170" i="9"/>
  <c r="E299" s="1"/>
  <c r="F355" i="12"/>
  <c r="E201" i="9"/>
  <c r="F320" i="12"/>
  <c r="E213" i="6"/>
  <c r="D22" i="7"/>
  <c r="E33" i="8"/>
  <c r="C17" i="10" s="1"/>
  <c r="E54" i="6"/>
  <c r="E77"/>
  <c r="E231"/>
  <c r="D16" i="7"/>
  <c r="E44" i="8"/>
  <c r="E9" s="1"/>
  <c r="E50" i="7"/>
  <c r="E74" i="9"/>
  <c r="E118" i="7"/>
  <c r="E205" i="9"/>
  <c r="E26"/>
  <c r="E223"/>
  <c r="F315" i="12"/>
  <c r="D19" i="7"/>
  <c r="D18" s="1"/>
  <c r="D59" i="4"/>
  <c r="E183" i="9"/>
  <c r="E179"/>
  <c r="D52" i="4"/>
  <c r="E50" i="8"/>
  <c r="E16" i="13"/>
  <c r="E118" i="9"/>
  <c r="E133"/>
  <c r="E192"/>
  <c r="F317" i="12" s="1"/>
  <c r="E174" i="9"/>
  <c r="E188"/>
  <c r="E530" i="2"/>
  <c r="E529" s="1"/>
  <c r="E43" i="5"/>
  <c r="E143" s="1"/>
  <c r="E13"/>
  <c r="D67" i="6"/>
  <c r="E214" i="9"/>
  <c r="F312" i="12" s="1"/>
  <c r="E226" i="6"/>
  <c r="F17" i="12" s="1"/>
  <c r="F18"/>
  <c r="E27" i="6"/>
  <c r="F287" i="12" s="1"/>
  <c r="F288"/>
  <c r="E39" i="6"/>
  <c r="F307" i="12" s="1"/>
  <c r="F308"/>
  <c r="E25" i="3"/>
  <c r="E45"/>
  <c r="E62"/>
  <c r="E74"/>
  <c r="E86"/>
  <c r="E98"/>
  <c r="E123"/>
  <c r="E94" i="6"/>
  <c r="E119"/>
  <c r="E27" i="13"/>
  <c r="E36"/>
  <c r="E45"/>
  <c r="E57"/>
  <c r="E63"/>
  <c r="E10" s="1"/>
  <c r="D61" i="6"/>
  <c r="E88"/>
  <c r="D63" i="13"/>
  <c r="D10" s="1"/>
  <c r="D68"/>
  <c r="D120" s="1"/>
  <c r="E68"/>
  <c r="E120" s="1"/>
  <c r="E50" i="9"/>
  <c r="F487" i="12" s="1"/>
  <c r="E161" i="9"/>
  <c r="E83"/>
  <c r="E9" s="1"/>
  <c r="E127"/>
  <c r="F92" i="12" s="1"/>
  <c r="E139" i="9"/>
  <c r="E152"/>
  <c r="E124" i="7"/>
  <c r="E10"/>
  <c r="E60" i="6"/>
  <c r="E66"/>
  <c r="E220"/>
  <c r="E38" i="5"/>
  <c r="E51" i="4"/>
  <c r="E55" i="3"/>
  <c r="E68"/>
  <c r="E80"/>
  <c r="E92"/>
  <c r="E104"/>
  <c r="E536" i="2"/>
  <c r="E535" s="1"/>
  <c r="E127" i="8"/>
  <c r="E126" s="1"/>
  <c r="D84" i="3"/>
  <c r="D79"/>
  <c r="D156"/>
  <c r="D146"/>
  <c r="P146" s="1"/>
  <c r="D134"/>
  <c r="E580" i="2"/>
  <c r="E579" s="1"/>
  <c r="E674"/>
  <c r="E673" s="1"/>
  <c r="E667"/>
  <c r="E666" s="1"/>
  <c r="E663"/>
  <c r="E662" s="1"/>
  <c r="E659"/>
  <c r="E658" s="1"/>
  <c r="E655"/>
  <c r="E654" s="1"/>
  <c r="E651"/>
  <c r="E650" s="1"/>
  <c r="E643"/>
  <c r="E642" s="1"/>
  <c r="E610"/>
  <c r="E609" s="1"/>
  <c r="E606"/>
  <c r="E605" s="1"/>
  <c r="E602"/>
  <c r="E601" s="1"/>
  <c r="E568"/>
  <c r="E567" s="1"/>
  <c r="E564"/>
  <c r="E563" s="1"/>
  <c r="E560"/>
  <c r="E559" s="1"/>
  <c r="E556"/>
  <c r="E555" s="1"/>
  <c r="E546"/>
  <c r="E543"/>
  <c r="E542" s="1"/>
  <c r="E462"/>
  <c r="E456"/>
  <c r="F359" i="12" s="1"/>
  <c r="E451" i="2"/>
  <c r="F358" i="12" s="1"/>
  <c r="E441" i="2"/>
  <c r="E436"/>
  <c r="E432"/>
  <c r="E431" s="1"/>
  <c r="E429"/>
  <c r="E428"/>
  <c r="E365" s="1"/>
  <c r="E423"/>
  <c r="E422" s="1"/>
  <c r="E420"/>
  <c r="F352" i="12" l="1"/>
  <c r="E8" i="9"/>
  <c r="C7" i="10"/>
  <c r="C37"/>
  <c r="C8"/>
  <c r="E300" i="9"/>
  <c r="E686" i="2"/>
  <c r="B89" i="1" s="1"/>
  <c r="C19" i="10"/>
  <c r="E283" i="3"/>
  <c r="F322" i="12"/>
  <c r="E8" i="3"/>
  <c r="C23" i="10"/>
  <c r="C24"/>
  <c r="C31"/>
  <c r="E144" i="8"/>
  <c r="E146" s="1"/>
  <c r="E11" i="13"/>
  <c r="E10" i="8"/>
  <c r="E8" s="1"/>
  <c r="C13" i="10"/>
  <c r="E461" i="2"/>
  <c r="E678" s="1"/>
  <c r="F360" i="12"/>
  <c r="E284" i="3"/>
  <c r="E9"/>
  <c r="P68"/>
  <c r="E685" i="2"/>
  <c r="B88" i="1" s="1"/>
  <c r="E10" i="6"/>
  <c r="C34" i="10"/>
  <c r="C30"/>
  <c r="C14"/>
  <c r="C36"/>
  <c r="E427" i="2"/>
  <c r="E426" s="1"/>
  <c r="C20" i="10"/>
  <c r="E11" i="6"/>
  <c r="E9" i="13"/>
  <c r="E527" i="2"/>
  <c r="E417"/>
  <c r="E435"/>
  <c r="E528"/>
  <c r="E450"/>
  <c r="F357" i="12" s="1"/>
  <c r="E414" i="2"/>
  <c r="E413" s="1"/>
  <c r="E411"/>
  <c r="E409"/>
  <c r="E405"/>
  <c r="E404" s="1"/>
  <c r="E402"/>
  <c r="E400"/>
  <c r="E396"/>
  <c r="F165" i="12" s="1"/>
  <c r="E394" i="2"/>
  <c r="E391"/>
  <c r="F164" i="12" s="1"/>
  <c r="E388" i="2"/>
  <c r="F163" i="12" s="1"/>
  <c r="E383" i="2"/>
  <c r="E381"/>
  <c r="F159" i="12" s="1"/>
  <c r="E379" i="2"/>
  <c r="F158" i="12" s="1"/>
  <c r="E348" i="2"/>
  <c r="E345"/>
  <c r="E342"/>
  <c r="E338"/>
  <c r="E322"/>
  <c r="E320"/>
  <c r="E317"/>
  <c r="E314"/>
  <c r="E248"/>
  <c r="E250"/>
  <c r="F140" i="12" s="1"/>
  <c r="E245" i="2"/>
  <c r="F139" i="12" s="1"/>
  <c r="E242" i="2"/>
  <c r="F138" i="12" s="1"/>
  <c r="E236" i="2"/>
  <c r="E238"/>
  <c r="E233"/>
  <c r="E230"/>
  <c r="E226"/>
  <c r="F175" i="12" s="1"/>
  <c r="E224" i="2"/>
  <c r="E221"/>
  <c r="F174" i="12" s="1"/>
  <c r="E218" i="2"/>
  <c r="F173" i="12" s="1"/>
  <c r="E214" i="2"/>
  <c r="E212"/>
  <c r="E209"/>
  <c r="E206"/>
  <c r="E202"/>
  <c r="E200"/>
  <c r="E197"/>
  <c r="E194"/>
  <c r="F443" i="12" s="1"/>
  <c r="E190" i="2"/>
  <c r="E185"/>
  <c r="F169" i="12" s="1"/>
  <c r="E182" i="2"/>
  <c r="F168" i="12" s="1"/>
  <c r="E178" i="2"/>
  <c r="E173"/>
  <c r="F134" i="12" s="1"/>
  <c r="E170" i="2"/>
  <c r="E166"/>
  <c r="E163" s="1"/>
  <c r="E161"/>
  <c r="F104" i="12" s="1"/>
  <c r="E158" i="2"/>
  <c r="F103" i="12" s="1"/>
  <c r="E134" i="2"/>
  <c r="E130"/>
  <c r="E125"/>
  <c r="E119"/>
  <c r="E115"/>
  <c r="E110"/>
  <c r="E109" s="1"/>
  <c r="E107"/>
  <c r="E105"/>
  <c r="D675"/>
  <c r="D668"/>
  <c r="D660"/>
  <c r="D644"/>
  <c r="D584"/>
  <c r="D569"/>
  <c r="D561"/>
  <c r="D558"/>
  <c r="D557"/>
  <c r="D548"/>
  <c r="D547" s="1"/>
  <c r="D546" s="1"/>
  <c r="D463"/>
  <c r="D433"/>
  <c r="D430"/>
  <c r="D428"/>
  <c r="D424"/>
  <c r="D421"/>
  <c r="D419"/>
  <c r="D395"/>
  <c r="D390"/>
  <c r="D339"/>
  <c r="D227"/>
  <c r="D225"/>
  <c r="D222"/>
  <c r="D220"/>
  <c r="D219"/>
  <c r="D215"/>
  <c r="D213"/>
  <c r="D210"/>
  <c r="D208"/>
  <c r="D140"/>
  <c r="D133"/>
  <c r="D132"/>
  <c r="D120"/>
  <c r="D111"/>
  <c r="D108"/>
  <c r="D100"/>
  <c r="D97"/>
  <c r="D95"/>
  <c r="D90"/>
  <c r="D88"/>
  <c r="D85"/>
  <c r="D83"/>
  <c r="D76"/>
  <c r="D73"/>
  <c r="D71"/>
  <c r="D78"/>
  <c r="D66"/>
  <c r="D63"/>
  <c r="D60"/>
  <c r="C33" i="10" l="1"/>
  <c r="E187" i="2"/>
  <c r="F170" i="12"/>
  <c r="E301" i="9"/>
  <c r="E7"/>
  <c r="E7" i="3"/>
  <c r="C29" i="10"/>
  <c r="E687" i="2"/>
  <c r="E688" s="1"/>
  <c r="E9" i="6"/>
  <c r="E364" i="2"/>
  <c r="E363" s="1"/>
  <c r="C28" i="10" s="1"/>
  <c r="E526" i="2"/>
  <c r="C32" i="10"/>
  <c r="E8" i="13"/>
  <c r="E199" i="2"/>
  <c r="E205"/>
  <c r="E217"/>
  <c r="F172" i="12" s="1"/>
  <c r="E223" i="2"/>
  <c r="E229"/>
  <c r="E241"/>
  <c r="F137" i="12" s="1"/>
  <c r="E169" i="2"/>
  <c r="F132" i="12" s="1"/>
  <c r="F133"/>
  <c r="E175" i="2"/>
  <c r="F135" i="12"/>
  <c r="E313" i="2"/>
  <c r="E319"/>
  <c r="E337"/>
  <c r="E344"/>
  <c r="E114"/>
  <c r="E104"/>
  <c r="E408"/>
  <c r="E247"/>
  <c r="E235"/>
  <c r="E387"/>
  <c r="F162" i="12" s="1"/>
  <c r="E393" i="2"/>
  <c r="E399"/>
  <c r="E25"/>
  <c r="B30" i="1" s="1"/>
  <c r="E122" i="2"/>
  <c r="E121" s="1"/>
  <c r="E129"/>
  <c r="E157"/>
  <c r="F102" i="12" s="1"/>
  <c r="E193" i="2"/>
  <c r="F442" i="12" s="1"/>
  <c r="E378" i="2"/>
  <c r="F157" i="12" s="1"/>
  <c r="E211" i="2"/>
  <c r="E181"/>
  <c r="F167" i="12" s="1"/>
  <c r="C26" i="10" l="1"/>
  <c r="C25"/>
  <c r="I122" i="12" l="1"/>
  <c r="J122"/>
  <c r="K122"/>
  <c r="I123"/>
  <c r="J123"/>
  <c r="K123"/>
  <c r="I124"/>
  <c r="J124"/>
  <c r="K124"/>
  <c r="I125"/>
  <c r="J125"/>
  <c r="K125"/>
  <c r="B121"/>
  <c r="K372" i="2" l="1"/>
  <c r="J372"/>
  <c r="I372"/>
  <c r="H372"/>
  <c r="G372"/>
  <c r="F372"/>
  <c r="H117" i="12" l="1"/>
  <c r="I117"/>
  <c r="J117"/>
  <c r="K117"/>
  <c r="L117"/>
  <c r="H118"/>
  <c r="I118"/>
  <c r="J118"/>
  <c r="K118"/>
  <c r="L118"/>
  <c r="H119"/>
  <c r="I119"/>
  <c r="J119"/>
  <c r="K119"/>
  <c r="L119"/>
  <c r="I120"/>
  <c r="J120"/>
  <c r="K120"/>
  <c r="L120"/>
  <c r="G120"/>
  <c r="B116"/>
  <c r="B111"/>
  <c r="K307"/>
  <c r="L307"/>
  <c r="M307"/>
  <c r="K308"/>
  <c r="L308"/>
  <c r="M308"/>
  <c r="K309"/>
  <c r="L309"/>
  <c r="M309"/>
  <c r="L310"/>
  <c r="M310"/>
  <c r="B306"/>
  <c r="E494" l="1"/>
  <c r="D661" i="2"/>
  <c r="D664"/>
  <c r="G538" l="1"/>
  <c r="H538"/>
  <c r="I538"/>
  <c r="J538"/>
  <c r="K538"/>
  <c r="L538"/>
  <c r="G532"/>
  <c r="H532"/>
  <c r="I532"/>
  <c r="J532"/>
  <c r="K532"/>
  <c r="L532"/>
  <c r="G651"/>
  <c r="H651"/>
  <c r="I651"/>
  <c r="J651"/>
  <c r="K651"/>
  <c r="L651"/>
  <c r="F653"/>
  <c r="M653" s="1"/>
  <c r="F655"/>
  <c r="F654" s="1"/>
  <c r="L655"/>
  <c r="L654" s="1"/>
  <c r="K655"/>
  <c r="K654" s="1"/>
  <c r="J655"/>
  <c r="J654" s="1"/>
  <c r="I655"/>
  <c r="I654" s="1"/>
  <c r="H655"/>
  <c r="H654" s="1"/>
  <c r="G655"/>
  <c r="G654" s="1"/>
  <c r="N565"/>
  <c r="D581"/>
  <c r="F583"/>
  <c r="F582" s="1"/>
  <c r="G583"/>
  <c r="G582" s="1"/>
  <c r="H583"/>
  <c r="H582" s="1"/>
  <c r="I583"/>
  <c r="I582" s="1"/>
  <c r="J583"/>
  <c r="J582" s="1"/>
  <c r="K583"/>
  <c r="K582" s="1"/>
  <c r="L583"/>
  <c r="L582" s="1"/>
  <c r="D583"/>
  <c r="D582" s="1"/>
  <c r="M565" l="1"/>
  <c r="M564" s="1"/>
  <c r="M563" s="1"/>
  <c r="M528" s="1"/>
  <c r="D652"/>
  <c r="M652"/>
  <c r="M651" s="1"/>
  <c r="M650" s="1"/>
  <c r="D565"/>
  <c r="N532"/>
  <c r="D656"/>
  <c r="D655" s="1"/>
  <c r="D654" s="1"/>
  <c r="F532"/>
  <c r="M532" s="1"/>
  <c r="D653"/>
  <c r="D532" s="1"/>
  <c r="F651"/>
  <c r="F538"/>
  <c r="N89" i="9"/>
  <c r="N85"/>
  <c r="D538" i="2" l="1"/>
  <c r="M85" i="9"/>
  <c r="M84" s="1"/>
  <c r="M89"/>
  <c r="M88" s="1"/>
  <c r="D94"/>
  <c r="D218"/>
  <c r="D20"/>
  <c r="D19" s="1"/>
  <c r="M83" l="1"/>
  <c r="D93"/>
  <c r="D92" s="1"/>
  <c r="G411" i="2"/>
  <c r="G409"/>
  <c r="H414"/>
  <c r="H413" s="1"/>
  <c r="F415"/>
  <c r="D415" s="1"/>
  <c r="G400"/>
  <c r="H405"/>
  <c r="H404" s="1"/>
  <c r="F406"/>
  <c r="G402"/>
  <c r="F403"/>
  <c r="G391"/>
  <c r="H164" i="12" s="1"/>
  <c r="E164" s="1"/>
  <c r="H396" i="2"/>
  <c r="D385"/>
  <c r="D382"/>
  <c r="D380"/>
  <c r="H393" l="1"/>
  <c r="I165" i="12"/>
  <c r="G399" i="2"/>
  <c r="D403"/>
  <c r="M403"/>
  <c r="M402" s="1"/>
  <c r="D410"/>
  <c r="M410"/>
  <c r="M409" s="1"/>
  <c r="D392"/>
  <c r="M392"/>
  <c r="M391" s="1"/>
  <c r="D389"/>
  <c r="M389"/>
  <c r="M388" s="1"/>
  <c r="M401"/>
  <c r="M400" s="1"/>
  <c r="D412"/>
  <c r="M412"/>
  <c r="M411" s="1"/>
  <c r="D406"/>
  <c r="D397"/>
  <c r="G408"/>
  <c r="G322"/>
  <c r="G319" s="1"/>
  <c r="F323"/>
  <c r="D323" s="1"/>
  <c r="D315"/>
  <c r="D82"/>
  <c r="D56"/>
  <c r="D106"/>
  <c r="D94"/>
  <c r="M399" l="1"/>
  <c r="M387"/>
  <c r="M408"/>
  <c r="D318"/>
  <c r="M318"/>
  <c r="M317" s="1"/>
  <c r="M313" s="1"/>
  <c r="N246"/>
  <c r="N243"/>
  <c r="D251"/>
  <c r="D127"/>
  <c r="D116"/>
  <c r="N234"/>
  <c r="D239"/>
  <c r="D155"/>
  <c r="D150"/>
  <c r="D147"/>
  <c r="D174"/>
  <c r="D198"/>
  <c r="D195"/>
  <c r="D186"/>
  <c r="N162"/>
  <c r="M162"/>
  <c r="M161" s="1"/>
  <c r="D143"/>
  <c r="D136"/>
  <c r="F121" i="7"/>
  <c r="D140"/>
  <c r="K139"/>
  <c r="J139"/>
  <c r="I139"/>
  <c r="H139"/>
  <c r="G139"/>
  <c r="F139"/>
  <c r="K137"/>
  <c r="J137"/>
  <c r="I137"/>
  <c r="H137"/>
  <c r="G137"/>
  <c r="F137"/>
  <c r="N134"/>
  <c r="K134"/>
  <c r="J134"/>
  <c r="I134"/>
  <c r="H134"/>
  <c r="G134"/>
  <c r="F134"/>
  <c r="N131"/>
  <c r="N130" s="1"/>
  <c r="D131"/>
  <c r="K131"/>
  <c r="J131"/>
  <c r="I131"/>
  <c r="I130" s="1"/>
  <c r="H131"/>
  <c r="G131"/>
  <c r="F131"/>
  <c r="F26"/>
  <c r="F9" s="1"/>
  <c r="H75" i="9"/>
  <c r="H77"/>
  <c r="F78"/>
  <c r="F76"/>
  <c r="D60"/>
  <c r="D55"/>
  <c r="D52"/>
  <c r="D51" s="1"/>
  <c r="D48"/>
  <c r="D43"/>
  <c r="D40"/>
  <c r="D39" s="1"/>
  <c r="H22"/>
  <c r="H18" s="1"/>
  <c r="D28"/>
  <c r="I136" i="7" l="1"/>
  <c r="H136"/>
  <c r="G7"/>
  <c r="G13"/>
  <c r="F13"/>
  <c r="G136"/>
  <c r="K136"/>
  <c r="D27" i="9"/>
  <c r="N78"/>
  <c r="M121" i="7"/>
  <c r="M119" s="1"/>
  <c r="M118" s="1"/>
  <c r="M37" i="2"/>
  <c r="N76" i="9"/>
  <c r="F7" i="7"/>
  <c r="N121"/>
  <c r="G119"/>
  <c r="N26"/>
  <c r="M26"/>
  <c r="D121"/>
  <c r="D76" i="9"/>
  <c r="M76"/>
  <c r="D78"/>
  <c r="M78"/>
  <c r="M77" s="1"/>
  <c r="H74"/>
  <c r="I635" i="12" s="1"/>
  <c r="N159" i="2"/>
  <c r="D231"/>
  <c r="M231"/>
  <c r="M230" s="1"/>
  <c r="D243"/>
  <c r="M243"/>
  <c r="M242" s="1"/>
  <c r="M159"/>
  <c r="M158" s="1"/>
  <c r="M157" s="1"/>
  <c r="M234"/>
  <c r="M233" s="1"/>
  <c r="M246"/>
  <c r="M245" s="1"/>
  <c r="D246"/>
  <c r="D159"/>
  <c r="D167"/>
  <c r="D31" i="9"/>
  <c r="D36"/>
  <c r="D138" i="7"/>
  <c r="D137" s="1"/>
  <c r="D26"/>
  <c r="F130"/>
  <c r="H130"/>
  <c r="J130"/>
  <c r="F136"/>
  <c r="D162" i="2"/>
  <c r="D183"/>
  <c r="D191"/>
  <c r="D171"/>
  <c r="D179"/>
  <c r="D234"/>
  <c r="G130" i="7"/>
  <c r="K130"/>
  <c r="J136"/>
  <c r="D139"/>
  <c r="E139"/>
  <c r="E134"/>
  <c r="E130" s="1"/>
  <c r="E137"/>
  <c r="F220" i="9"/>
  <c r="F219" s="1"/>
  <c r="G314" i="12" s="1"/>
  <c r="L224" i="9"/>
  <c r="M315" i="12" s="1"/>
  <c r="K224" i="9"/>
  <c r="L315" i="12" s="1"/>
  <c r="J224" i="9"/>
  <c r="K315" i="12" s="1"/>
  <c r="I224" i="9"/>
  <c r="J315" i="12" s="1"/>
  <c r="H224" i="9"/>
  <c r="I315" i="12" s="1"/>
  <c r="G224" i="9"/>
  <c r="H315" i="12" s="1"/>
  <c r="F224" i="9"/>
  <c r="G315" i="12" s="1"/>
  <c r="D222" i="9"/>
  <c r="D221"/>
  <c r="L220"/>
  <c r="L219" s="1"/>
  <c r="M314" i="12" s="1"/>
  <c r="K220" i="9"/>
  <c r="K219" s="1"/>
  <c r="L314" i="12" s="1"/>
  <c r="J220" i="9"/>
  <c r="J219" s="1"/>
  <c r="K314" i="12" s="1"/>
  <c r="I220" i="9"/>
  <c r="I219" s="1"/>
  <c r="J314" i="12" s="1"/>
  <c r="H220" i="9"/>
  <c r="H219" s="1"/>
  <c r="I314" i="12" s="1"/>
  <c r="G220" i="9"/>
  <c r="G219" s="1"/>
  <c r="H314" i="12" s="1"/>
  <c r="D217" i="9"/>
  <c r="L216"/>
  <c r="K216"/>
  <c r="J216"/>
  <c r="I216"/>
  <c r="H216"/>
  <c r="G216"/>
  <c r="F216"/>
  <c r="F12" s="1"/>
  <c r="F11" l="1"/>
  <c r="M75"/>
  <c r="M74" s="1"/>
  <c r="J223"/>
  <c r="M229" i="2"/>
  <c r="E314" i="12"/>
  <c r="E315"/>
  <c r="Q7" i="7"/>
  <c r="F11"/>
  <c r="F215" i="9"/>
  <c r="F223"/>
  <c r="L223"/>
  <c r="G11" i="7"/>
  <c r="J215" i="9"/>
  <c r="K313" i="12" s="1"/>
  <c r="H215" i="9"/>
  <c r="I313" i="12" s="1"/>
  <c r="L215" i="9"/>
  <c r="M313" i="12" s="1"/>
  <c r="G215" i="9"/>
  <c r="I215"/>
  <c r="J313" i="12" s="1"/>
  <c r="K215" i="9"/>
  <c r="L313" i="12" s="1"/>
  <c r="K223" i="9"/>
  <c r="M25" i="7"/>
  <c r="M24" s="1"/>
  <c r="M241" i="2"/>
  <c r="H223" i="9"/>
  <c r="D216"/>
  <c r="G223"/>
  <c r="I223"/>
  <c r="D220"/>
  <c r="D136" i="7"/>
  <c r="D135"/>
  <c r="D134" s="1"/>
  <c r="D130" s="1"/>
  <c r="D224" i="9"/>
  <c r="E136" i="7"/>
  <c r="D219" i="9"/>
  <c r="F131" i="6"/>
  <c r="G605" i="12"/>
  <c r="G610" l="1"/>
  <c r="G614"/>
  <c r="H214" i="9"/>
  <c r="I312" i="12" s="1"/>
  <c r="H313"/>
  <c r="G214" i="9"/>
  <c r="H312" i="12" s="1"/>
  <c r="G313"/>
  <c r="F214" i="9"/>
  <c r="G312" i="12" s="1"/>
  <c r="L214" i="9"/>
  <c r="M312" i="12" s="1"/>
  <c r="D223" i="9"/>
  <c r="J214"/>
  <c r="K312" i="12" s="1"/>
  <c r="C314"/>
  <c r="I214" i="9"/>
  <c r="J312" i="12" s="1"/>
  <c r="K214" i="9"/>
  <c r="L312" i="12" s="1"/>
  <c r="D131" i="6"/>
  <c r="M131"/>
  <c r="E553" i="12"/>
  <c r="E554"/>
  <c r="E552"/>
  <c r="E551"/>
  <c r="D215" i="9"/>
  <c r="D214" s="1"/>
  <c r="G132" i="6"/>
  <c r="N132" s="1"/>
  <c r="G122"/>
  <c r="M112"/>
  <c r="K100"/>
  <c r="K96" l="1"/>
  <c r="L607" i="12"/>
  <c r="E313"/>
  <c r="C553"/>
  <c r="E312"/>
  <c r="D311" s="1"/>
  <c r="N127" i="6"/>
  <c r="M127"/>
  <c r="D550" i="12"/>
  <c r="D112" i="6"/>
  <c r="N112"/>
  <c r="F106"/>
  <c r="F102"/>
  <c r="D127"/>
  <c r="D81"/>
  <c r="D76" l="1"/>
  <c r="M76"/>
  <c r="M75" s="1"/>
  <c r="D74"/>
  <c r="M74"/>
  <c r="M73" s="1"/>
  <c r="D79"/>
  <c r="G134" i="9"/>
  <c r="F134"/>
  <c r="N129"/>
  <c r="F128"/>
  <c r="G128"/>
  <c r="H128"/>
  <c r="I128"/>
  <c r="J128"/>
  <c r="K128"/>
  <c r="L128"/>
  <c r="G208"/>
  <c r="D208" s="1"/>
  <c r="F211"/>
  <c r="G211"/>
  <c r="H211"/>
  <c r="I211"/>
  <c r="J211"/>
  <c r="K211"/>
  <c r="L211"/>
  <c r="L210" s="1"/>
  <c r="F206"/>
  <c r="G206"/>
  <c r="H206"/>
  <c r="I206"/>
  <c r="J206"/>
  <c r="K206"/>
  <c r="L206"/>
  <c r="L205" s="1"/>
  <c r="D200"/>
  <c r="D199"/>
  <c r="D195"/>
  <c r="N208"/>
  <c r="N206"/>
  <c r="F202"/>
  <c r="G320" i="12" s="1"/>
  <c r="G202" i="9"/>
  <c r="H320" i="12" s="1"/>
  <c r="H202" i="9"/>
  <c r="I320" i="12" s="1"/>
  <c r="I202" i="9"/>
  <c r="J320" i="12" s="1"/>
  <c r="J202" i="9"/>
  <c r="K320" i="12" s="1"/>
  <c r="K202" i="9"/>
  <c r="L320" i="12" s="1"/>
  <c r="L202" i="9"/>
  <c r="M320" i="12" s="1"/>
  <c r="F198" i="9"/>
  <c r="F16" s="1"/>
  <c r="G198"/>
  <c r="G16" s="1"/>
  <c r="H198"/>
  <c r="H16" s="1"/>
  <c r="I198"/>
  <c r="I16" s="1"/>
  <c r="J198"/>
  <c r="J16" s="1"/>
  <c r="K198"/>
  <c r="K16" s="1"/>
  <c r="L198"/>
  <c r="L16" s="1"/>
  <c r="G194"/>
  <c r="G12" s="1"/>
  <c r="H194"/>
  <c r="H12" s="1"/>
  <c r="I194"/>
  <c r="I12" s="1"/>
  <c r="J194"/>
  <c r="K194"/>
  <c r="L194"/>
  <c r="L12" s="1"/>
  <c r="J12" l="1"/>
  <c r="J11" s="1"/>
  <c r="K12"/>
  <c r="K11" s="1"/>
  <c r="G11"/>
  <c r="H11"/>
  <c r="I11"/>
  <c r="H319" i="12"/>
  <c r="G15" i="9"/>
  <c r="E320" i="12"/>
  <c r="K15" i="9"/>
  <c r="L319" i="12"/>
  <c r="J15" i="9"/>
  <c r="K319" i="12"/>
  <c r="F15" i="9"/>
  <c r="G319" i="12"/>
  <c r="L15" i="9"/>
  <c r="M319" i="12"/>
  <c r="H15" i="9"/>
  <c r="I319" i="12"/>
  <c r="I15" i="9"/>
  <c r="J319" i="12"/>
  <c r="M72" i="6"/>
  <c r="N198" i="9"/>
  <c r="N197" s="1"/>
  <c r="N128"/>
  <c r="L11"/>
  <c r="D134"/>
  <c r="H210"/>
  <c r="F210"/>
  <c r="J210"/>
  <c r="F205"/>
  <c r="M129"/>
  <c r="M198"/>
  <c r="M197" s="1"/>
  <c r="M192" s="1"/>
  <c r="N193"/>
  <c r="E495" i="12"/>
  <c r="G210" i="9"/>
  <c r="D129"/>
  <c r="K201"/>
  <c r="I201"/>
  <c r="G201"/>
  <c r="K205"/>
  <c r="G205"/>
  <c r="D198"/>
  <c r="D194"/>
  <c r="L201"/>
  <c r="J201"/>
  <c r="H201"/>
  <c r="F201"/>
  <c r="I205"/>
  <c r="J205"/>
  <c r="H205"/>
  <c r="K210"/>
  <c r="I210"/>
  <c r="K197"/>
  <c r="I197"/>
  <c r="G197"/>
  <c r="L197"/>
  <c r="J197"/>
  <c r="H197"/>
  <c r="F197"/>
  <c r="L193"/>
  <c r="J193"/>
  <c r="H193"/>
  <c r="K193"/>
  <c r="I193"/>
  <c r="G193"/>
  <c r="D206"/>
  <c r="D202"/>
  <c r="D211"/>
  <c r="N205"/>
  <c r="F193"/>
  <c r="G318" i="12" s="1"/>
  <c r="N674" i="2"/>
  <c r="N673" s="1"/>
  <c r="F674"/>
  <c r="F673" s="1"/>
  <c r="G674"/>
  <c r="G673" s="1"/>
  <c r="H674"/>
  <c r="H673" s="1"/>
  <c r="I674"/>
  <c r="I673" s="1"/>
  <c r="J674"/>
  <c r="J673" s="1"/>
  <c r="J528" s="1"/>
  <c r="K674"/>
  <c r="K673" s="1"/>
  <c r="K528" s="1"/>
  <c r="L674"/>
  <c r="L673" s="1"/>
  <c r="L528" s="1"/>
  <c r="D674"/>
  <c r="D673" s="1"/>
  <c r="F545"/>
  <c r="F544"/>
  <c r="I611"/>
  <c r="I537" s="1"/>
  <c r="I607"/>
  <c r="C494" i="12" l="1"/>
  <c r="J10" i="9"/>
  <c r="K10"/>
  <c r="I10"/>
  <c r="D197"/>
  <c r="E319" i="12"/>
  <c r="C319" s="1"/>
  <c r="I318"/>
  <c r="L318"/>
  <c r="M318"/>
  <c r="J318"/>
  <c r="H318"/>
  <c r="K318"/>
  <c r="M128" i="9"/>
  <c r="L10"/>
  <c r="G192"/>
  <c r="N607" i="2"/>
  <c r="K192" i="9"/>
  <c r="M607" i="2"/>
  <c r="L192" i="9"/>
  <c r="M317" i="12" s="1"/>
  <c r="D205" i="9"/>
  <c r="G10"/>
  <c r="D210"/>
  <c r="D193"/>
  <c r="D544" i="2"/>
  <c r="M544"/>
  <c r="D545"/>
  <c r="M545"/>
  <c r="N192" i="9"/>
  <c r="D607" i="2"/>
  <c r="H192" i="9"/>
  <c r="I317" i="12" s="1"/>
  <c r="E559"/>
  <c r="E558"/>
  <c r="E492"/>
  <c r="E493"/>
  <c r="D201" i="9"/>
  <c r="J192"/>
  <c r="K317" i="12" s="1"/>
  <c r="I192" i="9"/>
  <c r="J317" i="12" s="1"/>
  <c r="D611" i="2"/>
  <c r="D537" s="1"/>
  <c r="E557" i="12"/>
  <c r="F192" i="9"/>
  <c r="G317" i="12" s="1"/>
  <c r="D192" i="9" l="1"/>
  <c r="E318" i="12"/>
  <c r="H317"/>
  <c r="L317"/>
  <c r="M543" i="2"/>
  <c r="M542" s="1"/>
  <c r="C558" i="12"/>
  <c r="E317" l="1"/>
  <c r="D316" s="1"/>
  <c r="E556"/>
  <c r="D555" s="1"/>
  <c r="L10" i="13"/>
  <c r="K10"/>
  <c r="J10"/>
  <c r="I10"/>
  <c r="H10"/>
  <c r="G10"/>
  <c r="H21"/>
  <c r="H20" s="1"/>
  <c r="I21"/>
  <c r="I20" s="1"/>
  <c r="J21"/>
  <c r="J20" s="1"/>
  <c r="K21"/>
  <c r="K20" s="1"/>
  <c r="N10" l="1"/>
  <c r="J30" i="10"/>
  <c r="I33"/>
  <c r="H33"/>
  <c r="I32"/>
  <c r="H32"/>
  <c r="D57" i="4" l="1"/>
  <c r="D61" i="13" l="1"/>
  <c r="F64"/>
  <c r="G118" i="12" s="1"/>
  <c r="E118" s="1"/>
  <c r="F66" i="13"/>
  <c r="G119" i="12" s="1"/>
  <c r="E119" s="1"/>
  <c r="G69" i="13"/>
  <c r="G71"/>
  <c r="H120" i="12" s="1"/>
  <c r="E120" s="1"/>
  <c r="G453" i="2"/>
  <c r="H453"/>
  <c r="I453"/>
  <c r="F453"/>
  <c r="F458"/>
  <c r="G458"/>
  <c r="H458"/>
  <c r="I458"/>
  <c r="N453" l="1"/>
  <c r="M458"/>
  <c r="M453"/>
  <c r="C119" i="12"/>
  <c r="D59" i="13"/>
  <c r="D21" s="1"/>
  <c r="D20" s="1"/>
  <c r="G21"/>
  <c r="G20" s="1"/>
  <c r="F63"/>
  <c r="D458" i="2"/>
  <c r="G68" i="13"/>
  <c r="G120" s="1"/>
  <c r="G117" i="12" l="1"/>
  <c r="F10" i="13"/>
  <c r="M10" s="1"/>
  <c r="D453" i="2"/>
  <c r="D454"/>
  <c r="D455"/>
  <c r="G452"/>
  <c r="H452"/>
  <c r="I452"/>
  <c r="I365" s="1"/>
  <c r="F452"/>
  <c r="N458"/>
  <c r="N459"/>
  <c r="N460"/>
  <c r="G457"/>
  <c r="H457"/>
  <c r="I457"/>
  <c r="F457"/>
  <c r="F369" s="1"/>
  <c r="D462"/>
  <c r="D461" s="1"/>
  <c r="H462"/>
  <c r="I360" i="12" s="1"/>
  <c r="I462" i="2"/>
  <c r="J360" i="12" s="1"/>
  <c r="G462" i="2"/>
  <c r="H360" i="12" s="1"/>
  <c r="I369" i="2" l="1"/>
  <c r="I367" s="1"/>
  <c r="F367"/>
  <c r="E360" i="12"/>
  <c r="M452" i="2"/>
  <c r="M451" s="1"/>
  <c r="M457"/>
  <c r="M456" s="1"/>
  <c r="N457"/>
  <c r="N456" s="1"/>
  <c r="D452"/>
  <c r="N452"/>
  <c r="N451" s="1"/>
  <c r="E117" i="12"/>
  <c r="D116" s="1"/>
  <c r="D457" i="2"/>
  <c r="F456"/>
  <c r="G359" i="12" s="1"/>
  <c r="I461" i="2"/>
  <c r="G461"/>
  <c r="H461"/>
  <c r="H451"/>
  <c r="I358" i="12" s="1"/>
  <c r="I451" i="2"/>
  <c r="J358" i="12" s="1"/>
  <c r="G451" i="2"/>
  <c r="H358" i="12" s="1"/>
  <c r="F451" i="2"/>
  <c r="G358" i="12" s="1"/>
  <c r="G456" i="2"/>
  <c r="H359" i="12" s="1"/>
  <c r="H456" i="2"/>
  <c r="I359" i="12" s="1"/>
  <c r="I456" i="2"/>
  <c r="J359" i="12" s="1"/>
  <c r="E358" l="1"/>
  <c r="E359"/>
  <c r="N450" i="2"/>
  <c r="M450"/>
  <c r="E547" i="12"/>
  <c r="E549"/>
  <c r="D456" i="2"/>
  <c r="H450"/>
  <c r="I357" i="12" s="1"/>
  <c r="G450" i="2"/>
  <c r="H357" i="12" s="1"/>
  <c r="F450" i="2"/>
  <c r="G357" i="12" s="1"/>
  <c r="D451" i="2"/>
  <c r="I450"/>
  <c r="J357" i="12" s="1"/>
  <c r="E357" l="1"/>
  <c r="D356" s="1"/>
  <c r="C359"/>
  <c r="E548"/>
  <c r="G32" i="10"/>
  <c r="D450" i="2"/>
  <c r="E546" i="12" l="1"/>
  <c r="D55" i="6"/>
  <c r="D57"/>
  <c r="G55"/>
  <c r="H55"/>
  <c r="I55"/>
  <c r="J55"/>
  <c r="F55"/>
  <c r="G57"/>
  <c r="H310" i="12" s="1"/>
  <c r="H57" i="6"/>
  <c r="I310" i="12" s="1"/>
  <c r="I57" i="6"/>
  <c r="J310" i="12" s="1"/>
  <c r="J57" i="6"/>
  <c r="K310" i="12" s="1"/>
  <c r="F57" i="6"/>
  <c r="G310" i="12" s="1"/>
  <c r="F41" i="6"/>
  <c r="G41"/>
  <c r="H41"/>
  <c r="I41"/>
  <c r="F45"/>
  <c r="G45"/>
  <c r="H45"/>
  <c r="H15" s="1"/>
  <c r="I45"/>
  <c r="I15" s="1"/>
  <c r="F50"/>
  <c r="G50"/>
  <c r="H50"/>
  <c r="H49" s="1"/>
  <c r="I309" i="12" s="1"/>
  <c r="I50" i="6"/>
  <c r="I49" s="1"/>
  <c r="J309" i="12" s="1"/>
  <c r="F61" i="6"/>
  <c r="G113" i="12" s="1"/>
  <c r="D45" i="6" l="1"/>
  <c r="N50"/>
  <c r="N49" s="1"/>
  <c r="M50"/>
  <c r="M49" s="1"/>
  <c r="M45"/>
  <c r="M41"/>
  <c r="N45"/>
  <c r="E310" i="12"/>
  <c r="G49" i="6"/>
  <c r="H309" i="12" s="1"/>
  <c r="N41" i="6"/>
  <c r="F49"/>
  <c r="G309" i="12" s="1"/>
  <c r="D50" i="6"/>
  <c r="D49" s="1"/>
  <c r="D41"/>
  <c r="J54"/>
  <c r="H54"/>
  <c r="F54"/>
  <c r="I54"/>
  <c r="G54"/>
  <c r="P54" s="1"/>
  <c r="D54"/>
  <c r="I40"/>
  <c r="G40"/>
  <c r="H40"/>
  <c r="F40"/>
  <c r="E309" i="12" l="1"/>
  <c r="C309" s="1"/>
  <c r="N40" i="6"/>
  <c r="N39" s="1"/>
  <c r="M40"/>
  <c r="M39" s="1"/>
  <c r="F39"/>
  <c r="G307" i="12" s="1"/>
  <c r="G308"/>
  <c r="H39" i="6"/>
  <c r="I307" i="12" s="1"/>
  <c r="I308"/>
  <c r="I39" i="6"/>
  <c r="J307" i="12" s="1"/>
  <c r="J308"/>
  <c r="G39" i="6"/>
  <c r="H307" i="12" s="1"/>
  <c r="H308"/>
  <c r="D40" i="6"/>
  <c r="D39" s="1"/>
  <c r="E308" i="12" l="1"/>
  <c r="E307"/>
  <c r="M172" i="6"/>
  <c r="M171" s="1"/>
  <c r="N172"/>
  <c r="N171" s="1"/>
  <c r="N177"/>
  <c r="N199"/>
  <c r="I200"/>
  <c r="I198" s="1"/>
  <c r="H200"/>
  <c r="I207"/>
  <c r="H207"/>
  <c r="N176" l="1"/>
  <c r="N175" s="1"/>
  <c r="N174" s="1"/>
  <c r="M176"/>
  <c r="D612" i="2" l="1"/>
  <c r="D608" l="1"/>
  <c r="M608"/>
  <c r="M606" s="1"/>
  <c r="M605" s="1"/>
  <c r="M527" s="1"/>
  <c r="M526" s="1"/>
  <c r="G539"/>
  <c r="H539"/>
  <c r="I539"/>
  <c r="J539"/>
  <c r="K539"/>
  <c r="L539"/>
  <c r="L533"/>
  <c r="K533"/>
  <c r="J533"/>
  <c r="I533"/>
  <c r="H533"/>
  <c r="G533"/>
  <c r="F533"/>
  <c r="F539"/>
  <c r="F663"/>
  <c r="F662" s="1"/>
  <c r="F686" s="1"/>
  <c r="D663"/>
  <c r="L659"/>
  <c r="K659"/>
  <c r="J659"/>
  <c r="I659"/>
  <c r="H659"/>
  <c r="G659"/>
  <c r="M533" l="1"/>
  <c r="N533"/>
  <c r="F659"/>
  <c r="D662"/>
  <c r="I110" i="12"/>
  <c r="J110"/>
  <c r="G109"/>
  <c r="H109"/>
  <c r="I109"/>
  <c r="J109"/>
  <c r="F109"/>
  <c r="H108"/>
  <c r="I108"/>
  <c r="J108"/>
  <c r="I107"/>
  <c r="J107"/>
  <c r="B106"/>
  <c r="I105"/>
  <c r="J105"/>
  <c r="I104"/>
  <c r="J104"/>
  <c r="I102"/>
  <c r="J102"/>
  <c r="I103"/>
  <c r="J103"/>
  <c r="B101"/>
  <c r="E109" l="1"/>
  <c r="D165" i="9" l="1"/>
  <c r="D169"/>
  <c r="D168"/>
  <c r="D164"/>
  <c r="D34" i="13" l="1"/>
  <c r="D25" s="1"/>
  <c r="D43"/>
  <c r="B301" i="12"/>
  <c r="B486" l="1"/>
  <c r="D545" l="1"/>
  <c r="K119" i="13" l="1"/>
  <c r="K121" s="1"/>
  <c r="L119"/>
  <c r="L121" s="1"/>
  <c r="M29" i="6" l="1"/>
  <c r="M28" s="1"/>
  <c r="M34" l="1"/>
  <c r="D34"/>
  <c r="D29"/>
  <c r="N29"/>
  <c r="M132" i="9"/>
  <c r="M131" s="1"/>
  <c r="M127" s="1"/>
  <c r="F119"/>
  <c r="N132" l="1"/>
  <c r="D132"/>
  <c r="D137"/>
  <c r="D23" s="1"/>
  <c r="D131" i="2"/>
  <c r="D136" i="9" l="1"/>
  <c r="D133" s="1"/>
  <c r="F84" i="6"/>
  <c r="F86"/>
  <c r="F89"/>
  <c r="F91"/>
  <c r="F88" l="1"/>
  <c r="F83"/>
  <c r="I99" i="13"/>
  <c r="J99"/>
  <c r="K99"/>
  <c r="L99"/>
  <c r="N114"/>
  <c r="N113" s="1"/>
  <c r="G114"/>
  <c r="G113" s="1"/>
  <c r="F114"/>
  <c r="F113" s="1"/>
  <c r="D114" l="1"/>
  <c r="D113" s="1"/>
  <c r="K31" i="6"/>
  <c r="J31"/>
  <c r="I31"/>
  <c r="H31"/>
  <c r="F31"/>
  <c r="M31" l="1"/>
  <c r="M30" s="1"/>
  <c r="M27" s="1"/>
  <c r="N31"/>
  <c r="D31"/>
  <c r="D59" i="9"/>
  <c r="D56" s="1"/>
  <c r="H59"/>
  <c r="G59"/>
  <c r="H490" i="12" s="1"/>
  <c r="F59" i="9"/>
  <c r="G490" i="12" s="1"/>
  <c r="G54" i="9"/>
  <c r="N54"/>
  <c r="D54"/>
  <c r="F54"/>
  <c r="H56" l="1"/>
  <c r="I490" i="12"/>
  <c r="F56" i="9"/>
  <c r="G56"/>
  <c r="N50"/>
  <c r="G50"/>
  <c r="H487" i="12" s="1"/>
  <c r="D50" i="9"/>
  <c r="F50" l="1"/>
  <c r="G488" i="12"/>
  <c r="N255" i="6"/>
  <c r="G487" i="12" l="1"/>
  <c r="L138" i="3"/>
  <c r="M224" i="12" s="1"/>
  <c r="K138" i="3"/>
  <c r="L224" i="12" s="1"/>
  <c r="J138" i="3"/>
  <c r="K224" i="12" s="1"/>
  <c r="I138" i="3"/>
  <c r="J224" i="12" s="1"/>
  <c r="H138" i="3"/>
  <c r="I224" i="12" s="1"/>
  <c r="G138" i="3"/>
  <c r="H224" i="12" s="1"/>
  <c r="F138" i="3"/>
  <c r="G224" i="12" s="1"/>
  <c r="D155" i="3"/>
  <c r="D154" s="1"/>
  <c r="L155"/>
  <c r="K155"/>
  <c r="L145" i="12" s="1"/>
  <c r="J155" i="3"/>
  <c r="I155"/>
  <c r="H155"/>
  <c r="G155"/>
  <c r="F155"/>
  <c r="L150"/>
  <c r="J149"/>
  <c r="I149"/>
  <c r="H149"/>
  <c r="K149"/>
  <c r="G149"/>
  <c r="D145"/>
  <c r="D144" s="1"/>
  <c r="L145"/>
  <c r="K145"/>
  <c r="L225" i="12" s="1"/>
  <c r="J145" i="3"/>
  <c r="K225" i="12" s="1"/>
  <c r="I145" i="3"/>
  <c r="J225" i="12" s="1"/>
  <c r="H145" i="3"/>
  <c r="I225" i="12" s="1"/>
  <c r="G145" i="3"/>
  <c r="H225" i="12" s="1"/>
  <c r="F145" i="3"/>
  <c r="G225" i="12" s="1"/>
  <c r="D133" i="3"/>
  <c r="D132" s="1"/>
  <c r="L133"/>
  <c r="L132" s="1"/>
  <c r="K133"/>
  <c r="K132" s="1"/>
  <c r="J133"/>
  <c r="J132" s="1"/>
  <c r="I133"/>
  <c r="H133"/>
  <c r="G133"/>
  <c r="F133"/>
  <c r="D131"/>
  <c r="D130"/>
  <c r="L129"/>
  <c r="L17" s="1"/>
  <c r="K129"/>
  <c r="J129"/>
  <c r="I129"/>
  <c r="H129"/>
  <c r="G129"/>
  <c r="F129"/>
  <c r="D127"/>
  <c r="D126"/>
  <c r="L125"/>
  <c r="L12" s="1"/>
  <c r="K125"/>
  <c r="K12" s="1"/>
  <c r="J125"/>
  <c r="J12" s="1"/>
  <c r="I125"/>
  <c r="H125"/>
  <c r="G125"/>
  <c r="F125"/>
  <c r="F17" l="1"/>
  <c r="J17"/>
  <c r="J15" s="1"/>
  <c r="L11"/>
  <c r="K11"/>
  <c r="J11"/>
  <c r="I17"/>
  <c r="K17"/>
  <c r="L15"/>
  <c r="J137"/>
  <c r="J136" s="1"/>
  <c r="K222" i="12" s="1"/>
  <c r="K137" i="3"/>
  <c r="K136" s="1"/>
  <c r="L222" i="12" s="1"/>
  <c r="L137" i="3"/>
  <c r="L136" s="1"/>
  <c r="M222" i="12" s="1"/>
  <c r="K154" i="3"/>
  <c r="I304" i="12"/>
  <c r="K128" i="3"/>
  <c r="J128"/>
  <c r="J124"/>
  <c r="I124"/>
  <c r="J303" i="12" s="1"/>
  <c r="H124" i="3"/>
  <c r="I303" i="12" s="1"/>
  <c r="L124" i="3"/>
  <c r="K124"/>
  <c r="N125"/>
  <c r="N124" s="1"/>
  <c r="M129"/>
  <c r="M128" s="1"/>
  <c r="H137"/>
  <c r="H136" s="1"/>
  <c r="I222" i="12" s="1"/>
  <c r="I137" i="3"/>
  <c r="I136" s="1"/>
  <c r="G137"/>
  <c r="G136" s="1"/>
  <c r="N150"/>
  <c r="M144" i="12"/>
  <c r="F154" i="3"/>
  <c r="G145" i="12"/>
  <c r="H154" i="3"/>
  <c r="I145" i="12"/>
  <c r="J154" i="3"/>
  <c r="K145" i="12"/>
  <c r="L154" i="3"/>
  <c r="M145" i="12"/>
  <c r="L144" i="3"/>
  <c r="M225" i="12"/>
  <c r="G154" i="3"/>
  <c r="H145" i="12"/>
  <c r="I154" i="3"/>
  <c r="J145" i="12"/>
  <c r="M138" i="3"/>
  <c r="M137" s="1"/>
  <c r="M136" s="1"/>
  <c r="D138"/>
  <c r="D137" s="1"/>
  <c r="D136" s="1"/>
  <c r="M125"/>
  <c r="M124" s="1"/>
  <c r="N138"/>
  <c r="G124"/>
  <c r="H303" i="12" s="1"/>
  <c r="N129" i="3"/>
  <c r="L149"/>
  <c r="L148" s="1"/>
  <c r="M142" i="12" s="1"/>
  <c r="D150" i="3"/>
  <c r="P151" s="1"/>
  <c r="F144"/>
  <c r="J144"/>
  <c r="F137"/>
  <c r="F136" s="1"/>
  <c r="G222" i="12" s="1"/>
  <c r="G304"/>
  <c r="D129" i="3"/>
  <c r="D125"/>
  <c r="H144"/>
  <c r="G132"/>
  <c r="H305" i="12"/>
  <c r="I132" i="3"/>
  <c r="J305" i="12"/>
  <c r="G144" i="3"/>
  <c r="P144" s="1"/>
  <c r="I144"/>
  <c r="K144"/>
  <c r="G148"/>
  <c r="H142" i="12" s="1"/>
  <c r="H148" i="3"/>
  <c r="J148"/>
  <c r="F132"/>
  <c r="G305" i="12"/>
  <c r="H132" i="3"/>
  <c r="I305" i="12"/>
  <c r="K148" i="3"/>
  <c r="L142" i="12" s="1"/>
  <c r="I148" i="3"/>
  <c r="G128"/>
  <c r="H304" i="12"/>
  <c r="I128" i="3"/>
  <c r="J304" i="12"/>
  <c r="F149" i="3"/>
  <c r="H128"/>
  <c r="L128"/>
  <c r="F128"/>
  <c r="F124"/>
  <c r="K15" l="1"/>
  <c r="K10" s="1"/>
  <c r="J123"/>
  <c r="L123"/>
  <c r="H222" i="12"/>
  <c r="P136" i="3"/>
  <c r="E144" i="12"/>
  <c r="L10" i="3"/>
  <c r="J10"/>
  <c r="K123"/>
  <c r="H123"/>
  <c r="I302" i="12" s="1"/>
  <c r="I123" i="3"/>
  <c r="J302" i="12" s="1"/>
  <c r="J222"/>
  <c r="M123" i="3"/>
  <c r="J631" i="12"/>
  <c r="J142"/>
  <c r="I631"/>
  <c r="I142"/>
  <c r="E145"/>
  <c r="K631"/>
  <c r="K142"/>
  <c r="G123" i="3"/>
  <c r="E544" i="12"/>
  <c r="E304"/>
  <c r="E305"/>
  <c r="E543"/>
  <c r="E541"/>
  <c r="F148" i="3"/>
  <c r="G142" i="12" s="1"/>
  <c r="F123" i="3"/>
  <c r="G303" i="12"/>
  <c r="E303" s="1"/>
  <c r="N149" i="3"/>
  <c r="N148" s="1"/>
  <c r="D149"/>
  <c r="D148" s="1"/>
  <c r="N137"/>
  <c r="N136" s="1"/>
  <c r="N128"/>
  <c r="N123" s="1"/>
  <c r="D128"/>
  <c r="D124"/>
  <c r="C144" i="12" l="1"/>
  <c r="H302"/>
  <c r="G302"/>
  <c r="E142"/>
  <c r="D141" s="1"/>
  <c r="C543"/>
  <c r="C304"/>
  <c r="D123" i="3"/>
  <c r="D540" i="12"/>
  <c r="J531" i="2"/>
  <c r="K531"/>
  <c r="L531"/>
  <c r="N667"/>
  <c r="N666" s="1"/>
  <c r="D667"/>
  <c r="D666" s="1"/>
  <c r="I667"/>
  <c r="I666" s="1"/>
  <c r="J638" i="12" s="1"/>
  <c r="H667" i="2"/>
  <c r="H666" s="1"/>
  <c r="I638" i="12" s="1"/>
  <c r="G667" i="2"/>
  <c r="G666" s="1"/>
  <c r="H638" i="12" s="1"/>
  <c r="F667" i="2"/>
  <c r="F666" s="1"/>
  <c r="G638" i="12" s="1"/>
  <c r="E302" l="1"/>
  <c r="L111" i="6"/>
  <c r="J518" i="12" l="1"/>
  <c r="S580"/>
  <c r="T580"/>
  <c r="U580"/>
  <c r="V580"/>
  <c r="P105" i="6" l="1"/>
  <c r="P95"/>
  <c r="P94" l="1"/>
  <c r="J527" i="2"/>
  <c r="K527"/>
  <c r="L527"/>
  <c r="F534"/>
  <c r="G534"/>
  <c r="H534"/>
  <c r="I534"/>
  <c r="J534"/>
  <c r="K534"/>
  <c r="L534"/>
  <c r="F540"/>
  <c r="C66" i="1" s="1"/>
  <c r="G540" i="2"/>
  <c r="D66" i="1" s="1"/>
  <c r="H540" i="2"/>
  <c r="E66" i="1" s="1"/>
  <c r="I540" i="2"/>
  <c r="F66" i="1" s="1"/>
  <c r="J540" i="2"/>
  <c r="G66" i="1" s="1"/>
  <c r="K540" i="2"/>
  <c r="H66" i="1" s="1"/>
  <c r="L540" i="2"/>
  <c r="I66" i="1" s="1"/>
  <c r="H543" i="2"/>
  <c r="H542" s="1"/>
  <c r="I543"/>
  <c r="I542" s="1"/>
  <c r="G543"/>
  <c r="F546"/>
  <c r="G546"/>
  <c r="H546"/>
  <c r="I546"/>
  <c r="J547"/>
  <c r="J546" s="1"/>
  <c r="J685" s="1"/>
  <c r="K547"/>
  <c r="K546" s="1"/>
  <c r="K685" s="1"/>
  <c r="L547"/>
  <c r="L546" s="1"/>
  <c r="L685" s="1"/>
  <c r="D534"/>
  <c r="H88" i="1" l="1"/>
  <c r="K687" i="2"/>
  <c r="I88" i="1"/>
  <c r="L687" i="2"/>
  <c r="G88" i="1"/>
  <c r="J687" i="2"/>
  <c r="M534"/>
  <c r="N534"/>
  <c r="D540"/>
  <c r="N543"/>
  <c r="F543"/>
  <c r="F330" l="1"/>
  <c r="F335"/>
  <c r="F328"/>
  <c r="I349"/>
  <c r="F349"/>
  <c r="G346"/>
  <c r="F346"/>
  <c r="I343"/>
  <c r="G41"/>
  <c r="F343"/>
  <c r="I340"/>
  <c r="G340"/>
  <c r="F340"/>
  <c r="I41" l="1"/>
  <c r="G48"/>
  <c r="G44" s="1"/>
  <c r="G43" s="1"/>
  <c r="F40"/>
  <c r="F36" s="1"/>
  <c r="G40"/>
  <c r="G36" s="1"/>
  <c r="G35" s="1"/>
  <c r="I40"/>
  <c r="I36" s="1"/>
  <c r="F48"/>
  <c r="F44" s="1"/>
  <c r="M343"/>
  <c r="M342" s="1"/>
  <c r="M340"/>
  <c r="M338" s="1"/>
  <c r="D328"/>
  <c r="M328"/>
  <c r="M326" s="1"/>
  <c r="D330"/>
  <c r="M330"/>
  <c r="M329" s="1"/>
  <c r="D340"/>
  <c r="N343"/>
  <c r="D346"/>
  <c r="D48" s="1"/>
  <c r="D335"/>
  <c r="D349"/>
  <c r="D343"/>
  <c r="F49" l="1"/>
  <c r="F43" s="1"/>
  <c r="I49"/>
  <c r="I43" s="1"/>
  <c r="I35"/>
  <c r="D40"/>
  <c r="N40"/>
  <c r="M337"/>
  <c r="M42"/>
  <c r="F41"/>
  <c r="F35" s="1"/>
  <c r="M325"/>
  <c r="F95" i="4"/>
  <c r="F94" s="1"/>
  <c r="G95"/>
  <c r="G94" s="1"/>
  <c r="H95"/>
  <c r="H94" s="1"/>
  <c r="I95"/>
  <c r="I94" s="1"/>
  <c r="J95"/>
  <c r="J94" s="1"/>
  <c r="K95"/>
  <c r="K94" s="1"/>
  <c r="L95"/>
  <c r="L94" s="1"/>
  <c r="M10" i="2" l="1"/>
  <c r="N95" i="4"/>
  <c r="N94" s="1"/>
  <c r="D95"/>
  <c r="D94" s="1"/>
  <c r="M141" i="9" l="1"/>
  <c r="N141"/>
  <c r="N12" s="1"/>
  <c r="N11" s="1"/>
  <c r="D141"/>
  <c r="D12" s="1"/>
  <c r="M140" l="1"/>
  <c r="M12"/>
  <c r="M11" s="1"/>
  <c r="M145"/>
  <c r="M144" s="1"/>
  <c r="D11"/>
  <c r="H10"/>
  <c r="N16"/>
  <c r="N145"/>
  <c r="D145"/>
  <c r="D16" s="1"/>
  <c r="M139" l="1"/>
  <c r="P23"/>
  <c r="F10"/>
  <c r="M16"/>
  <c r="M15" s="1"/>
  <c r="I34" i="10" l="1"/>
  <c r="J34"/>
  <c r="I35"/>
  <c r="J35"/>
  <c r="J32"/>
  <c r="J33"/>
  <c r="B96" i="12" l="1"/>
  <c r="J298"/>
  <c r="K298"/>
  <c r="L298"/>
  <c r="M298"/>
  <c r="J299"/>
  <c r="K299"/>
  <c r="L299"/>
  <c r="M299"/>
  <c r="B296"/>
  <c r="D301" l="1"/>
  <c r="D306"/>
  <c r="G184" i="9"/>
  <c r="D108" i="3" l="1"/>
  <c r="N91"/>
  <c r="F21"/>
  <c r="F18" s="1"/>
  <c r="D91" l="1"/>
  <c r="M91"/>
  <c r="M90" s="1"/>
  <c r="D88"/>
  <c r="P88" s="1"/>
  <c r="M88"/>
  <c r="M87" s="1"/>
  <c r="D96"/>
  <c r="D103"/>
  <c r="M103"/>
  <c r="M102" s="1"/>
  <c r="D100"/>
  <c r="M100"/>
  <c r="M99" s="1"/>
  <c r="D186" i="9"/>
  <c r="D189"/>
  <c r="D188" s="1"/>
  <c r="N175"/>
  <c r="N177"/>
  <c r="D175"/>
  <c r="G175"/>
  <c r="H175"/>
  <c r="F175"/>
  <c r="D177"/>
  <c r="G177"/>
  <c r="H177"/>
  <c r="F177"/>
  <c r="G180"/>
  <c r="H180"/>
  <c r="F180"/>
  <c r="D180"/>
  <c r="D179" s="1"/>
  <c r="D299" s="1"/>
  <c r="N184"/>
  <c r="N186"/>
  <c r="H184"/>
  <c r="I184"/>
  <c r="F184"/>
  <c r="D184"/>
  <c r="G186"/>
  <c r="H186"/>
  <c r="I186"/>
  <c r="F186"/>
  <c r="G189"/>
  <c r="H189"/>
  <c r="I189"/>
  <c r="F189"/>
  <c r="F279" i="12"/>
  <c r="G442" i="2"/>
  <c r="G369" s="1"/>
  <c r="H442"/>
  <c r="J31"/>
  <c r="I31"/>
  <c r="K31"/>
  <c r="L31"/>
  <c r="G22" i="6"/>
  <c r="F22"/>
  <c r="N219"/>
  <c r="G15"/>
  <c r="F15"/>
  <c r="N215"/>
  <c r="I35" i="12"/>
  <c r="G35"/>
  <c r="N128" i="6"/>
  <c r="L123"/>
  <c r="K123"/>
  <c r="K121" s="1"/>
  <c r="K120" s="1"/>
  <c r="J123"/>
  <c r="I123"/>
  <c r="I121" s="1"/>
  <c r="I120" s="1"/>
  <c r="H123"/>
  <c r="G123"/>
  <c r="G121" s="1"/>
  <c r="G120" s="1"/>
  <c r="F123"/>
  <c r="L133"/>
  <c r="L125" s="1"/>
  <c r="K133"/>
  <c r="K125" s="1"/>
  <c r="J133"/>
  <c r="J125" s="1"/>
  <c r="I133"/>
  <c r="I125" s="1"/>
  <c r="H133"/>
  <c r="H125" s="1"/>
  <c r="G133"/>
  <c r="F133"/>
  <c r="F132"/>
  <c r="M132" s="1"/>
  <c r="H116"/>
  <c r="H115" s="1"/>
  <c r="F116"/>
  <c r="F115" s="1"/>
  <c r="L114"/>
  <c r="K114"/>
  <c r="J114"/>
  <c r="I114"/>
  <c r="H114"/>
  <c r="G114"/>
  <c r="K111"/>
  <c r="J111"/>
  <c r="I111"/>
  <c r="H111"/>
  <c r="L110"/>
  <c r="K110"/>
  <c r="J110"/>
  <c r="M109"/>
  <c r="K108"/>
  <c r="L104"/>
  <c r="L102" s="1"/>
  <c r="K104"/>
  <c r="K102" s="1"/>
  <c r="J104"/>
  <c r="I104"/>
  <c r="I102" s="1"/>
  <c r="H104"/>
  <c r="G104"/>
  <c r="H96"/>
  <c r="I228" i="12" s="1"/>
  <c r="I98" i="6"/>
  <c r="N37" i="8"/>
  <c r="N20" s="1"/>
  <c r="N16" s="1"/>
  <c r="D72" i="5"/>
  <c r="D75"/>
  <c r="D74" s="1"/>
  <c r="D73" s="1"/>
  <c r="D40"/>
  <c r="D42"/>
  <c r="D41" s="1"/>
  <c r="D47"/>
  <c r="F33" i="3"/>
  <c r="F16" s="1"/>
  <c r="F15" s="1"/>
  <c r="G27"/>
  <c r="H27"/>
  <c r="I27"/>
  <c r="I12" s="1"/>
  <c r="J158" i="9"/>
  <c r="K100" i="12" s="1"/>
  <c r="K158" i="9"/>
  <c r="L100" i="12" s="1"/>
  <c r="L158" i="9"/>
  <c r="M100" i="12" s="1"/>
  <c r="I155" i="9"/>
  <c r="J99" i="12" s="1"/>
  <c r="J155" i="9"/>
  <c r="K155"/>
  <c r="L99" i="12" s="1"/>
  <c r="L155" i="9"/>
  <c r="I153"/>
  <c r="J98" i="12" s="1"/>
  <c r="J153" i="9"/>
  <c r="K98" i="12" s="1"/>
  <c r="K153" i="9"/>
  <c r="L98" i="12" s="1"/>
  <c r="L153" i="9"/>
  <c r="M98" i="12" s="1"/>
  <c r="H153" i="9"/>
  <c r="I98" i="12" s="1"/>
  <c r="F84" i="9"/>
  <c r="G83" i="12" s="1"/>
  <c r="F30" i="9"/>
  <c r="F26" s="1"/>
  <c r="F131"/>
  <c r="F75"/>
  <c r="F77"/>
  <c r="G474" i="12" s="1"/>
  <c r="F153" i="9"/>
  <c r="G98" i="12" s="1"/>
  <c r="F155" i="9"/>
  <c r="G99" i="12" s="1"/>
  <c r="G88" i="9"/>
  <c r="H84" i="12" s="1"/>
  <c r="G84" i="9"/>
  <c r="H83" i="12" s="1"/>
  <c r="G30" i="9"/>
  <c r="G26" s="1"/>
  <c r="G131"/>
  <c r="G75"/>
  <c r="H473" i="12" s="1"/>
  <c r="G77" i="9"/>
  <c r="H474" i="12" s="1"/>
  <c r="G153" i="9"/>
  <c r="H98" i="12" s="1"/>
  <c r="G155" i="9"/>
  <c r="H99" i="12" s="1"/>
  <c r="H155" i="9"/>
  <c r="I99" i="12" s="1"/>
  <c r="H88" i="9"/>
  <c r="I84" i="12" s="1"/>
  <c r="H84" i="9"/>
  <c r="I83" i="12" s="1"/>
  <c r="H26" i="9"/>
  <c r="H127"/>
  <c r="I92" i="12" s="1"/>
  <c r="I88" i="9"/>
  <c r="J84" i="12" s="1"/>
  <c r="I84" i="9"/>
  <c r="I127"/>
  <c r="J92" i="12" s="1"/>
  <c r="J88" i="9"/>
  <c r="J83" s="1"/>
  <c r="J127"/>
  <c r="K152"/>
  <c r="K88"/>
  <c r="K83" s="1"/>
  <c r="K127"/>
  <c r="L88"/>
  <c r="L83" s="1"/>
  <c r="L127"/>
  <c r="F118"/>
  <c r="F140"/>
  <c r="G298" i="12" s="1"/>
  <c r="F144" i="9"/>
  <c r="G299" i="12" s="1"/>
  <c r="F162" i="9"/>
  <c r="G353" i="12" s="1"/>
  <c r="F166" i="9"/>
  <c r="G354" i="12" s="1"/>
  <c r="G124" i="9"/>
  <c r="G119"/>
  <c r="H293" i="12" s="1"/>
  <c r="G140" i="9"/>
  <c r="H298" i="12" s="1"/>
  <c r="G144" i="9"/>
  <c r="H299" i="12" s="1"/>
  <c r="G162" i="9"/>
  <c r="H353" i="12" s="1"/>
  <c r="G166" i="9"/>
  <c r="H354" i="12" s="1"/>
  <c r="H118" i="9"/>
  <c r="H140"/>
  <c r="I298" i="12" s="1"/>
  <c r="H144" i="9"/>
  <c r="I299" i="12" s="1"/>
  <c r="H162" i="9"/>
  <c r="I353" i="12" s="1"/>
  <c r="H166" i="9"/>
  <c r="I354" i="12" s="1"/>
  <c r="I118" i="9"/>
  <c r="I139"/>
  <c r="I161"/>
  <c r="J118"/>
  <c r="J139"/>
  <c r="J161"/>
  <c r="K118"/>
  <c r="K139"/>
  <c r="K161"/>
  <c r="L118"/>
  <c r="L139"/>
  <c r="L161"/>
  <c r="D30"/>
  <c r="D26" s="1"/>
  <c r="D128"/>
  <c r="D153"/>
  <c r="D119"/>
  <c r="D140"/>
  <c r="D166"/>
  <c r="D35"/>
  <c r="D32" s="1"/>
  <c r="N67" i="3"/>
  <c r="N66" s="1"/>
  <c r="N64"/>
  <c r="D67"/>
  <c r="D127" i="7"/>
  <c r="K127"/>
  <c r="J127"/>
  <c r="I127"/>
  <c r="H127"/>
  <c r="G127"/>
  <c r="F127"/>
  <c r="D125"/>
  <c r="K125"/>
  <c r="J125"/>
  <c r="I125"/>
  <c r="H125"/>
  <c r="G125"/>
  <c r="F125"/>
  <c r="D122"/>
  <c r="N122"/>
  <c r="K122"/>
  <c r="J122"/>
  <c r="I122"/>
  <c r="H122"/>
  <c r="G122"/>
  <c r="F122"/>
  <c r="N119"/>
  <c r="N118" s="1"/>
  <c r="K119"/>
  <c r="J119"/>
  <c r="I119"/>
  <c r="H119"/>
  <c r="F119"/>
  <c r="G118"/>
  <c r="K47"/>
  <c r="K9" s="1"/>
  <c r="L171" i="9"/>
  <c r="K171"/>
  <c r="J171"/>
  <c r="I171"/>
  <c r="H171"/>
  <c r="I355" i="12" s="1"/>
  <c r="G171" i="9"/>
  <c r="F171"/>
  <c r="G355" i="12" s="1"/>
  <c r="N166" i="9"/>
  <c r="N162"/>
  <c r="F158"/>
  <c r="G100" i="12" s="1"/>
  <c r="G158" i="9"/>
  <c r="H100" i="12" s="1"/>
  <c r="H158" i="9"/>
  <c r="I100" i="12" s="1"/>
  <c r="I158" i="9"/>
  <c r="J100" i="12" s="1"/>
  <c r="F149" i="9"/>
  <c r="G300" i="12" s="1"/>
  <c r="G149" i="9"/>
  <c r="H300" i="12" s="1"/>
  <c r="H149" i="9"/>
  <c r="I300" i="12" s="1"/>
  <c r="I149" i="9"/>
  <c r="J300" i="12" s="1"/>
  <c r="J149" i="9"/>
  <c r="K300" i="12" s="1"/>
  <c r="K149" i="9"/>
  <c r="L300" i="12" s="1"/>
  <c r="L149" i="9"/>
  <c r="M300" i="12" s="1"/>
  <c r="N155" i="9"/>
  <c r="N153"/>
  <c r="N144"/>
  <c r="N140"/>
  <c r="G200" i="6"/>
  <c r="I203"/>
  <c r="H203"/>
  <c r="H202" s="1"/>
  <c r="H201" s="1"/>
  <c r="G204"/>
  <c r="M204" s="1"/>
  <c r="G207"/>
  <c r="I210"/>
  <c r="H210"/>
  <c r="H209" s="1"/>
  <c r="H208" s="1"/>
  <c r="G211"/>
  <c r="M445" i="2"/>
  <c r="M440"/>
  <c r="I447"/>
  <c r="I446" s="1"/>
  <c r="I678" s="1"/>
  <c r="F334"/>
  <c r="F332"/>
  <c r="F329"/>
  <c r="F326"/>
  <c r="G345"/>
  <c r="D522" i="12"/>
  <c r="I472"/>
  <c r="J472"/>
  <c r="K472"/>
  <c r="L472"/>
  <c r="M472"/>
  <c r="G473"/>
  <c r="I473"/>
  <c r="J473"/>
  <c r="K473"/>
  <c r="L473"/>
  <c r="M473"/>
  <c r="I474"/>
  <c r="J474"/>
  <c r="K474"/>
  <c r="L474"/>
  <c r="M474"/>
  <c r="F80" i="9"/>
  <c r="G475" i="12" s="1"/>
  <c r="G80" i="9"/>
  <c r="H475" i="12" s="1"/>
  <c r="H80" i="9"/>
  <c r="I475" i="12" s="1"/>
  <c r="J475"/>
  <c r="K475"/>
  <c r="L475"/>
  <c r="M475"/>
  <c r="B471"/>
  <c r="L465"/>
  <c r="M465"/>
  <c r="L464"/>
  <c r="M464"/>
  <c r="K619"/>
  <c r="L463"/>
  <c r="L619" s="1"/>
  <c r="M463"/>
  <c r="L462"/>
  <c r="M462"/>
  <c r="I274" i="9"/>
  <c r="J274"/>
  <c r="K274"/>
  <c r="L274"/>
  <c r="E274"/>
  <c r="F274"/>
  <c r="G274"/>
  <c r="H274"/>
  <c r="D274"/>
  <c r="N286"/>
  <c r="N285" s="1"/>
  <c r="L286"/>
  <c r="K286"/>
  <c r="J286"/>
  <c r="I286"/>
  <c r="H286"/>
  <c r="G286"/>
  <c r="F286"/>
  <c r="D286"/>
  <c r="L285"/>
  <c r="K285"/>
  <c r="J285"/>
  <c r="I285"/>
  <c r="H285"/>
  <c r="G285"/>
  <c r="F285"/>
  <c r="D285"/>
  <c r="N75"/>
  <c r="N77"/>
  <c r="D203" i="2"/>
  <c r="H104" i="12"/>
  <c r="G104"/>
  <c r="D250" i="2"/>
  <c r="G250"/>
  <c r="H140" i="12" s="1"/>
  <c r="F250" i="2"/>
  <c r="G140" i="12" s="1"/>
  <c r="D248" i="2"/>
  <c r="G248"/>
  <c r="F248"/>
  <c r="N245"/>
  <c r="D245"/>
  <c r="G245"/>
  <c r="H139" i="12" s="1"/>
  <c r="F245" i="2"/>
  <c r="G139" i="12" s="1"/>
  <c r="N244" i="2"/>
  <c r="N242"/>
  <c r="G242"/>
  <c r="H138" i="12" s="1"/>
  <c r="F242" i="2"/>
  <c r="G138" i="12" s="1"/>
  <c r="D238" i="2"/>
  <c r="G238"/>
  <c r="H125" i="12" s="1"/>
  <c r="F238" i="2"/>
  <c r="G125" i="12" s="1"/>
  <c r="F510"/>
  <c r="D236" i="2"/>
  <c r="G236"/>
  <c r="F236"/>
  <c r="N233"/>
  <c r="G233"/>
  <c r="H124" i="12" s="1"/>
  <c r="F233" i="2"/>
  <c r="G124" i="12" s="1"/>
  <c r="F509"/>
  <c r="D233" i="2"/>
  <c r="G230"/>
  <c r="H123" i="12" s="1"/>
  <c r="F230" i="2"/>
  <c r="G123" i="12" s="1"/>
  <c r="D226" i="2"/>
  <c r="G226"/>
  <c r="H175" i="12" s="1"/>
  <c r="F226" i="2"/>
  <c r="G175" i="12" s="1"/>
  <c r="G224" i="2"/>
  <c r="F224"/>
  <c r="N221"/>
  <c r="D221"/>
  <c r="G221"/>
  <c r="H174" i="12" s="1"/>
  <c r="F221" i="2"/>
  <c r="G174" i="12" s="1"/>
  <c r="N218" i="2"/>
  <c r="G218"/>
  <c r="H173" i="12" s="1"/>
  <c r="F218" i="2"/>
  <c r="G173" i="12" s="1"/>
  <c r="F110"/>
  <c r="G214" i="2"/>
  <c r="H110" i="12" s="1"/>
  <c r="G212" i="2"/>
  <c r="G206"/>
  <c r="F209"/>
  <c r="G209"/>
  <c r="D207"/>
  <c r="D214"/>
  <c r="D209"/>
  <c r="F214"/>
  <c r="G110" i="12" s="1"/>
  <c r="D212" i="2"/>
  <c r="F212"/>
  <c r="N209"/>
  <c r="D70"/>
  <c r="D224"/>
  <c r="D218"/>
  <c r="N133" i="8"/>
  <c r="N132" s="1"/>
  <c r="N131" s="1"/>
  <c r="K106"/>
  <c r="L106"/>
  <c r="D110"/>
  <c r="E120"/>
  <c r="B66" i="1" s="1"/>
  <c r="J66" s="1"/>
  <c r="E119" i="8"/>
  <c r="F119"/>
  <c r="F116" s="1"/>
  <c r="F115" s="1"/>
  <c r="G119"/>
  <c r="H119"/>
  <c r="H116" s="1"/>
  <c r="H115" s="1"/>
  <c r="I119"/>
  <c r="J119"/>
  <c r="K119"/>
  <c r="K116" s="1"/>
  <c r="K115" s="1"/>
  <c r="L119"/>
  <c r="E113"/>
  <c r="F113"/>
  <c r="G113"/>
  <c r="H113"/>
  <c r="I113"/>
  <c r="J113"/>
  <c r="K113"/>
  <c r="L113"/>
  <c r="J116"/>
  <c r="J115" s="1"/>
  <c r="D113"/>
  <c r="F127"/>
  <c r="F126" s="1"/>
  <c r="C89" i="1" s="1"/>
  <c r="G127" i="8"/>
  <c r="G126" s="1"/>
  <c r="D89" i="1" s="1"/>
  <c r="H127" i="8"/>
  <c r="H126" s="1"/>
  <c r="E89" i="1" s="1"/>
  <c r="I127" i="8"/>
  <c r="I126" s="1"/>
  <c r="F89" i="1" s="1"/>
  <c r="J127" i="8"/>
  <c r="J126" s="1"/>
  <c r="G89" i="1" s="1"/>
  <c r="K127" i="8"/>
  <c r="K126" s="1"/>
  <c r="H89" i="1" s="1"/>
  <c r="L127" i="8"/>
  <c r="L126" s="1"/>
  <c r="I89" i="1" s="1"/>
  <c r="F123" i="8"/>
  <c r="F122" s="1"/>
  <c r="F107" s="1"/>
  <c r="F105" s="1"/>
  <c r="G123"/>
  <c r="G122" s="1"/>
  <c r="G107" s="1"/>
  <c r="H123"/>
  <c r="H122" s="1"/>
  <c r="H107" s="1"/>
  <c r="H105" s="1"/>
  <c r="I123"/>
  <c r="I122" s="1"/>
  <c r="I107" s="1"/>
  <c r="I105" s="1"/>
  <c r="J123"/>
  <c r="J122" s="1"/>
  <c r="J107" s="1"/>
  <c r="J105" s="1"/>
  <c r="K123"/>
  <c r="K122" s="1"/>
  <c r="K107" s="1"/>
  <c r="L123"/>
  <c r="L122" s="1"/>
  <c r="L107" s="1"/>
  <c r="D119"/>
  <c r="L110"/>
  <c r="H110"/>
  <c r="J110"/>
  <c r="F110"/>
  <c r="E110"/>
  <c r="K110"/>
  <c r="I110"/>
  <c r="G110"/>
  <c r="N85" i="4"/>
  <c r="N84" s="1"/>
  <c r="E513" i="12"/>
  <c r="K219"/>
  <c r="L219"/>
  <c r="M219"/>
  <c r="J26" i="3"/>
  <c r="J25" s="1"/>
  <c r="L217" i="12"/>
  <c r="F41" i="3"/>
  <c r="F38" s="1"/>
  <c r="H41"/>
  <c r="J41"/>
  <c r="G71"/>
  <c r="H215" i="12" s="1"/>
  <c r="F66" i="3"/>
  <c r="G63"/>
  <c r="H213" i="12" s="1"/>
  <c r="G66" i="3"/>
  <c r="H214" i="12" s="1"/>
  <c r="B130" i="1"/>
  <c r="B142"/>
  <c r="D234" i="6"/>
  <c r="D260"/>
  <c r="D259" s="1"/>
  <c r="D229"/>
  <c r="D28"/>
  <c r="D58" i="13"/>
  <c r="P33"/>
  <c r="F242" i="12"/>
  <c r="D85" i="4"/>
  <c r="D84" s="1"/>
  <c r="D75" i="3"/>
  <c r="D659" i="2"/>
  <c r="D658" s="1"/>
  <c r="D366"/>
  <c r="D332"/>
  <c r="N90" i="4"/>
  <c r="N89" s="1"/>
  <c r="N30" i="13"/>
  <c r="N119" i="9"/>
  <c r="N262" i="6"/>
  <c r="N260" s="1"/>
  <c r="N259" s="1"/>
  <c r="N73"/>
  <c r="N28"/>
  <c r="N65" i="5"/>
  <c r="N64" s="1"/>
  <c r="N63" s="1"/>
  <c r="F15"/>
  <c r="F14" s="1"/>
  <c r="N12"/>
  <c r="N90" i="3"/>
  <c r="N659" i="2"/>
  <c r="N658" s="1"/>
  <c r="N640"/>
  <c r="N636"/>
  <c r="N635" s="1"/>
  <c r="N634" s="1"/>
  <c r="N629"/>
  <c r="N628"/>
  <c r="N621"/>
  <c r="N596"/>
  <c r="N595" s="1"/>
  <c r="N594" s="1"/>
  <c r="N330"/>
  <c r="N329" s="1"/>
  <c r="N328"/>
  <c r="N326" s="1"/>
  <c r="N355"/>
  <c r="N206"/>
  <c r="N81"/>
  <c r="F28" i="6"/>
  <c r="G288" i="12" s="1"/>
  <c r="G28" i="6"/>
  <c r="H288" i="12" s="1"/>
  <c r="H28" i="6"/>
  <c r="I288" i="12" s="1"/>
  <c r="I28" i="6"/>
  <c r="J288" i="12" s="1"/>
  <c r="J28" i="6"/>
  <c r="K288" i="12" s="1"/>
  <c r="K28" i="6"/>
  <c r="L288" i="12" s="1"/>
  <c r="H140" i="6"/>
  <c r="I600" i="12" s="1"/>
  <c r="I598" s="1"/>
  <c r="D59" i="3"/>
  <c r="B16" i="12"/>
  <c r="B286"/>
  <c r="F580" i="2"/>
  <c r="F579" s="1"/>
  <c r="N37"/>
  <c r="N411"/>
  <c r="N409"/>
  <c r="F115"/>
  <c r="F114" s="1"/>
  <c r="N149"/>
  <c r="D651"/>
  <c r="D650" s="1"/>
  <c r="D38" i="13"/>
  <c r="D13" s="1"/>
  <c r="M288" i="12"/>
  <c r="J30" i="6"/>
  <c r="K289" i="12" s="1"/>
  <c r="K30" i="6"/>
  <c r="L289" i="12" s="1"/>
  <c r="M289"/>
  <c r="J36" i="6"/>
  <c r="J35" s="1"/>
  <c r="K36"/>
  <c r="K35" s="1"/>
  <c r="I31" i="10" s="1"/>
  <c r="L36" i="6"/>
  <c r="L35" s="1"/>
  <c r="J31" i="10" s="1"/>
  <c r="M287" i="12"/>
  <c r="F177" i="6"/>
  <c r="D177" s="1"/>
  <c r="D145" s="1"/>
  <c r="F184"/>
  <c r="D184" s="1"/>
  <c r="D153" s="1"/>
  <c r="F250"/>
  <c r="F249" s="1"/>
  <c r="F240" s="1"/>
  <c r="F83" i="3"/>
  <c r="F78"/>
  <c r="G24" i="12" s="1"/>
  <c r="F75" i="3"/>
  <c r="H71"/>
  <c r="I71"/>
  <c r="I68" s="1"/>
  <c r="G24" i="10" s="1"/>
  <c r="H66" i="3"/>
  <c r="I214" i="12" s="1"/>
  <c r="I66" i="3"/>
  <c r="J214" i="12" s="1"/>
  <c r="H63" i="3"/>
  <c r="I63"/>
  <c r="J213" i="12" s="1"/>
  <c r="J53" i="7"/>
  <c r="K53"/>
  <c r="J51"/>
  <c r="K51"/>
  <c r="J48"/>
  <c r="K48"/>
  <c r="J45"/>
  <c r="G30"/>
  <c r="G29" s="1"/>
  <c r="G234" i="6"/>
  <c r="F234"/>
  <c r="G20" i="12" s="1"/>
  <c r="E20" s="1"/>
  <c r="F232" i="6"/>
  <c r="G232"/>
  <c r="N229"/>
  <c r="G229"/>
  <c r="F229"/>
  <c r="G19" i="12" s="1"/>
  <c r="E19" s="1"/>
  <c r="G227" i="6"/>
  <c r="N227" s="1"/>
  <c r="F227"/>
  <c r="M49" i="8"/>
  <c r="M18" s="1"/>
  <c r="M47"/>
  <c r="M14" s="1"/>
  <c r="B41" i="12"/>
  <c r="G293"/>
  <c r="I293"/>
  <c r="J293"/>
  <c r="G294"/>
  <c r="I294"/>
  <c r="J294"/>
  <c r="B291"/>
  <c r="I93"/>
  <c r="J93"/>
  <c r="I94"/>
  <c r="J94"/>
  <c r="B91"/>
  <c r="L107" i="3"/>
  <c r="K107"/>
  <c r="J107"/>
  <c r="I107"/>
  <c r="J45" i="12" s="1"/>
  <c r="H107" i="3"/>
  <c r="I45" i="12" s="1"/>
  <c r="G107" i="3"/>
  <c r="F107"/>
  <c r="G45" i="12" s="1"/>
  <c r="L105" i="3"/>
  <c r="K105"/>
  <c r="J105"/>
  <c r="I105"/>
  <c r="H105"/>
  <c r="G105"/>
  <c r="F105"/>
  <c r="N102"/>
  <c r="L102"/>
  <c r="K102"/>
  <c r="J102"/>
  <c r="I102"/>
  <c r="J44" i="12" s="1"/>
  <c r="H102" i="3"/>
  <c r="I44" i="12" s="1"/>
  <c r="G102" i="3"/>
  <c r="H44" i="12" s="1"/>
  <c r="F102" i="3"/>
  <c r="G44" i="12" s="1"/>
  <c r="L99" i="3"/>
  <c r="K99"/>
  <c r="J99"/>
  <c r="I99"/>
  <c r="J43" i="12" s="1"/>
  <c r="H99" i="3"/>
  <c r="G99"/>
  <c r="H43" i="12" s="1"/>
  <c r="F99" i="3"/>
  <c r="G43" i="12" s="1"/>
  <c r="F55" i="2"/>
  <c r="F54" s="1"/>
  <c r="F69"/>
  <c r="F68" s="1"/>
  <c r="F81"/>
  <c r="F80" s="1"/>
  <c r="G202" i="12" s="1"/>
  <c r="F93" i="2"/>
  <c r="F92" s="1"/>
  <c r="F105"/>
  <c r="F104" s="1"/>
  <c r="N173"/>
  <c r="N169" s="1"/>
  <c r="N185"/>
  <c r="N182"/>
  <c r="H93" i="12"/>
  <c r="H94"/>
  <c r="G93"/>
  <c r="G94"/>
  <c r="G121" i="9"/>
  <c r="H294" i="12" s="1"/>
  <c r="L136" i="9"/>
  <c r="L133" s="1"/>
  <c r="K136"/>
  <c r="K133" s="1"/>
  <c r="J136"/>
  <c r="J133" s="1"/>
  <c r="I136"/>
  <c r="I133" s="1"/>
  <c r="J95" i="12" s="1"/>
  <c r="H136" i="9"/>
  <c r="H133" s="1"/>
  <c r="I95" i="12" s="1"/>
  <c r="G136" i="9"/>
  <c r="H95" i="12" s="1"/>
  <c r="F136" i="9"/>
  <c r="G95" i="12" s="1"/>
  <c r="N131" i="9"/>
  <c r="L124"/>
  <c r="L123" s="1"/>
  <c r="K124"/>
  <c r="K123" s="1"/>
  <c r="J124"/>
  <c r="J123" s="1"/>
  <c r="I124"/>
  <c r="J295" i="12" s="1"/>
  <c r="H124" i="9"/>
  <c r="I295" i="12" s="1"/>
  <c r="F124" i="9"/>
  <c r="G295" i="12" s="1"/>
  <c r="N121" i="9"/>
  <c r="J292" i="12"/>
  <c r="G292"/>
  <c r="N542" i="2"/>
  <c r="F556"/>
  <c r="F555" s="1"/>
  <c r="H348"/>
  <c r="I65" i="12" s="1"/>
  <c r="H345" i="2"/>
  <c r="I345"/>
  <c r="I348"/>
  <c r="J65" i="12" s="1"/>
  <c r="H338" i="2"/>
  <c r="H342"/>
  <c r="I64" i="12" s="1"/>
  <c r="I342" i="2"/>
  <c r="J64" i="12" s="1"/>
  <c r="I338" i="2"/>
  <c r="N340"/>
  <c r="I658"/>
  <c r="H658"/>
  <c r="G658"/>
  <c r="F658"/>
  <c r="G650"/>
  <c r="H650"/>
  <c r="I650"/>
  <c r="N650"/>
  <c r="F650"/>
  <c r="I564"/>
  <c r="I563" s="1"/>
  <c r="N564"/>
  <c r="N563" s="1"/>
  <c r="N620"/>
  <c r="I50" i="13"/>
  <c r="H50"/>
  <c r="I56"/>
  <c r="H56"/>
  <c r="O580" i="12"/>
  <c r="P580"/>
  <c r="Q580"/>
  <c r="R580"/>
  <c r="B21"/>
  <c r="B26"/>
  <c r="B31"/>
  <c r="B36"/>
  <c r="B188"/>
  <c r="B201"/>
  <c r="B211"/>
  <c r="B216"/>
  <c r="B241"/>
  <c r="B246"/>
  <c r="B251"/>
  <c r="B256"/>
  <c r="B266"/>
  <c r="B271"/>
  <c r="B276"/>
  <c r="B281"/>
  <c r="B399"/>
  <c r="B56"/>
  <c r="B426"/>
  <c r="B61"/>
  <c r="B451"/>
  <c r="B456"/>
  <c r="B71"/>
  <c r="B76"/>
  <c r="B81"/>
  <c r="G205"/>
  <c r="G204"/>
  <c r="J457"/>
  <c r="K457"/>
  <c r="L457"/>
  <c r="M457"/>
  <c r="J458"/>
  <c r="K458"/>
  <c r="L458"/>
  <c r="M458"/>
  <c r="J459"/>
  <c r="K459"/>
  <c r="L459"/>
  <c r="M459"/>
  <c r="K460"/>
  <c r="L460"/>
  <c r="M460"/>
  <c r="J452"/>
  <c r="K452"/>
  <c r="L452"/>
  <c r="M452"/>
  <c r="J453"/>
  <c r="K453"/>
  <c r="L453"/>
  <c r="M453"/>
  <c r="J454"/>
  <c r="K454"/>
  <c r="L454"/>
  <c r="L602" s="1"/>
  <c r="M454"/>
  <c r="K455"/>
  <c r="L455"/>
  <c r="M455"/>
  <c r="I252"/>
  <c r="J252"/>
  <c r="K252"/>
  <c r="L252"/>
  <c r="M252"/>
  <c r="M285"/>
  <c r="L285"/>
  <c r="K285"/>
  <c r="M284"/>
  <c r="L284"/>
  <c r="K284"/>
  <c r="J284"/>
  <c r="M283"/>
  <c r="L283"/>
  <c r="K283"/>
  <c r="J283"/>
  <c r="M282"/>
  <c r="L282"/>
  <c r="K282"/>
  <c r="J282"/>
  <c r="F285"/>
  <c r="F284"/>
  <c r="M280"/>
  <c r="L280"/>
  <c r="M279"/>
  <c r="L279"/>
  <c r="K279"/>
  <c r="M278"/>
  <c r="L278"/>
  <c r="K278"/>
  <c r="M277"/>
  <c r="L277"/>
  <c r="K277"/>
  <c r="M275"/>
  <c r="L275"/>
  <c r="M274"/>
  <c r="L274"/>
  <c r="K274"/>
  <c r="M273"/>
  <c r="L273"/>
  <c r="K273"/>
  <c r="M272"/>
  <c r="L272"/>
  <c r="K272"/>
  <c r="L270"/>
  <c r="K270"/>
  <c r="L269"/>
  <c r="K269"/>
  <c r="J269"/>
  <c r="L268"/>
  <c r="K268"/>
  <c r="J268"/>
  <c r="L267"/>
  <c r="K267"/>
  <c r="J267"/>
  <c r="K83"/>
  <c r="L83"/>
  <c r="M83"/>
  <c r="I77"/>
  <c r="J77"/>
  <c r="K77"/>
  <c r="L77"/>
  <c r="M77"/>
  <c r="I78"/>
  <c r="J78"/>
  <c r="K78"/>
  <c r="L78"/>
  <c r="M78"/>
  <c r="G79"/>
  <c r="H79"/>
  <c r="I79"/>
  <c r="J79"/>
  <c r="K79"/>
  <c r="L79"/>
  <c r="M79"/>
  <c r="J80"/>
  <c r="K80"/>
  <c r="L80"/>
  <c r="M80"/>
  <c r="F79"/>
  <c r="J72"/>
  <c r="K72"/>
  <c r="L72"/>
  <c r="M72"/>
  <c r="J73"/>
  <c r="K73"/>
  <c r="L73"/>
  <c r="M73"/>
  <c r="G74"/>
  <c r="H74"/>
  <c r="I74"/>
  <c r="J74"/>
  <c r="K74"/>
  <c r="L74"/>
  <c r="M74"/>
  <c r="J75"/>
  <c r="K75"/>
  <c r="L75"/>
  <c r="M75"/>
  <c r="F74"/>
  <c r="G259"/>
  <c r="H259"/>
  <c r="I259"/>
  <c r="J259"/>
  <c r="K259"/>
  <c r="L259"/>
  <c r="M259"/>
  <c r="H253"/>
  <c r="I253"/>
  <c r="J253"/>
  <c r="K253"/>
  <c r="L253"/>
  <c r="M253"/>
  <c r="I254"/>
  <c r="J254"/>
  <c r="K254"/>
  <c r="L254"/>
  <c r="M254"/>
  <c r="I255"/>
  <c r="J255"/>
  <c r="K255"/>
  <c r="L255"/>
  <c r="M255"/>
  <c r="J35"/>
  <c r="L35"/>
  <c r="G29"/>
  <c r="H29"/>
  <c r="K247"/>
  <c r="L247"/>
  <c r="M247"/>
  <c r="K248"/>
  <c r="L248"/>
  <c r="M248"/>
  <c r="K249"/>
  <c r="L249"/>
  <c r="M249"/>
  <c r="K250"/>
  <c r="L250"/>
  <c r="M250"/>
  <c r="F71" i="5"/>
  <c r="F70" s="1"/>
  <c r="G242" i="12" s="1"/>
  <c r="H242"/>
  <c r="I242"/>
  <c r="J242"/>
  <c r="K242"/>
  <c r="L242"/>
  <c r="M242"/>
  <c r="G244"/>
  <c r="H244"/>
  <c r="I244"/>
  <c r="J244"/>
  <c r="K244"/>
  <c r="L244"/>
  <c r="M244"/>
  <c r="F74" i="5"/>
  <c r="H245" i="12"/>
  <c r="I245"/>
  <c r="J245"/>
  <c r="K245"/>
  <c r="L245"/>
  <c r="M245"/>
  <c r="F245"/>
  <c r="F244"/>
  <c r="F41" i="5"/>
  <c r="F39"/>
  <c r="G401" i="12" s="1"/>
  <c r="G402"/>
  <c r="H402"/>
  <c r="I402"/>
  <c r="J402"/>
  <c r="G403"/>
  <c r="H403"/>
  <c r="I403"/>
  <c r="J403"/>
  <c r="F403"/>
  <c r="F402"/>
  <c r="K212"/>
  <c r="L212"/>
  <c r="M212"/>
  <c r="K213"/>
  <c r="L213"/>
  <c r="M213"/>
  <c r="K214"/>
  <c r="L214"/>
  <c r="M214"/>
  <c r="K215"/>
  <c r="L215"/>
  <c r="M215"/>
  <c r="M217"/>
  <c r="L218"/>
  <c r="M218"/>
  <c r="L220"/>
  <c r="M220"/>
  <c r="H22"/>
  <c r="I22"/>
  <c r="J22"/>
  <c r="G23"/>
  <c r="H23"/>
  <c r="I23"/>
  <c r="J23"/>
  <c r="H24"/>
  <c r="I24"/>
  <c r="J24"/>
  <c r="H25"/>
  <c r="I25"/>
  <c r="J25"/>
  <c r="I63"/>
  <c r="I427"/>
  <c r="J427"/>
  <c r="I428"/>
  <c r="J428"/>
  <c r="G429"/>
  <c r="H429"/>
  <c r="I429"/>
  <c r="J429"/>
  <c r="J602" s="1"/>
  <c r="H430"/>
  <c r="I430"/>
  <c r="J430"/>
  <c r="H57"/>
  <c r="I57"/>
  <c r="H58"/>
  <c r="I58"/>
  <c r="H59"/>
  <c r="I59"/>
  <c r="H60"/>
  <c r="I60"/>
  <c r="F60"/>
  <c r="L23" i="13"/>
  <c r="J16"/>
  <c r="K16"/>
  <c r="L16"/>
  <c r="J14"/>
  <c r="J12" s="1"/>
  <c r="K14"/>
  <c r="K12" s="1"/>
  <c r="L14"/>
  <c r="L12" s="1"/>
  <c r="F42"/>
  <c r="G275" i="12" s="1"/>
  <c r="G42" i="13"/>
  <c r="H275" i="12" s="1"/>
  <c r="H42" i="13"/>
  <c r="I275" i="12" s="1"/>
  <c r="I42" i="13"/>
  <c r="J275" i="12" s="1"/>
  <c r="J42" i="13"/>
  <c r="K275" i="12" s="1"/>
  <c r="F37" i="13"/>
  <c r="G273" i="12" s="1"/>
  <c r="G37" i="13"/>
  <c r="H273" i="12" s="1"/>
  <c r="H37" i="13"/>
  <c r="I273" i="12" s="1"/>
  <c r="I37" i="13"/>
  <c r="J273" i="12" s="1"/>
  <c r="F39" i="13"/>
  <c r="G274" i="12" s="1"/>
  <c r="G39" i="13"/>
  <c r="H274" i="12" s="1"/>
  <c r="H39" i="13"/>
  <c r="I274" i="12" s="1"/>
  <c r="I39" i="13"/>
  <c r="J274" i="12" s="1"/>
  <c r="G33" i="13"/>
  <c r="H270" i="12" s="1"/>
  <c r="H33" i="13"/>
  <c r="I270" i="12" s="1"/>
  <c r="I33" i="13"/>
  <c r="J270" i="12" s="1"/>
  <c r="F33" i="13"/>
  <c r="G270" i="12" s="1"/>
  <c r="F30" i="13"/>
  <c r="G269" i="12" s="1"/>
  <c r="G30" i="13"/>
  <c r="H269" i="12" s="1"/>
  <c r="H30" i="13"/>
  <c r="I269" i="12" s="1"/>
  <c r="F28" i="13"/>
  <c r="G268" i="12" s="1"/>
  <c r="G28" i="13"/>
  <c r="H268" i="12" s="1"/>
  <c r="H28" i="13"/>
  <c r="I268" i="12" s="1"/>
  <c r="H47" i="9"/>
  <c r="G47"/>
  <c r="G78" i="12"/>
  <c r="H73"/>
  <c r="H27" i="9"/>
  <c r="I73" i="12" s="1"/>
  <c r="I36" i="13"/>
  <c r="J272" i="12" s="1"/>
  <c r="F78"/>
  <c r="L84"/>
  <c r="J83"/>
  <c r="N88" i="9"/>
  <c r="F130" i="2"/>
  <c r="G58" i="12" s="1"/>
  <c r="D54" i="3"/>
  <c r="D53"/>
  <c r="D48"/>
  <c r="G52"/>
  <c r="G17" s="1"/>
  <c r="H52"/>
  <c r="H17" s="1"/>
  <c r="D49"/>
  <c r="F47"/>
  <c r="G47"/>
  <c r="G12" s="1"/>
  <c r="H47"/>
  <c r="H12" s="1"/>
  <c r="G58"/>
  <c r="H325" i="12" s="1"/>
  <c r="H58" i="3"/>
  <c r="I325" i="12" s="1"/>
  <c r="F56" i="3"/>
  <c r="G56"/>
  <c r="H56"/>
  <c r="G36" i="8"/>
  <c r="H36"/>
  <c r="G34"/>
  <c r="H34"/>
  <c r="H41"/>
  <c r="H39"/>
  <c r="H38" s="1"/>
  <c r="D40"/>
  <c r="D25" s="1"/>
  <c r="F282" i="9"/>
  <c r="F281" s="1"/>
  <c r="F270" s="1"/>
  <c r="G282"/>
  <c r="G281" s="1"/>
  <c r="H282"/>
  <c r="H281" s="1"/>
  <c r="F437" i="2"/>
  <c r="F365" s="1"/>
  <c r="H26" i="3"/>
  <c r="I218" i="12" s="1"/>
  <c r="I610" i="2"/>
  <c r="I609" s="1"/>
  <c r="I685" s="1"/>
  <c r="I531"/>
  <c r="H602"/>
  <c r="H601" s="1"/>
  <c r="H564"/>
  <c r="H563" s="1"/>
  <c r="D648"/>
  <c r="D647" s="1"/>
  <c r="D646" s="1"/>
  <c r="F647"/>
  <c r="F646" s="1"/>
  <c r="N639"/>
  <c r="N638" s="1"/>
  <c r="L372"/>
  <c r="F366"/>
  <c r="F25" s="1"/>
  <c r="C30" i="1" s="1"/>
  <c r="G366" i="2"/>
  <c r="G25" s="1"/>
  <c r="H366"/>
  <c r="I366"/>
  <c r="I25" s="1"/>
  <c r="F30" i="1" s="1"/>
  <c r="J366" i="2"/>
  <c r="J25" s="1"/>
  <c r="G30" i="1" s="1"/>
  <c r="K366" i="2"/>
  <c r="K15" s="1"/>
  <c r="H20" i="1" s="1"/>
  <c r="L366" i="2"/>
  <c r="K364"/>
  <c r="G202"/>
  <c r="F202"/>
  <c r="D201"/>
  <c r="D200" s="1"/>
  <c r="N197"/>
  <c r="G197"/>
  <c r="F197"/>
  <c r="D196"/>
  <c r="D194" s="1"/>
  <c r="N194"/>
  <c r="G194"/>
  <c r="H443" i="12" s="1"/>
  <c r="H619" s="1"/>
  <c r="F194" i="2"/>
  <c r="G443" i="12" s="1"/>
  <c r="G190" i="2"/>
  <c r="F190"/>
  <c r="G170" i="12" s="1"/>
  <c r="D189" i="2"/>
  <c r="D188" s="1"/>
  <c r="D185"/>
  <c r="G185"/>
  <c r="H169" i="12" s="1"/>
  <c r="F185" i="2"/>
  <c r="G169" i="12" s="1"/>
  <c r="D184" i="2"/>
  <c r="G182"/>
  <c r="H168" i="12" s="1"/>
  <c r="F182" i="2"/>
  <c r="G168" i="12" s="1"/>
  <c r="G178" i="2"/>
  <c r="H135" i="12" s="1"/>
  <c r="F178" i="2"/>
  <c r="G135" i="12" s="1"/>
  <c r="D177" i="2"/>
  <c r="G173"/>
  <c r="H134" i="12" s="1"/>
  <c r="F173" i="2"/>
  <c r="G134" i="12" s="1"/>
  <c r="D172" i="2"/>
  <c r="G170"/>
  <c r="F170"/>
  <c r="G133" i="12" s="1"/>
  <c r="G166" i="2"/>
  <c r="H105" i="12" s="1"/>
  <c r="G161" i="2"/>
  <c r="G158"/>
  <c r="H103" i="12" s="1"/>
  <c r="F166" i="2"/>
  <c r="G105" i="12" s="1"/>
  <c r="D165" i="2"/>
  <c r="D164" s="1"/>
  <c r="N161"/>
  <c r="F161"/>
  <c r="D160"/>
  <c r="N158"/>
  <c r="F158"/>
  <c r="G103" i="12" s="1"/>
  <c r="I432" i="2"/>
  <c r="J460" i="12" s="1"/>
  <c r="H432" i="2"/>
  <c r="G432"/>
  <c r="F432"/>
  <c r="G460" i="12" s="1"/>
  <c r="N429" i="2"/>
  <c r="H429"/>
  <c r="G429"/>
  <c r="H459" i="12" s="1"/>
  <c r="F429" i="2"/>
  <c r="N427"/>
  <c r="N426" s="1"/>
  <c r="H427"/>
  <c r="I458" i="12" s="1"/>
  <c r="G427" i="2"/>
  <c r="F427"/>
  <c r="G458" i="12" s="1"/>
  <c r="I423" i="2"/>
  <c r="G423"/>
  <c r="H455" i="12" s="1"/>
  <c r="H423" i="2"/>
  <c r="I455" i="12" s="1"/>
  <c r="G420" i="2"/>
  <c r="H454" i="12" s="1"/>
  <c r="H420" i="2"/>
  <c r="I454" i="12" s="1"/>
  <c r="G418" i="2"/>
  <c r="H418"/>
  <c r="F423"/>
  <c r="G455" i="12" s="1"/>
  <c r="N420" i="2"/>
  <c r="F420"/>
  <c r="G454" i="12" s="1"/>
  <c r="N418" i="2"/>
  <c r="F418"/>
  <c r="G453" i="12" s="1"/>
  <c r="G414" i="2"/>
  <c r="F414"/>
  <c r="D411"/>
  <c r="F411"/>
  <c r="F409"/>
  <c r="G405"/>
  <c r="G404" s="1"/>
  <c r="F405"/>
  <c r="F404" s="1"/>
  <c r="N402"/>
  <c r="F402"/>
  <c r="N400"/>
  <c r="F400"/>
  <c r="N647"/>
  <c r="N646" s="1"/>
  <c r="G647"/>
  <c r="G646" s="1"/>
  <c r="G388"/>
  <c r="G396"/>
  <c r="N391"/>
  <c r="N388"/>
  <c r="G384"/>
  <c r="F381"/>
  <c r="G159" i="12" s="1"/>
  <c r="E159" s="1"/>
  <c r="F379" i="2"/>
  <c r="G158" i="12" s="1"/>
  <c r="E158" s="1"/>
  <c r="D394" i="2"/>
  <c r="D372"/>
  <c r="D371" s="1"/>
  <c r="I54" i="8"/>
  <c r="J260" i="12" s="1"/>
  <c r="J54" i="8"/>
  <c r="K260" i="12" s="1"/>
  <c r="K54" i="8"/>
  <c r="L260" i="12" s="1"/>
  <c r="L54" i="8"/>
  <c r="M260" i="12" s="1"/>
  <c r="I51" i="8"/>
  <c r="I50" s="1"/>
  <c r="I144" s="1"/>
  <c r="J51"/>
  <c r="J50" s="1"/>
  <c r="J144" s="1"/>
  <c r="K51"/>
  <c r="L51"/>
  <c r="L50" s="1"/>
  <c r="L144" s="1"/>
  <c r="I48"/>
  <c r="J48"/>
  <c r="K48"/>
  <c r="L48"/>
  <c r="I45"/>
  <c r="I44" s="1"/>
  <c r="I9" s="1"/>
  <c r="J45"/>
  <c r="K258" i="12" s="1"/>
  <c r="K45" i="8"/>
  <c r="K44" s="1"/>
  <c r="K9" s="1"/>
  <c r="L45"/>
  <c r="M258" i="12" s="1"/>
  <c r="D207" i="6"/>
  <c r="D206" s="1"/>
  <c r="F19" i="5"/>
  <c r="F17" s="1"/>
  <c r="G19"/>
  <c r="G17" s="1"/>
  <c r="H19"/>
  <c r="H17" s="1"/>
  <c r="I19"/>
  <c r="I17" s="1"/>
  <c r="J19"/>
  <c r="J17" s="1"/>
  <c r="K19"/>
  <c r="K17" s="1"/>
  <c r="L19"/>
  <c r="L17" s="1"/>
  <c r="F25"/>
  <c r="F23" s="1"/>
  <c r="F20" s="1"/>
  <c r="G25"/>
  <c r="G23" s="1"/>
  <c r="G20" s="1"/>
  <c r="H25"/>
  <c r="H23" s="1"/>
  <c r="H20" s="1"/>
  <c r="I25"/>
  <c r="I23" s="1"/>
  <c r="I20" s="1"/>
  <c r="J25"/>
  <c r="J23" s="1"/>
  <c r="J20" s="1"/>
  <c r="K25"/>
  <c r="K23" s="1"/>
  <c r="K20" s="1"/>
  <c r="L25"/>
  <c r="L23" s="1"/>
  <c r="L20" s="1"/>
  <c r="L21" i="13"/>
  <c r="L20" s="1"/>
  <c r="J9"/>
  <c r="K9"/>
  <c r="K8" s="1"/>
  <c r="L9"/>
  <c r="L8" s="1"/>
  <c r="J58"/>
  <c r="J60"/>
  <c r="F58"/>
  <c r="G58"/>
  <c r="H58"/>
  <c r="I58"/>
  <c r="F60"/>
  <c r="G280" i="12" s="1"/>
  <c r="G60" i="13"/>
  <c r="H280" i="12" s="1"/>
  <c r="H60" i="13"/>
  <c r="I280" i="12" s="1"/>
  <c r="I60" i="13"/>
  <c r="J280" i="12" s="1"/>
  <c r="F140" i="6"/>
  <c r="F299"/>
  <c r="I191"/>
  <c r="I190" s="1"/>
  <c r="I189" s="1"/>
  <c r="H191"/>
  <c r="G191"/>
  <c r="G190" s="1"/>
  <c r="G189" s="1"/>
  <c r="I195"/>
  <c r="I299" s="1"/>
  <c r="H195"/>
  <c r="H299" s="1"/>
  <c r="G195"/>
  <c r="D71" i="5"/>
  <c r="D70" s="1"/>
  <c r="N71"/>
  <c r="N70" s="1"/>
  <c r="G437" i="2"/>
  <c r="G365" s="1"/>
  <c r="G214" i="6"/>
  <c r="N342" i="2"/>
  <c r="N338"/>
  <c r="E300" i="6"/>
  <c r="E303" s="1"/>
  <c r="K299"/>
  <c r="K298"/>
  <c r="J299"/>
  <c r="J298"/>
  <c r="G298"/>
  <c r="F298"/>
  <c r="G223"/>
  <c r="H255" i="12" s="1"/>
  <c r="F221" i="6"/>
  <c r="G218"/>
  <c r="F218"/>
  <c r="F254" i="12"/>
  <c r="F255"/>
  <c r="G447" i="2"/>
  <c r="G446" s="1"/>
  <c r="G678" s="1"/>
  <c r="H447"/>
  <c r="I285" i="12" s="1"/>
  <c r="F447" i="2"/>
  <c r="F446" s="1"/>
  <c r="F678" s="1"/>
  <c r="F348"/>
  <c r="G65" i="12" s="1"/>
  <c r="G348" i="2"/>
  <c r="H65" i="12" s="1"/>
  <c r="F342" i="2"/>
  <c r="G342"/>
  <c r="H64" i="12" s="1"/>
  <c r="F345" i="2"/>
  <c r="F344" s="1"/>
  <c r="F338"/>
  <c r="G63" i="12" s="1"/>
  <c r="G338" i="2"/>
  <c r="F519" i="12"/>
  <c r="E519" s="1"/>
  <c r="D327" i="2"/>
  <c r="G317"/>
  <c r="G314"/>
  <c r="H428" i="12" s="1"/>
  <c r="H35"/>
  <c r="G596"/>
  <c r="G594" s="1"/>
  <c r="G597" s="1"/>
  <c r="G592"/>
  <c r="G590" s="1"/>
  <c r="F259"/>
  <c r="D180" i="6"/>
  <c r="G198"/>
  <c r="H198"/>
  <c r="F198"/>
  <c r="J198"/>
  <c r="K198"/>
  <c r="L198"/>
  <c r="D200"/>
  <c r="F206"/>
  <c r="G206"/>
  <c r="H206"/>
  <c r="I206"/>
  <c r="J206"/>
  <c r="K206"/>
  <c r="L206"/>
  <c r="G140"/>
  <c r="H600" i="12" s="1"/>
  <c r="H598" s="1"/>
  <c r="I140" i="6"/>
  <c r="J600" i="12" s="1"/>
  <c r="J598" s="1"/>
  <c r="J140" i="6"/>
  <c r="K600" i="12" s="1"/>
  <c r="K598" s="1"/>
  <c r="K140" i="6"/>
  <c r="L140"/>
  <c r="L14" s="1"/>
  <c r="F141"/>
  <c r="G141"/>
  <c r="H141"/>
  <c r="H16" s="1"/>
  <c r="I141"/>
  <c r="I16" s="1"/>
  <c r="J141"/>
  <c r="J16" s="1"/>
  <c r="K141"/>
  <c r="K16" s="1"/>
  <c r="L141"/>
  <c r="L16" s="1"/>
  <c r="F144"/>
  <c r="J144"/>
  <c r="J301" s="1"/>
  <c r="K144"/>
  <c r="K301" s="1"/>
  <c r="L144"/>
  <c r="G145"/>
  <c r="H145"/>
  <c r="I145"/>
  <c r="J145"/>
  <c r="K145"/>
  <c r="L145"/>
  <c r="F146"/>
  <c r="H146"/>
  <c r="I146"/>
  <c r="J146"/>
  <c r="K146"/>
  <c r="L146"/>
  <c r="F149"/>
  <c r="G149"/>
  <c r="G23" s="1"/>
  <c r="H149"/>
  <c r="H148" s="1"/>
  <c r="I149"/>
  <c r="I23" s="1"/>
  <c r="J149"/>
  <c r="K149"/>
  <c r="K23" s="1"/>
  <c r="L149"/>
  <c r="L148" s="1"/>
  <c r="F152"/>
  <c r="J152"/>
  <c r="K152"/>
  <c r="L152"/>
  <c r="G153"/>
  <c r="H153"/>
  <c r="I153"/>
  <c r="J153"/>
  <c r="K153"/>
  <c r="L153"/>
  <c r="F154"/>
  <c r="H154"/>
  <c r="I154"/>
  <c r="J154"/>
  <c r="K154"/>
  <c r="L154"/>
  <c r="F171"/>
  <c r="G171"/>
  <c r="H171"/>
  <c r="I171"/>
  <c r="J171"/>
  <c r="K171"/>
  <c r="L171"/>
  <c r="G175"/>
  <c r="G174" s="1"/>
  <c r="H175"/>
  <c r="I175"/>
  <c r="I174" s="1"/>
  <c r="J175"/>
  <c r="J174" s="1"/>
  <c r="K175"/>
  <c r="K174" s="1"/>
  <c r="L175"/>
  <c r="L174" s="1"/>
  <c r="D173"/>
  <c r="D172"/>
  <c r="F179"/>
  <c r="G179"/>
  <c r="H179"/>
  <c r="I179"/>
  <c r="J179"/>
  <c r="K179"/>
  <c r="L179"/>
  <c r="G182"/>
  <c r="G181" s="1"/>
  <c r="H182"/>
  <c r="H181" s="1"/>
  <c r="I182"/>
  <c r="J182"/>
  <c r="J181" s="1"/>
  <c r="K182"/>
  <c r="L182"/>
  <c r="L181" s="1"/>
  <c r="F187"/>
  <c r="G187"/>
  <c r="H187"/>
  <c r="I187"/>
  <c r="J187"/>
  <c r="K187"/>
  <c r="L187"/>
  <c r="D188"/>
  <c r="M188" s="1"/>
  <c r="N188"/>
  <c r="F190"/>
  <c r="F189" s="1"/>
  <c r="J190"/>
  <c r="J189" s="1"/>
  <c r="K190"/>
  <c r="K189" s="1"/>
  <c r="L190"/>
  <c r="L189" s="1"/>
  <c r="F194"/>
  <c r="F193" s="1"/>
  <c r="F192" s="1"/>
  <c r="J194"/>
  <c r="J193" s="1"/>
  <c r="J192" s="1"/>
  <c r="K194"/>
  <c r="K193" s="1"/>
  <c r="K192" s="1"/>
  <c r="L194"/>
  <c r="L193" s="1"/>
  <c r="L192" s="1"/>
  <c r="D199"/>
  <c r="F202"/>
  <c r="J202"/>
  <c r="J201" s="1"/>
  <c r="K202"/>
  <c r="K201" s="1"/>
  <c r="L202"/>
  <c r="L201" s="1"/>
  <c r="F209"/>
  <c r="F208" s="1"/>
  <c r="F205" s="1"/>
  <c r="J209"/>
  <c r="J208" s="1"/>
  <c r="K209"/>
  <c r="K208" s="1"/>
  <c r="L209"/>
  <c r="L208" s="1"/>
  <c r="J93" i="9"/>
  <c r="K85" i="12" s="1"/>
  <c r="L98" i="13"/>
  <c r="K98"/>
  <c r="J98"/>
  <c r="H110"/>
  <c r="H109" s="1"/>
  <c r="H99" s="1"/>
  <c r="H98" s="1"/>
  <c r="G110"/>
  <c r="G109" s="1"/>
  <c r="G99" s="1"/>
  <c r="F110"/>
  <c r="F109" s="1"/>
  <c r="F99" s="1"/>
  <c r="N110"/>
  <c r="N109" s="1"/>
  <c r="Q112" s="1"/>
  <c r="I107"/>
  <c r="I106" s="1"/>
  <c r="I105" s="1"/>
  <c r="H107"/>
  <c r="H106" s="1"/>
  <c r="H105" s="1"/>
  <c r="G107"/>
  <c r="G106" s="1"/>
  <c r="G105" s="1"/>
  <c r="F107"/>
  <c r="F106" s="1"/>
  <c r="F105" s="1"/>
  <c r="D107"/>
  <c r="D106" s="1"/>
  <c r="D105" s="1"/>
  <c r="I104"/>
  <c r="H104"/>
  <c r="G104"/>
  <c r="F104"/>
  <c r="D104"/>
  <c r="I98"/>
  <c r="D110"/>
  <c r="D109" s="1"/>
  <c r="D99" s="1"/>
  <c r="D98" s="1"/>
  <c r="G39" i="5"/>
  <c r="H401" i="12" s="1"/>
  <c r="H39" i="5"/>
  <c r="I401" i="12" s="1"/>
  <c r="I615" s="1"/>
  <c r="G41" i="5"/>
  <c r="H41"/>
  <c r="F44"/>
  <c r="G44"/>
  <c r="L523" i="2"/>
  <c r="L522" s="1"/>
  <c r="K523"/>
  <c r="K522" s="1"/>
  <c r="J523"/>
  <c r="J522" s="1"/>
  <c r="L520"/>
  <c r="K520"/>
  <c r="J520"/>
  <c r="L518"/>
  <c r="K518"/>
  <c r="J518"/>
  <c r="J530"/>
  <c r="J529" s="1"/>
  <c r="L530"/>
  <c r="L529" s="1"/>
  <c r="K530"/>
  <c r="K529" s="1"/>
  <c r="L264" i="6"/>
  <c r="L263" s="1"/>
  <c r="L279" i="9"/>
  <c r="K264" i="6"/>
  <c r="K263" s="1"/>
  <c r="J264"/>
  <c r="J263" s="1"/>
  <c r="J279" i="9"/>
  <c r="L260" i="6"/>
  <c r="L259" s="1"/>
  <c r="L239" s="1"/>
  <c r="L238" s="1"/>
  <c r="K260"/>
  <c r="K259" s="1"/>
  <c r="K239" s="1"/>
  <c r="K238" s="1"/>
  <c r="J260"/>
  <c r="J259" s="1"/>
  <c r="J239" s="1"/>
  <c r="J238" s="1"/>
  <c r="J90" i="4"/>
  <c r="J89" s="1"/>
  <c r="K90"/>
  <c r="K89" s="1"/>
  <c r="L90"/>
  <c r="L89" s="1"/>
  <c r="I90"/>
  <c r="I89" s="1"/>
  <c r="H90"/>
  <c r="H89" s="1"/>
  <c r="G90"/>
  <c r="G89" s="1"/>
  <c r="F90"/>
  <c r="F89" s="1"/>
  <c r="L80"/>
  <c r="L79" s="1"/>
  <c r="K80"/>
  <c r="K79" s="1"/>
  <c r="J80"/>
  <c r="J79" s="1"/>
  <c r="L72"/>
  <c r="L71" s="1"/>
  <c r="K72"/>
  <c r="K71" s="1"/>
  <c r="J72"/>
  <c r="J71" s="1"/>
  <c r="P571" i="2"/>
  <c r="J526"/>
  <c r="K526"/>
  <c r="D576"/>
  <c r="D575" s="1"/>
  <c r="L526"/>
  <c r="J39" i="5"/>
  <c r="K401" i="12" s="1"/>
  <c r="K615" s="1"/>
  <c r="K39" i="5"/>
  <c r="L401" i="12" s="1"/>
  <c r="L615" s="1"/>
  <c r="L39" i="5"/>
  <c r="J41"/>
  <c r="K41"/>
  <c r="L41"/>
  <c r="J46"/>
  <c r="J43" s="1"/>
  <c r="J143" s="1"/>
  <c r="K46"/>
  <c r="K43" s="1"/>
  <c r="K143" s="1"/>
  <c r="L46"/>
  <c r="L43" s="1"/>
  <c r="L143" s="1"/>
  <c r="J50"/>
  <c r="K50"/>
  <c r="L50"/>
  <c r="J53"/>
  <c r="J52" s="1"/>
  <c r="K53"/>
  <c r="K52" s="1"/>
  <c r="L53"/>
  <c r="L52" s="1"/>
  <c r="J57"/>
  <c r="J56" s="1"/>
  <c r="K57"/>
  <c r="K56" s="1"/>
  <c r="L57"/>
  <c r="L56" s="1"/>
  <c r="J60"/>
  <c r="K60"/>
  <c r="L60"/>
  <c r="J102"/>
  <c r="J100" s="1"/>
  <c r="K102"/>
  <c r="K100" s="1"/>
  <c r="L102"/>
  <c r="L100" s="1"/>
  <c r="J108"/>
  <c r="K108"/>
  <c r="L108"/>
  <c r="J104"/>
  <c r="K104"/>
  <c r="L104"/>
  <c r="J114"/>
  <c r="J110" s="1"/>
  <c r="K114"/>
  <c r="K110" s="1"/>
  <c r="L114"/>
  <c r="L110" s="1"/>
  <c r="J126"/>
  <c r="K126"/>
  <c r="L126"/>
  <c r="J132"/>
  <c r="K132"/>
  <c r="L132"/>
  <c r="J139"/>
  <c r="J138" s="1"/>
  <c r="K139"/>
  <c r="K138" s="1"/>
  <c r="L139"/>
  <c r="L138" s="1"/>
  <c r="J64"/>
  <c r="K64"/>
  <c r="L64"/>
  <c r="J67"/>
  <c r="J66" s="1"/>
  <c r="K67"/>
  <c r="K66" s="1"/>
  <c r="L67"/>
  <c r="L66" s="1"/>
  <c r="I67"/>
  <c r="H67"/>
  <c r="G67"/>
  <c r="G66" s="1"/>
  <c r="F67"/>
  <c r="I66"/>
  <c r="H66"/>
  <c r="I64"/>
  <c r="H64"/>
  <c r="G64"/>
  <c r="F64"/>
  <c r="F63" s="1"/>
  <c r="F102"/>
  <c r="G102"/>
  <c r="H102"/>
  <c r="I102"/>
  <c r="N84" i="9"/>
  <c r="I279"/>
  <c r="I278" s="1"/>
  <c r="I277" s="1"/>
  <c r="K279"/>
  <c r="K278" s="1"/>
  <c r="K277" s="1"/>
  <c r="H279"/>
  <c r="H278" s="1"/>
  <c r="H277" s="1"/>
  <c r="J281"/>
  <c r="J270" s="1"/>
  <c r="G49" i="1" s="1"/>
  <c r="K281" i="9"/>
  <c r="K271" s="1"/>
  <c r="L281"/>
  <c r="K93"/>
  <c r="L93"/>
  <c r="M85" i="12" s="1"/>
  <c r="F215"/>
  <c r="G69" i="3"/>
  <c r="F69"/>
  <c r="D69"/>
  <c r="G214" i="12"/>
  <c r="D81" i="3"/>
  <c r="D78"/>
  <c r="N78"/>
  <c r="N75"/>
  <c r="F24" i="12"/>
  <c r="F213"/>
  <c r="F22"/>
  <c r="K370" i="2"/>
  <c r="I29" i="10" s="1"/>
  <c r="G150" i="1"/>
  <c r="H150"/>
  <c r="I150"/>
  <c r="G139"/>
  <c r="H139"/>
  <c r="I139"/>
  <c r="G142"/>
  <c r="H142"/>
  <c r="I142"/>
  <c r="G130"/>
  <c r="H130"/>
  <c r="I130"/>
  <c r="C130"/>
  <c r="D130"/>
  <c r="E130"/>
  <c r="F130"/>
  <c r="B139"/>
  <c r="C139"/>
  <c r="D139"/>
  <c r="E139"/>
  <c r="F139"/>
  <c r="J139"/>
  <c r="C142"/>
  <c r="D142"/>
  <c r="E142"/>
  <c r="F142"/>
  <c r="B150"/>
  <c r="C150"/>
  <c r="D150"/>
  <c r="E150"/>
  <c r="F150"/>
  <c r="J150"/>
  <c r="J130"/>
  <c r="J142"/>
  <c r="L580" i="12"/>
  <c r="K580"/>
  <c r="M580"/>
  <c r="L135" i="6"/>
  <c r="L134" s="1"/>
  <c r="K135"/>
  <c r="K134" s="1"/>
  <c r="J135"/>
  <c r="J134" s="1"/>
  <c r="M228" i="12"/>
  <c r="L116" i="6"/>
  <c r="L115" s="1"/>
  <c r="K116"/>
  <c r="K115" s="1"/>
  <c r="J8" i="13"/>
  <c r="J23"/>
  <c r="J19" s="1"/>
  <c r="K23"/>
  <c r="J275" i="9"/>
  <c r="G55" i="1" s="1"/>
  <c r="K275" i="9"/>
  <c r="H55" i="1" s="1"/>
  <c r="L275" i="9"/>
  <c r="I55" i="1" s="1"/>
  <c r="J276" i="9"/>
  <c r="J273" s="1"/>
  <c r="J272" s="1"/>
  <c r="K276"/>
  <c r="L276"/>
  <c r="J15" i="7"/>
  <c r="J10" s="1"/>
  <c r="K15"/>
  <c r="L15"/>
  <c r="L10" s="1"/>
  <c r="J21"/>
  <c r="J17" s="1"/>
  <c r="K21"/>
  <c r="K17" s="1"/>
  <c r="L21"/>
  <c r="L17" s="1"/>
  <c r="L51" i="4"/>
  <c r="G155" i="1"/>
  <c r="I109"/>
  <c r="I155" s="1"/>
  <c r="G59"/>
  <c r="H59"/>
  <c r="I59"/>
  <c r="G58"/>
  <c r="H58"/>
  <c r="I58"/>
  <c r="G61"/>
  <c r="G60" s="1"/>
  <c r="I61"/>
  <c r="I60" s="1"/>
  <c r="G64"/>
  <c r="H64"/>
  <c r="I64"/>
  <c r="G65"/>
  <c r="H65"/>
  <c r="I65"/>
  <c r="G69"/>
  <c r="G68" s="1"/>
  <c r="H69"/>
  <c r="H68" s="1"/>
  <c r="I69"/>
  <c r="I68" s="1"/>
  <c r="J85" i="4"/>
  <c r="J84" s="1"/>
  <c r="K85"/>
  <c r="K84" s="1"/>
  <c r="L85"/>
  <c r="L84" s="1"/>
  <c r="J15" i="5"/>
  <c r="K15"/>
  <c r="L15"/>
  <c r="F35" i="12"/>
  <c r="H61" i="1"/>
  <c r="H60" s="1"/>
  <c r="J51" i="4"/>
  <c r="K51"/>
  <c r="J95" i="3"/>
  <c r="K95"/>
  <c r="L95"/>
  <c r="J93"/>
  <c r="K93"/>
  <c r="L93"/>
  <c r="J90"/>
  <c r="K90"/>
  <c r="L90"/>
  <c r="J87"/>
  <c r="K87"/>
  <c r="L87"/>
  <c r="L370" i="2"/>
  <c r="J29" i="10" s="1"/>
  <c r="J467" i="2"/>
  <c r="K467"/>
  <c r="L467"/>
  <c r="J468"/>
  <c r="J14" s="1"/>
  <c r="K468"/>
  <c r="K14" s="1"/>
  <c r="L468"/>
  <c r="J469"/>
  <c r="K469"/>
  <c r="K16" s="1"/>
  <c r="L469"/>
  <c r="J471"/>
  <c r="J20" s="1"/>
  <c r="K471"/>
  <c r="K20" s="1"/>
  <c r="L471"/>
  <c r="L20" s="1"/>
  <c r="J472"/>
  <c r="J21" s="1"/>
  <c r="K472"/>
  <c r="K21" s="1"/>
  <c r="L472"/>
  <c r="L21" s="1"/>
  <c r="J475"/>
  <c r="J24" s="1"/>
  <c r="G29" i="1" s="1"/>
  <c r="K475" i="2"/>
  <c r="K24" s="1"/>
  <c r="H29" i="1" s="1"/>
  <c r="L475" i="2"/>
  <c r="J476"/>
  <c r="K476"/>
  <c r="L476"/>
  <c r="L26" s="1"/>
  <c r="J478"/>
  <c r="J32" s="1"/>
  <c r="K478"/>
  <c r="K32" s="1"/>
  <c r="L478"/>
  <c r="L32" s="1"/>
  <c r="J479"/>
  <c r="J33" s="1"/>
  <c r="K479"/>
  <c r="K33" s="1"/>
  <c r="L479"/>
  <c r="L33" s="1"/>
  <c r="J510"/>
  <c r="J509" s="1"/>
  <c r="K510"/>
  <c r="K509" s="1"/>
  <c r="L510"/>
  <c r="J512"/>
  <c r="K512"/>
  <c r="L512"/>
  <c r="J515"/>
  <c r="J514" s="1"/>
  <c r="J513" s="1"/>
  <c r="K515"/>
  <c r="K514" s="1"/>
  <c r="K513" s="1"/>
  <c r="L515"/>
  <c r="L514" s="1"/>
  <c r="L513" s="1"/>
  <c r="L17"/>
  <c r="I22" i="1" s="1"/>
  <c r="L27" i="2"/>
  <c r="I32" i="1" s="1"/>
  <c r="I123" s="1"/>
  <c r="L30" i="2"/>
  <c r="J17"/>
  <c r="G22" i="1" s="1"/>
  <c r="K17" i="2"/>
  <c r="H22" i="1" s="1"/>
  <c r="J27" i="2"/>
  <c r="G32" i="1" s="1"/>
  <c r="G123" s="1"/>
  <c r="J28" i="2"/>
  <c r="K28"/>
  <c r="J30"/>
  <c r="L28"/>
  <c r="D512"/>
  <c r="D511" s="1"/>
  <c r="D468"/>
  <c r="D14" s="1"/>
  <c r="F58" i="12"/>
  <c r="J370" i="2"/>
  <c r="H29" i="10" s="1"/>
  <c r="G93" i="3"/>
  <c r="H93"/>
  <c r="I93"/>
  <c r="G95"/>
  <c r="H95"/>
  <c r="I95"/>
  <c r="G90"/>
  <c r="H90"/>
  <c r="I90"/>
  <c r="G87"/>
  <c r="H87"/>
  <c r="I87"/>
  <c r="N120" i="6"/>
  <c r="N102"/>
  <c r="I605" i="12"/>
  <c r="J592"/>
  <c r="J590" s="1"/>
  <c r="J596"/>
  <c r="J594" s="1"/>
  <c r="J597" s="1"/>
  <c r="H596"/>
  <c r="H594" s="1"/>
  <c r="H597" s="1"/>
  <c r="I596"/>
  <c r="I594" s="1"/>
  <c r="I135" i="6"/>
  <c r="I134" s="1"/>
  <c r="H135"/>
  <c r="H134" s="1"/>
  <c r="G135"/>
  <c r="G134" s="1"/>
  <c r="P137" s="1"/>
  <c r="F135"/>
  <c r="F134" s="1"/>
  <c r="I116"/>
  <c r="I115" s="1"/>
  <c r="G116"/>
  <c r="G115" s="1"/>
  <c r="G51" i="4"/>
  <c r="N78" i="13"/>
  <c r="N74" s="1"/>
  <c r="N28"/>
  <c r="N125" i="8"/>
  <c r="N123" s="1"/>
  <c r="N122" s="1"/>
  <c r="N114"/>
  <c r="N48" i="7"/>
  <c r="N60"/>
  <c r="N72"/>
  <c r="N84"/>
  <c r="N110"/>
  <c r="N107"/>
  <c r="N106" s="1"/>
  <c r="N81"/>
  <c r="N80" s="1"/>
  <c r="N69"/>
  <c r="N68" s="1"/>
  <c r="N15"/>
  <c r="N86" i="6"/>
  <c r="N84"/>
  <c r="N64"/>
  <c r="N488" i="2"/>
  <c r="N643"/>
  <c r="N642" s="1"/>
  <c r="N589"/>
  <c r="N588"/>
  <c r="N587" s="1"/>
  <c r="N586" s="1"/>
  <c r="N580"/>
  <c r="N579" s="1"/>
  <c r="N574"/>
  <c r="N573"/>
  <c r="N568"/>
  <c r="N567" s="1"/>
  <c r="N556"/>
  <c r="N555" s="1"/>
  <c r="N521"/>
  <c r="N520" s="1"/>
  <c r="N519"/>
  <c r="N518" s="1"/>
  <c r="N503"/>
  <c r="N502" s="1"/>
  <c r="N501"/>
  <c r="N500" s="1"/>
  <c r="N487"/>
  <c r="N483"/>
  <c r="N485"/>
  <c r="N484"/>
  <c r="N381"/>
  <c r="N317"/>
  <c r="N314"/>
  <c r="N134"/>
  <c r="N130"/>
  <c r="N119"/>
  <c r="N115"/>
  <c r="N107"/>
  <c r="N105"/>
  <c r="N96"/>
  <c r="N84"/>
  <c r="N72"/>
  <c r="N58"/>
  <c r="L119" i="1"/>
  <c r="L120"/>
  <c r="L121"/>
  <c r="L122"/>
  <c r="L124"/>
  <c r="L125"/>
  <c r="N75" i="6"/>
  <c r="N72" s="1"/>
  <c r="L139" i="1"/>
  <c r="N69" i="2"/>
  <c r="N68" s="1"/>
  <c r="N93"/>
  <c r="N30" i="6"/>
  <c r="N55" i="2"/>
  <c r="L130" i="1"/>
  <c r="N290" i="9"/>
  <c r="N289" s="1"/>
  <c r="N30"/>
  <c r="N26" s="1"/>
  <c r="N139" i="5"/>
  <c r="N138" s="1"/>
  <c r="N57"/>
  <c r="N56" s="1"/>
  <c r="N51"/>
  <c r="N50" s="1"/>
  <c r="N49" s="1"/>
  <c r="N41"/>
  <c r="N129"/>
  <c r="N126"/>
  <c r="N125" s="1"/>
  <c r="N119"/>
  <c r="N118" s="1"/>
  <c r="N117" s="1"/>
  <c r="N101"/>
  <c r="N39"/>
  <c r="N37" i="3"/>
  <c r="N31"/>
  <c r="C59" i="1"/>
  <c r="N282" i="9"/>
  <c r="N281" s="1"/>
  <c r="N25" i="7"/>
  <c r="N24" s="1"/>
  <c r="G39" i="8"/>
  <c r="G38" s="1"/>
  <c r="H580" i="12"/>
  <c r="F51" i="4"/>
  <c r="I580" i="12"/>
  <c r="J580"/>
  <c r="I93" i="9"/>
  <c r="J85" i="12" s="1"/>
  <c r="H93" i="9"/>
  <c r="G93"/>
  <c r="H85" i="12" s="1"/>
  <c r="F93" i="9"/>
  <c r="G85" i="12" s="1"/>
  <c r="I92" i="9"/>
  <c r="F384" i="2"/>
  <c r="G160" i="12" s="1"/>
  <c r="D469" i="2"/>
  <c r="D16" s="1"/>
  <c r="F317"/>
  <c r="F322"/>
  <c r="G430" i="12" s="1"/>
  <c r="F314" i="2"/>
  <c r="G428" i="12" s="1"/>
  <c r="H45" i="8"/>
  <c r="I258" i="12" s="1"/>
  <c r="H48" i="8"/>
  <c r="H51"/>
  <c r="H54"/>
  <c r="I260" i="12" s="1"/>
  <c r="N46" i="8"/>
  <c r="N13" s="1"/>
  <c r="N12" s="1"/>
  <c r="F46"/>
  <c r="F13" s="1"/>
  <c r="N48"/>
  <c r="F154" i="2"/>
  <c r="F149"/>
  <c r="F146"/>
  <c r="D153"/>
  <c r="D148"/>
  <c r="F134"/>
  <c r="G59" i="12" s="1"/>
  <c r="F138" i="2"/>
  <c r="F141"/>
  <c r="G60" i="12" s="1"/>
  <c r="D142" i="2"/>
  <c r="D50" s="1"/>
  <c r="D49" s="1"/>
  <c r="D139"/>
  <c r="D46" s="1"/>
  <c r="F122"/>
  <c r="F125"/>
  <c r="D118"/>
  <c r="D117"/>
  <c r="D60" i="5"/>
  <c r="D59" s="1"/>
  <c r="I60"/>
  <c r="I59" s="1"/>
  <c r="H60"/>
  <c r="H59" s="1"/>
  <c r="G60"/>
  <c r="G59" s="1"/>
  <c r="F60"/>
  <c r="F59" s="1"/>
  <c r="D57"/>
  <c r="D56" s="1"/>
  <c r="I57"/>
  <c r="H57"/>
  <c r="G57"/>
  <c r="F57"/>
  <c r="F56" s="1"/>
  <c r="E275" i="9"/>
  <c r="F275"/>
  <c r="G275"/>
  <c r="H275"/>
  <c r="E55" i="1" s="1"/>
  <c r="I275" i="9"/>
  <c r="F55" i="1" s="1"/>
  <c r="I281" i="9"/>
  <c r="I290"/>
  <c r="I289" s="1"/>
  <c r="H290"/>
  <c r="H289" s="1"/>
  <c r="G290"/>
  <c r="G289" s="1"/>
  <c r="I293"/>
  <c r="I292" s="1"/>
  <c r="H293"/>
  <c r="H292" s="1"/>
  <c r="G293"/>
  <c r="D39" i="3"/>
  <c r="D475" i="2"/>
  <c r="D24" s="1"/>
  <c r="F610"/>
  <c r="F609" s="1"/>
  <c r="F685" s="1"/>
  <c r="G610"/>
  <c r="G609" s="1"/>
  <c r="G685" s="1"/>
  <c r="D88" i="1" s="1"/>
  <c r="I65" i="7"/>
  <c r="I63"/>
  <c r="I60"/>
  <c r="I57"/>
  <c r="H65"/>
  <c r="H63"/>
  <c r="H60"/>
  <c r="H57"/>
  <c r="I77"/>
  <c r="I75"/>
  <c r="I72"/>
  <c r="I69"/>
  <c r="H77"/>
  <c r="H75"/>
  <c r="H72"/>
  <c r="H69"/>
  <c r="I115"/>
  <c r="I113"/>
  <c r="I110"/>
  <c r="I107"/>
  <c r="H115"/>
  <c r="H113"/>
  <c r="H110"/>
  <c r="H107"/>
  <c r="I89"/>
  <c r="I87"/>
  <c r="I84"/>
  <c r="I81"/>
  <c r="H89"/>
  <c r="H87"/>
  <c r="H84"/>
  <c r="H81"/>
  <c r="I48"/>
  <c r="I45"/>
  <c r="H48"/>
  <c r="H45"/>
  <c r="I53"/>
  <c r="I51"/>
  <c r="H53"/>
  <c r="H51"/>
  <c r="H25"/>
  <c r="H24" s="1"/>
  <c r="I25"/>
  <c r="I24" s="1"/>
  <c r="C56" i="1"/>
  <c r="F15" i="7"/>
  <c r="G15"/>
  <c r="G10" s="1"/>
  <c r="H15"/>
  <c r="I15"/>
  <c r="D67" i="1"/>
  <c r="D122" s="1"/>
  <c r="D168" s="1"/>
  <c r="F21" i="7"/>
  <c r="G21"/>
  <c r="G17" s="1"/>
  <c r="H21"/>
  <c r="H17" s="1"/>
  <c r="I21"/>
  <c r="I17" s="1"/>
  <c r="F61" i="1"/>
  <c r="F60" s="1"/>
  <c r="C61"/>
  <c r="I10" i="7"/>
  <c r="G23" i="13"/>
  <c r="G19" s="1"/>
  <c r="I23"/>
  <c r="I19" s="1"/>
  <c r="F23"/>
  <c r="F19" s="1"/>
  <c r="H23"/>
  <c r="H19" s="1"/>
  <c r="F258" i="12"/>
  <c r="F260"/>
  <c r="E107" i="5"/>
  <c r="B54" i="1" s="1"/>
  <c r="D15" i="5"/>
  <c r="D14" s="1"/>
  <c r="E28"/>
  <c r="N29"/>
  <c r="N28" s="1"/>
  <c r="N31"/>
  <c r="N30" s="1"/>
  <c r="H15"/>
  <c r="H14" s="1"/>
  <c r="I15"/>
  <c r="I14" s="1"/>
  <c r="I35"/>
  <c r="H35"/>
  <c r="I33"/>
  <c r="H33"/>
  <c r="I30"/>
  <c r="H30"/>
  <c r="I28"/>
  <c r="H28"/>
  <c r="I39"/>
  <c r="J401" i="12" s="1"/>
  <c r="J615" s="1"/>
  <c r="I41" i="5"/>
  <c r="H46"/>
  <c r="H43" s="1"/>
  <c r="I46"/>
  <c r="I43" s="1"/>
  <c r="H50"/>
  <c r="I50"/>
  <c r="H53"/>
  <c r="H52" s="1"/>
  <c r="I53"/>
  <c r="I52" s="1"/>
  <c r="H106"/>
  <c r="I106"/>
  <c r="H108"/>
  <c r="I108"/>
  <c r="H114"/>
  <c r="I114"/>
  <c r="H111"/>
  <c r="I111"/>
  <c r="I132"/>
  <c r="H132"/>
  <c r="I126"/>
  <c r="H126"/>
  <c r="I139"/>
  <c r="I138" s="1"/>
  <c r="H139"/>
  <c r="H138" s="1"/>
  <c r="I276" i="9"/>
  <c r="I273" s="1"/>
  <c r="I272" s="1"/>
  <c r="H276"/>
  <c r="G276"/>
  <c r="H35"/>
  <c r="G35"/>
  <c r="F35"/>
  <c r="F32" s="1"/>
  <c r="F257" i="12"/>
  <c r="E35" i="5"/>
  <c r="E32" s="1"/>
  <c r="C41" i="10" s="1"/>
  <c r="E30" i="5"/>
  <c r="F80" i="4"/>
  <c r="G80"/>
  <c r="H80"/>
  <c r="I80"/>
  <c r="F79"/>
  <c r="G79"/>
  <c r="H79"/>
  <c r="I79"/>
  <c r="F72"/>
  <c r="G72"/>
  <c r="G71" s="1"/>
  <c r="H72"/>
  <c r="H71" s="1"/>
  <c r="I72"/>
  <c r="I71" s="1"/>
  <c r="F71"/>
  <c r="H85"/>
  <c r="H84" s="1"/>
  <c r="I85"/>
  <c r="I84" s="1"/>
  <c r="E69" i="1"/>
  <c r="E68" s="1"/>
  <c r="F69"/>
  <c r="F68" s="1"/>
  <c r="C65"/>
  <c r="C64"/>
  <c r="D64"/>
  <c r="E64"/>
  <c r="F64"/>
  <c r="C58"/>
  <c r="D58"/>
  <c r="E58"/>
  <c r="D59"/>
  <c r="E59"/>
  <c r="F59"/>
  <c r="I51" i="4"/>
  <c r="N50" i="3"/>
  <c r="H643" i="2"/>
  <c r="H642" s="1"/>
  <c r="I643"/>
  <c r="I642" s="1"/>
  <c r="I364"/>
  <c r="I370"/>
  <c r="I606"/>
  <c r="I605" s="1"/>
  <c r="H606"/>
  <c r="H605" s="1"/>
  <c r="I568"/>
  <c r="I567" s="1"/>
  <c r="H568"/>
  <c r="H567" s="1"/>
  <c r="F58" i="1"/>
  <c r="I520" i="2"/>
  <c r="I518"/>
  <c r="H520"/>
  <c r="H518"/>
  <c r="I523"/>
  <c r="I522" s="1"/>
  <c r="H523"/>
  <c r="H522" s="1"/>
  <c r="I515"/>
  <c r="I514" s="1"/>
  <c r="I513" s="1"/>
  <c r="I512"/>
  <c r="I511" s="1"/>
  <c r="I510"/>
  <c r="I509" s="1"/>
  <c r="H515"/>
  <c r="H514" s="1"/>
  <c r="H513" s="1"/>
  <c r="H512"/>
  <c r="H511" s="1"/>
  <c r="H510"/>
  <c r="H509" s="1"/>
  <c r="G515"/>
  <c r="G514" s="1"/>
  <c r="G513" s="1"/>
  <c r="G512"/>
  <c r="G511" s="1"/>
  <c r="G510"/>
  <c r="G509" s="1"/>
  <c r="I494"/>
  <c r="I490"/>
  <c r="I486"/>
  <c r="I482"/>
  <c r="H494"/>
  <c r="H490"/>
  <c r="H486"/>
  <c r="H482"/>
  <c r="G494"/>
  <c r="G490"/>
  <c r="G486"/>
  <c r="G482"/>
  <c r="F494"/>
  <c r="F490"/>
  <c r="F486"/>
  <c r="F482"/>
  <c r="I472"/>
  <c r="I21" s="1"/>
  <c r="I471"/>
  <c r="I20" s="1"/>
  <c r="I469"/>
  <c r="I16" s="1"/>
  <c r="I468"/>
  <c r="I14" s="1"/>
  <c r="I467"/>
  <c r="H472"/>
  <c r="H21" s="1"/>
  <c r="H471"/>
  <c r="H469"/>
  <c r="H468"/>
  <c r="H14" s="1"/>
  <c r="H467"/>
  <c r="I479"/>
  <c r="I478"/>
  <c r="I32" s="1"/>
  <c r="I476"/>
  <c r="I26" s="1"/>
  <c r="I475"/>
  <c r="I24" s="1"/>
  <c r="F29" i="1" s="1"/>
  <c r="H479" i="2"/>
  <c r="H478"/>
  <c r="H32" s="1"/>
  <c r="H476"/>
  <c r="H475"/>
  <c r="H24" s="1"/>
  <c r="E29" i="1" s="1"/>
  <c r="H17" i="2"/>
  <c r="E22" i="1" s="1"/>
  <c r="I17" i="2"/>
  <c r="F22" i="1" s="1"/>
  <c r="H27" i="2"/>
  <c r="E32" i="1" s="1"/>
  <c r="E123" s="1"/>
  <c r="I27" i="2"/>
  <c r="F32" i="1" s="1"/>
  <c r="F123" s="1"/>
  <c r="H28" i="2"/>
  <c r="I28"/>
  <c r="H30"/>
  <c r="I30"/>
  <c r="D490"/>
  <c r="E475"/>
  <c r="E24" s="1"/>
  <c r="I15"/>
  <c r="F20" i="1" s="1"/>
  <c r="E65"/>
  <c r="F65"/>
  <c r="E468" i="2"/>
  <c r="E512"/>
  <c r="E19" s="1"/>
  <c r="E520"/>
  <c r="F250" i="12"/>
  <c r="F249"/>
  <c r="F247" i="6"/>
  <c r="F246" s="1"/>
  <c r="F245" s="1"/>
  <c r="G247"/>
  <c r="G246" s="1"/>
  <c r="G245" s="1"/>
  <c r="H247"/>
  <c r="H246" s="1"/>
  <c r="H245" s="1"/>
  <c r="I247"/>
  <c r="I246" s="1"/>
  <c r="I245" s="1"/>
  <c r="I264"/>
  <c r="I263" s="1"/>
  <c r="H264"/>
  <c r="H263" s="1"/>
  <c r="G264"/>
  <c r="G263" s="1"/>
  <c r="F264"/>
  <c r="F263" s="1"/>
  <c r="I260"/>
  <c r="I259" s="1"/>
  <c r="H260"/>
  <c r="H259" s="1"/>
  <c r="G260"/>
  <c r="G259" s="1"/>
  <c r="F260"/>
  <c r="F259" s="1"/>
  <c r="F244"/>
  <c r="G244"/>
  <c r="H244"/>
  <c r="I244"/>
  <c r="I243"/>
  <c r="I242" s="1"/>
  <c r="I241" s="1"/>
  <c r="H242"/>
  <c r="H241" s="1"/>
  <c r="H240"/>
  <c r="I240"/>
  <c r="H91"/>
  <c r="I91"/>
  <c r="H89"/>
  <c r="I89"/>
  <c r="H86"/>
  <c r="I86"/>
  <c r="H84"/>
  <c r="I84"/>
  <c r="I80"/>
  <c r="J250" i="12" s="1"/>
  <c r="H80" i="6"/>
  <c r="I250" i="12" s="1"/>
  <c r="I78" i="6"/>
  <c r="H78"/>
  <c r="I75"/>
  <c r="J249" i="12" s="1"/>
  <c r="H75" i="6"/>
  <c r="I249" i="12" s="1"/>
  <c r="I73" i="6"/>
  <c r="J248" i="12" s="1"/>
  <c r="H73" i="6"/>
  <c r="I248" i="12" s="1"/>
  <c r="I61" i="6"/>
  <c r="J113" i="12" s="1"/>
  <c r="I69" i="6"/>
  <c r="J115" i="12" s="1"/>
  <c r="H69" i="6"/>
  <c r="I115" i="12" s="1"/>
  <c r="G69" i="6"/>
  <c r="H115" i="12" s="1"/>
  <c r="F69" i="6"/>
  <c r="G115" i="12" s="1"/>
  <c r="I67" i="6"/>
  <c r="H67"/>
  <c r="G67"/>
  <c r="F67"/>
  <c r="I66"/>
  <c r="H66"/>
  <c r="G66"/>
  <c r="P66" s="1"/>
  <c r="F66"/>
  <c r="I64"/>
  <c r="J114" i="12" s="1"/>
  <c r="H64" i="6"/>
  <c r="I114" i="12" s="1"/>
  <c r="G64" i="6"/>
  <c r="H114" i="12" s="1"/>
  <c r="F64" i="6"/>
  <c r="G114" i="12" s="1"/>
  <c r="H61" i="6"/>
  <c r="I113" i="12" s="1"/>
  <c r="G61" i="6"/>
  <c r="H113" i="12" s="1"/>
  <c r="I36" i="6"/>
  <c r="I35" s="1"/>
  <c r="H36"/>
  <c r="H35" s="1"/>
  <c r="G36"/>
  <c r="G35" s="1"/>
  <c r="P35" s="1"/>
  <c r="F36"/>
  <c r="F35" s="1"/>
  <c r="I30"/>
  <c r="J289" i="12" s="1"/>
  <c r="H30" i="6"/>
  <c r="I289" i="12" s="1"/>
  <c r="G30" i="6"/>
  <c r="H289" i="12" s="1"/>
  <c r="F30" i="6"/>
  <c r="G289" i="12" s="1"/>
  <c r="I254" i="6"/>
  <c r="I253" s="1"/>
  <c r="H254"/>
  <c r="H253" s="1"/>
  <c r="H239" s="1"/>
  <c r="G243"/>
  <c r="M255"/>
  <c r="M254" s="1"/>
  <c r="M253" s="1"/>
  <c r="G30" i="12"/>
  <c r="F47" i="9"/>
  <c r="G91" i="6"/>
  <c r="H30" i="12" s="1"/>
  <c r="G86" i="6"/>
  <c r="G89"/>
  <c r="G84"/>
  <c r="D80"/>
  <c r="F80"/>
  <c r="G250" i="12" s="1"/>
  <c r="G80" i="6"/>
  <c r="H250" i="12" s="1"/>
  <c r="F78" i="6"/>
  <c r="G78"/>
  <c r="G77" s="1"/>
  <c r="D75"/>
  <c r="F75"/>
  <c r="G249" i="12" s="1"/>
  <c r="G75" i="6"/>
  <c r="H249" i="12" s="1"/>
  <c r="F73" i="6"/>
  <c r="G73"/>
  <c r="H248" i="12" s="1"/>
  <c r="G28"/>
  <c r="G27"/>
  <c r="G69" i="7"/>
  <c r="F69"/>
  <c r="F274" i="12"/>
  <c r="F85" i="4"/>
  <c r="F84" s="1"/>
  <c r="G85"/>
  <c r="G84" s="1"/>
  <c r="F273" i="12"/>
  <c r="F275"/>
  <c r="D42" i="13"/>
  <c r="D41" s="1"/>
  <c r="D37"/>
  <c r="D30"/>
  <c r="D33"/>
  <c r="D32" s="1"/>
  <c r="F276" i="9"/>
  <c r="D127" i="8"/>
  <c r="D126" s="1"/>
  <c r="E114"/>
  <c r="M114" s="1"/>
  <c r="H260" i="12"/>
  <c r="F54" i="8"/>
  <c r="F51"/>
  <c r="F48"/>
  <c r="H258" i="12"/>
  <c r="F41" i="8"/>
  <c r="F39"/>
  <c r="F38" s="1"/>
  <c r="F34"/>
  <c r="G115" i="7"/>
  <c r="F115"/>
  <c r="G113"/>
  <c r="F113"/>
  <c r="G110"/>
  <c r="F110"/>
  <c r="F106" s="1"/>
  <c r="G107"/>
  <c r="G89"/>
  <c r="F89"/>
  <c r="G87"/>
  <c r="F87"/>
  <c r="G84"/>
  <c r="F84"/>
  <c r="G81"/>
  <c r="F81"/>
  <c r="G77"/>
  <c r="F77"/>
  <c r="G75"/>
  <c r="F75"/>
  <c r="G72"/>
  <c r="F72"/>
  <c r="G65"/>
  <c r="F65"/>
  <c r="G63"/>
  <c r="F63"/>
  <c r="G60"/>
  <c r="F60"/>
  <c r="G57"/>
  <c r="F57"/>
  <c r="G53"/>
  <c r="F53"/>
  <c r="G51"/>
  <c r="F51"/>
  <c r="G48"/>
  <c r="F48"/>
  <c r="G45"/>
  <c r="F45"/>
  <c r="G25"/>
  <c r="G24" s="1"/>
  <c r="F25"/>
  <c r="F24" s="1"/>
  <c r="G254" i="6"/>
  <c r="G253" s="1"/>
  <c r="G239" s="1"/>
  <c r="F254"/>
  <c r="F253" s="1"/>
  <c r="N250"/>
  <c r="N249" s="1"/>
  <c r="G240"/>
  <c r="G139" i="5"/>
  <c r="G138" s="1"/>
  <c r="F139"/>
  <c r="F138" s="1"/>
  <c r="D112"/>
  <c r="G132"/>
  <c r="F132"/>
  <c r="G126"/>
  <c r="F126"/>
  <c r="G118"/>
  <c r="G117" s="1"/>
  <c r="F118"/>
  <c r="F117" s="1"/>
  <c r="F115"/>
  <c r="C69" i="1" s="1"/>
  <c r="C68" s="1"/>
  <c r="G114" i="5"/>
  <c r="F113"/>
  <c r="C67" i="1" s="1"/>
  <c r="C122" s="1"/>
  <c r="C168" s="1"/>
  <c r="F112" i="5"/>
  <c r="G111"/>
  <c r="G108"/>
  <c r="F108"/>
  <c r="F107"/>
  <c r="G106"/>
  <c r="F106"/>
  <c r="F105"/>
  <c r="M93" s="1"/>
  <c r="G53"/>
  <c r="G52" s="1"/>
  <c r="F53"/>
  <c r="F52" s="1"/>
  <c r="G50"/>
  <c r="F50"/>
  <c r="F49" s="1"/>
  <c r="G46"/>
  <c r="F46"/>
  <c r="G35"/>
  <c r="F35"/>
  <c r="G33"/>
  <c r="F33"/>
  <c r="G30"/>
  <c r="F30"/>
  <c r="G28"/>
  <c r="F28"/>
  <c r="D77" i="4"/>
  <c r="F95" i="3"/>
  <c r="G230" i="12" s="1"/>
  <c r="F93" i="3"/>
  <c r="F90"/>
  <c r="F87"/>
  <c r="G643" i="2"/>
  <c r="G642" s="1"/>
  <c r="F643"/>
  <c r="F642" s="1"/>
  <c r="D606"/>
  <c r="D605" s="1"/>
  <c r="G606"/>
  <c r="G605" s="1"/>
  <c r="F606"/>
  <c r="F605" s="1"/>
  <c r="G602"/>
  <c r="G601" s="1"/>
  <c r="F602"/>
  <c r="F601" s="1"/>
  <c r="D591"/>
  <c r="D590" s="1"/>
  <c r="G568"/>
  <c r="G567" s="1"/>
  <c r="F568"/>
  <c r="F567" s="1"/>
  <c r="G564"/>
  <c r="G563" s="1"/>
  <c r="F564"/>
  <c r="F563" s="1"/>
  <c r="G542"/>
  <c r="F542"/>
  <c r="D65" i="1"/>
  <c r="G523" i="2"/>
  <c r="G522" s="1"/>
  <c r="F523"/>
  <c r="F522" s="1"/>
  <c r="G520"/>
  <c r="F520"/>
  <c r="G518"/>
  <c r="F518"/>
  <c r="F515"/>
  <c r="F514" s="1"/>
  <c r="F513" s="1"/>
  <c r="F512"/>
  <c r="F511" s="1"/>
  <c r="F510"/>
  <c r="F509" s="1"/>
  <c r="G479"/>
  <c r="G33" s="1"/>
  <c r="F479"/>
  <c r="F33" s="1"/>
  <c r="G478"/>
  <c r="G32" s="1"/>
  <c r="F478"/>
  <c r="F32" s="1"/>
  <c r="G476"/>
  <c r="G26" s="1"/>
  <c r="F476"/>
  <c r="G475"/>
  <c r="G24" s="1"/>
  <c r="F475"/>
  <c r="F24" s="1"/>
  <c r="G472"/>
  <c r="G21" s="1"/>
  <c r="F472"/>
  <c r="F21" s="1"/>
  <c r="G471"/>
  <c r="G20" s="1"/>
  <c r="F471"/>
  <c r="F20" s="1"/>
  <c r="G469"/>
  <c r="G16" s="1"/>
  <c r="F469"/>
  <c r="G468"/>
  <c r="G14" s="1"/>
  <c r="F468"/>
  <c r="F14" s="1"/>
  <c r="G467"/>
  <c r="F467"/>
  <c r="D320"/>
  <c r="D317"/>
  <c r="D58"/>
  <c r="G30"/>
  <c r="F30"/>
  <c r="G28"/>
  <c r="F28"/>
  <c r="G27"/>
  <c r="D32" i="1" s="1"/>
  <c r="D123" s="1"/>
  <c r="F27" i="2"/>
  <c r="C32" i="1" s="1"/>
  <c r="D342" i="2"/>
  <c r="D568"/>
  <c r="D567" s="1"/>
  <c r="D77"/>
  <c r="D322"/>
  <c r="D89"/>
  <c r="F270" i="12"/>
  <c r="D476" i="2"/>
  <c r="E102" i="5"/>
  <c r="E109"/>
  <c r="E108" s="1"/>
  <c r="D109"/>
  <c r="D108" s="1"/>
  <c r="E139"/>
  <c r="E138" s="1"/>
  <c r="F401" i="12"/>
  <c r="E129" i="5"/>
  <c r="E113"/>
  <c r="E106"/>
  <c r="E135"/>
  <c r="E115"/>
  <c r="E114" s="1"/>
  <c r="D141" i="2"/>
  <c r="F269" i="12"/>
  <c r="F268"/>
  <c r="E139" i="8"/>
  <c r="D120"/>
  <c r="D68" i="4"/>
  <c r="D67"/>
  <c r="E244" i="6"/>
  <c r="E264"/>
  <c r="E263" s="1"/>
  <c r="E247"/>
  <c r="E246" s="1"/>
  <c r="E245" s="1"/>
  <c r="D50" i="3"/>
  <c r="D13" s="1"/>
  <c r="D57"/>
  <c r="D20" s="1"/>
  <c r="D616" i="2"/>
  <c r="E77"/>
  <c r="P586"/>
  <c r="P499"/>
  <c r="D244" i="6"/>
  <c r="H257" i="12"/>
  <c r="D520" i="2"/>
  <c r="D106" i="5"/>
  <c r="D123" i="8"/>
  <c r="D122" s="1"/>
  <c r="D107" s="1"/>
  <c r="D105" s="1"/>
  <c r="D114"/>
  <c r="E186" i="12"/>
  <c r="F429"/>
  <c r="D130" i="2"/>
  <c r="P481"/>
  <c r="D347"/>
  <c r="E490"/>
  <c r="E489" s="1"/>
  <c r="E476"/>
  <c r="F430" i="12"/>
  <c r="D352" i="2"/>
  <c r="E502"/>
  <c r="P524"/>
  <c r="E515"/>
  <c r="E523"/>
  <c r="E522" s="1"/>
  <c r="D102" i="5"/>
  <c r="D51" i="7"/>
  <c r="B56" i="1"/>
  <c r="D93" i="3"/>
  <c r="E112" i="5"/>
  <c r="E132"/>
  <c r="E126"/>
  <c r="E105"/>
  <c r="F267" i="12"/>
  <c r="E185"/>
  <c r="E187"/>
  <c r="D60" i="3"/>
  <c r="E504" i="2"/>
  <c r="D505"/>
  <c r="D504" s="1"/>
  <c r="E87"/>
  <c r="F64" i="12"/>
  <c r="D341" i="2"/>
  <c r="D110"/>
  <c r="D109" s="1"/>
  <c r="E96"/>
  <c r="E89"/>
  <c r="F205" i="12" s="1"/>
  <c r="D348" i="2"/>
  <c r="D360"/>
  <c r="E478"/>
  <c r="E32" s="1"/>
  <c r="B35" i="1" s="1"/>
  <c r="E486" i="2"/>
  <c r="E471"/>
  <c r="E20" s="1"/>
  <c r="E469"/>
  <c r="E500"/>
  <c r="D247" i="6"/>
  <c r="D246" s="1"/>
  <c r="D245" s="1"/>
  <c r="D264"/>
  <c r="D263" s="1"/>
  <c r="D139" i="8"/>
  <c r="D115" i="5"/>
  <c r="D114" s="1"/>
  <c r="D39"/>
  <c r="D107"/>
  <c r="F400" i="12"/>
  <c r="F518"/>
  <c r="E518" s="1"/>
  <c r="D500" i="2"/>
  <c r="D515"/>
  <c r="D62" i="4"/>
  <c r="H51"/>
  <c r="D28" i="2"/>
  <c r="D87"/>
  <c r="D560"/>
  <c r="D559" s="1"/>
  <c r="D686" s="1"/>
  <c r="O15" i="1"/>
  <c r="P538" i="2"/>
  <c r="D30" i="6"/>
  <c r="F28" i="12"/>
  <c r="D84" i="6"/>
  <c r="D89"/>
  <c r="G615" i="12" l="1"/>
  <c r="K602"/>
  <c r="M602"/>
  <c r="H602"/>
  <c r="K9" i="9"/>
  <c r="K14" i="6"/>
  <c r="L600" i="12"/>
  <c r="L598" s="1"/>
  <c r="K636"/>
  <c r="M82"/>
  <c r="C123" i="1"/>
  <c r="C169" s="1"/>
  <c r="K352" i="12"/>
  <c r="J8" i="9"/>
  <c r="J352" i="12"/>
  <c r="I8" i="9"/>
  <c r="M352" i="12"/>
  <c r="L8" i="9"/>
  <c r="L352" i="12"/>
  <c r="K8" i="9"/>
  <c r="K82" i="12"/>
  <c r="J197" i="6"/>
  <c r="D514" i="2"/>
  <c r="D513" s="1"/>
  <c r="D31"/>
  <c r="H369"/>
  <c r="H367" s="1"/>
  <c r="K122" i="13"/>
  <c r="K19"/>
  <c r="L19"/>
  <c r="E174" i="12"/>
  <c r="J89" i="1"/>
  <c r="M230" i="12"/>
  <c r="I431" i="2"/>
  <c r="D39" i="8"/>
  <c r="I27" i="6"/>
  <c r="E169" i="12"/>
  <c r="F182" i="6"/>
  <c r="F181" s="1"/>
  <c r="M84" i="12"/>
  <c r="K218"/>
  <c r="G80" i="7"/>
  <c r="H230" i="12"/>
  <c r="D169" i="1"/>
  <c r="F169"/>
  <c r="G114"/>
  <c r="G160" s="1"/>
  <c r="J14" i="5"/>
  <c r="H11" i="3"/>
  <c r="N80" i="2"/>
  <c r="E114" i="1"/>
  <c r="E160" s="1"/>
  <c r="H114"/>
  <c r="H160" s="1"/>
  <c r="I114"/>
  <c r="I160" s="1"/>
  <c r="K14" i="5"/>
  <c r="F114" i="1"/>
  <c r="F160" s="1"/>
  <c r="G169"/>
  <c r="I169"/>
  <c r="L14" i="5"/>
  <c r="L636" i="12"/>
  <c r="E169" i="1"/>
  <c r="G11" i="3"/>
  <c r="I11"/>
  <c r="G15" i="2"/>
  <c r="D20" i="1" s="1"/>
  <c r="D111" s="1"/>
  <c r="D157" s="1"/>
  <c r="K25" i="2"/>
  <c r="H30" i="1" s="1"/>
  <c r="H120" s="1"/>
  <c r="H166" s="1"/>
  <c r="L273" i="9"/>
  <c r="L272" s="1"/>
  <c r="H298" i="6"/>
  <c r="G43" i="5"/>
  <c r="I41" i="13"/>
  <c r="E175" i="12"/>
  <c r="G187" i="2"/>
  <c r="H170" i="12"/>
  <c r="E170" s="1"/>
  <c r="I72" i="6"/>
  <c r="E168" i="12"/>
  <c r="E173"/>
  <c r="F153" i="6"/>
  <c r="H144"/>
  <c r="H301" s="1"/>
  <c r="H270" i="9"/>
  <c r="H269" s="1"/>
  <c r="N118"/>
  <c r="D116" i="8"/>
  <c r="D115" s="1"/>
  <c r="F45"/>
  <c r="G258" i="12" s="1"/>
  <c r="K273" i="9"/>
  <c r="K272" s="1"/>
  <c r="B140" i="1"/>
  <c r="L270" i="9"/>
  <c r="I49" i="1" s="1"/>
  <c r="F68" i="7"/>
  <c r="F74"/>
  <c r="H68"/>
  <c r="I68"/>
  <c r="J44" i="8"/>
  <c r="J9" s="1"/>
  <c r="H36" i="13"/>
  <c r="I272" i="12" s="1"/>
  <c r="P77" i="6"/>
  <c r="I88"/>
  <c r="I13" i="2"/>
  <c r="I12" s="1"/>
  <c r="J41" i="13"/>
  <c r="G68" i="7"/>
  <c r="G106"/>
  <c r="G112"/>
  <c r="F239" i="6"/>
  <c r="I239"/>
  <c r="I238" s="1"/>
  <c r="F175" i="2"/>
  <c r="F41" i="13"/>
  <c r="I109" i="8"/>
  <c r="I108" s="1"/>
  <c r="I530" i="2"/>
  <c r="I529" s="1"/>
  <c r="H88" i="6"/>
  <c r="K102" i="13"/>
  <c r="K101" s="1"/>
  <c r="H54" i="1"/>
  <c r="G238" i="6"/>
  <c r="H72"/>
  <c r="G74" i="7"/>
  <c r="G86"/>
  <c r="F86"/>
  <c r="H38" i="5"/>
  <c r="I400" i="12" s="1"/>
  <c r="E27" i="5"/>
  <c r="E11" s="1"/>
  <c r="B57" i="1"/>
  <c r="I100" i="5"/>
  <c r="F100"/>
  <c r="C57" i="1"/>
  <c r="C109" s="1"/>
  <c r="C155" s="1"/>
  <c r="E104" i="5"/>
  <c r="D100"/>
  <c r="H100"/>
  <c r="F43"/>
  <c r="N107"/>
  <c r="I41" i="10"/>
  <c r="H110" i="5"/>
  <c r="I32"/>
  <c r="G41" i="10" s="1"/>
  <c r="F92" i="9"/>
  <c r="J109" i="8"/>
  <c r="J108" s="1"/>
  <c r="L258" i="12"/>
  <c r="F32" i="13"/>
  <c r="K601" i="12"/>
  <c r="L109" i="8"/>
  <c r="L108" s="1"/>
  <c r="I106" i="6"/>
  <c r="I105" s="1"/>
  <c r="J229" i="12" s="1"/>
  <c r="L197" i="6"/>
  <c r="H205"/>
  <c r="I619" i="12"/>
  <c r="J619"/>
  <c r="J601"/>
  <c r="G441" i="2"/>
  <c r="H284" i="12" s="1"/>
  <c r="G367" i="2"/>
  <c r="G477"/>
  <c r="K45" i="7"/>
  <c r="K13"/>
  <c r="G417" i="2"/>
  <c r="H633" i="12" s="1"/>
  <c r="F44" i="7"/>
  <c r="F56"/>
  <c r="D25" i="5"/>
  <c r="D23" s="1"/>
  <c r="D20" s="1"/>
  <c r="L106" i="6"/>
  <c r="M596" i="12"/>
  <c r="M592"/>
  <c r="L596"/>
  <c r="L592"/>
  <c r="F62" i="7"/>
  <c r="K205" i="6"/>
  <c r="D439" i="2"/>
  <c r="N439"/>
  <c r="D27" i="6"/>
  <c r="D46" i="5"/>
  <c r="D43" s="1"/>
  <c r="D143" s="1"/>
  <c r="D145" s="1"/>
  <c r="F15" i="2"/>
  <c r="C20" i="1" s="1"/>
  <c r="C111" s="1"/>
  <c r="C157" s="1"/>
  <c r="D29"/>
  <c r="I270" i="9"/>
  <c r="G68" i="3"/>
  <c r="E24" i="10" s="1"/>
  <c r="J92" i="9"/>
  <c r="H437" i="2"/>
  <c r="K84" i="12"/>
  <c r="H41" i="13"/>
  <c r="H32"/>
  <c r="J215" i="12"/>
  <c r="K270" i="6"/>
  <c r="Q106"/>
  <c r="H143" i="5"/>
  <c r="I143"/>
  <c r="D19"/>
  <c r="D17" s="1"/>
  <c r="D13" s="1"/>
  <c r="I110"/>
  <c r="H41" i="10"/>
  <c r="G110" i="5"/>
  <c r="G63"/>
  <c r="J63"/>
  <c r="L103"/>
  <c r="G32"/>
  <c r="I27"/>
  <c r="H32"/>
  <c r="F41" i="10" s="1"/>
  <c r="C40"/>
  <c r="F27" i="5"/>
  <c r="F114"/>
  <c r="H27"/>
  <c r="D38"/>
  <c r="D11" s="1"/>
  <c r="D10" s="1"/>
  <c r="G38"/>
  <c r="G157" i="2"/>
  <c r="H102" i="12" s="1"/>
  <c r="D140" i="1"/>
  <c r="K50" i="8"/>
  <c r="K144" s="1"/>
  <c r="G86" i="3"/>
  <c r="D30" i="1"/>
  <c r="D120" s="1"/>
  <c r="D166" s="1"/>
  <c r="Q25" i="2"/>
  <c r="G393"/>
  <c r="H165" i="12"/>
  <c r="E165" s="1"/>
  <c r="C164" s="1"/>
  <c r="H324"/>
  <c r="K529"/>
  <c r="K584" s="1"/>
  <c r="K355"/>
  <c r="M529"/>
  <c r="M584" s="1"/>
  <c r="M355"/>
  <c r="E354"/>
  <c r="G383" i="2"/>
  <c r="H160" i="12"/>
  <c r="E160" s="1"/>
  <c r="C159" s="1"/>
  <c r="G387" i="2"/>
  <c r="H162" i="12" s="1"/>
  <c r="H163"/>
  <c r="I324"/>
  <c r="H355"/>
  <c r="J529"/>
  <c r="J584" s="1"/>
  <c r="J582" s="1"/>
  <c r="J355"/>
  <c r="L355"/>
  <c r="E353"/>
  <c r="I92" i="3"/>
  <c r="C140" i="1"/>
  <c r="I63" i="5"/>
  <c r="D152" i="2"/>
  <c r="D45"/>
  <c r="I57" i="13"/>
  <c r="G31" i="10" s="1"/>
  <c r="F57" i="13"/>
  <c r="D31" i="10" s="1"/>
  <c r="P13" i="3"/>
  <c r="J86"/>
  <c r="I86"/>
  <c r="G92"/>
  <c r="P92" s="1"/>
  <c r="F92"/>
  <c r="I62"/>
  <c r="M98"/>
  <c r="M9" s="1"/>
  <c r="L364" i="2"/>
  <c r="L363" s="1"/>
  <c r="J28" i="10" s="1"/>
  <c r="L13" i="2"/>
  <c r="I18" i="1" s="1"/>
  <c r="F111" i="5"/>
  <c r="I77" i="6"/>
  <c r="H83"/>
  <c r="F19" i="10" s="1"/>
  <c r="H49" i="5"/>
  <c r="J41" i="10"/>
  <c r="E103" i="5"/>
  <c r="G27"/>
  <c r="F32"/>
  <c r="G56" i="7"/>
  <c r="G83" i="6"/>
  <c r="H27" i="12" s="1"/>
  <c r="H77" i="6"/>
  <c r="F20" i="10" s="1"/>
  <c r="I83" i="6"/>
  <c r="G19" i="10" s="1"/>
  <c r="I49" i="5"/>
  <c r="J13" i="2"/>
  <c r="L63" i="5"/>
  <c r="J38"/>
  <c r="K13" i="2"/>
  <c r="H18" i="1" s="1"/>
  <c r="H108" s="1"/>
  <c r="H33" i="8"/>
  <c r="I152" i="9"/>
  <c r="G36" i="10" s="1"/>
  <c r="H92" i="3"/>
  <c r="K103" i="5"/>
  <c r="F50" i="7"/>
  <c r="G56" i="5"/>
  <c r="I56"/>
  <c r="K7" i="9"/>
  <c r="F422" i="2"/>
  <c r="G422"/>
  <c r="F163"/>
  <c r="H446"/>
  <c r="H678" s="1"/>
  <c r="F517"/>
  <c r="G199"/>
  <c r="N627"/>
  <c r="N626" s="1"/>
  <c r="K363"/>
  <c r="I28" i="10" s="1"/>
  <c r="F470" i="2"/>
  <c r="G517"/>
  <c r="N387"/>
  <c r="F466"/>
  <c r="N619"/>
  <c r="N618" s="1"/>
  <c r="N417"/>
  <c r="H417"/>
  <c r="I633" i="12" s="1"/>
  <c r="G49" i="5"/>
  <c r="E125"/>
  <c r="F477" i="2"/>
  <c r="G62" i="7"/>
  <c r="F43" i="10"/>
  <c r="I50" i="7"/>
  <c r="I44"/>
  <c r="H86"/>
  <c r="I80"/>
  <c r="I86"/>
  <c r="H106"/>
  <c r="I106"/>
  <c r="I112"/>
  <c r="H74"/>
  <c r="H56"/>
  <c r="I56"/>
  <c r="I62"/>
  <c r="H56" i="5"/>
  <c r="N486" i="2"/>
  <c r="G148" i="6"/>
  <c r="L205"/>
  <c r="J205"/>
  <c r="H152"/>
  <c r="G41" i="13"/>
  <c r="G203" i="12"/>
  <c r="I47" i="13"/>
  <c r="I14" s="1"/>
  <c r="I12" s="1"/>
  <c r="G344" i="2"/>
  <c r="I72" i="12"/>
  <c r="L92" i="9"/>
  <c r="G109" i="8"/>
  <c r="G108" s="1"/>
  <c r="I26" i="3"/>
  <c r="J218" i="12" s="1"/>
  <c r="F86" i="3"/>
  <c r="L86"/>
  <c r="L92"/>
  <c r="L98"/>
  <c r="L9" s="1"/>
  <c r="M86"/>
  <c r="F72" i="6"/>
  <c r="G100" i="5"/>
  <c r="N102"/>
  <c r="N100" s="1"/>
  <c r="I460" i="12"/>
  <c r="I415" s="1"/>
  <c r="I588" s="1"/>
  <c r="I586" s="1"/>
  <c r="H431" i="2"/>
  <c r="E88" i="12"/>
  <c r="G193" i="2"/>
  <c r="L25"/>
  <c r="I30" i="1" s="1"/>
  <c r="I120" s="1"/>
  <c r="I166" s="1"/>
  <c r="L15" i="2"/>
  <c r="I20" i="1" s="1"/>
  <c r="I111" s="1"/>
  <c r="I157" s="1"/>
  <c r="H25" i="2"/>
  <c r="E30" i="1" s="1"/>
  <c r="E120" s="1"/>
  <c r="E166" s="1"/>
  <c r="H15" i="2"/>
  <c r="E20" i="1" s="1"/>
  <c r="E111" s="1"/>
  <c r="E157" s="1"/>
  <c r="G245" i="12"/>
  <c r="E245" s="1"/>
  <c r="F73" i="5"/>
  <c r="I116" i="8"/>
  <c r="I115" s="1"/>
  <c r="G116"/>
  <c r="G115" s="1"/>
  <c r="M110" i="6"/>
  <c r="D474" i="2"/>
  <c r="E131" i="5"/>
  <c r="D138" i="2"/>
  <c r="F112" i="7"/>
  <c r="G260" i="12"/>
  <c r="E260" s="1"/>
  <c r="F50" i="8"/>
  <c r="F144" s="1"/>
  <c r="N106" i="5"/>
  <c r="N104" s="1"/>
  <c r="N103" s="1"/>
  <c r="K38"/>
  <c r="I139" i="6"/>
  <c r="J38" i="12" s="1"/>
  <c r="D195" i="6"/>
  <c r="D299" s="1"/>
  <c r="H194"/>
  <c r="H193" s="1"/>
  <c r="H192" s="1"/>
  <c r="K280" i="12"/>
  <c r="J57" i="13"/>
  <c r="J119" s="1"/>
  <c r="J121" s="1"/>
  <c r="J122" s="1"/>
  <c r="G54" i="1" s="1"/>
  <c r="G33" i="8"/>
  <c r="G10" s="1"/>
  <c r="J11" i="13"/>
  <c r="L116" i="8"/>
  <c r="L115" s="1"/>
  <c r="G13" i="5"/>
  <c r="F104"/>
  <c r="F66"/>
  <c r="N240" i="6"/>
  <c r="E43" i="10"/>
  <c r="G43"/>
  <c r="H273" i="9"/>
  <c r="H272" s="1"/>
  <c r="I38" i="5"/>
  <c r="J400" i="12" s="1"/>
  <c r="K270" i="9"/>
  <c r="H49" i="1" s="1"/>
  <c r="K63" i="5"/>
  <c r="G270" i="9"/>
  <c r="G269" s="1"/>
  <c r="E569" i="12"/>
  <c r="F109" i="8"/>
  <c r="F108" s="1"/>
  <c r="H109"/>
  <c r="H108" s="1"/>
  <c r="G80" i="12"/>
  <c r="F44" i="9"/>
  <c r="I13" i="5"/>
  <c r="I80" i="12"/>
  <c r="H44" i="9"/>
  <c r="E111" i="5"/>
  <c r="F474" i="2"/>
  <c r="G44" i="7"/>
  <c r="G184" s="1"/>
  <c r="G185" s="1"/>
  <c r="H80" i="12"/>
  <c r="G44" i="9"/>
  <c r="K11" i="13"/>
  <c r="I53"/>
  <c r="I18" s="1"/>
  <c r="F104" i="3"/>
  <c r="H104"/>
  <c r="H284" s="1"/>
  <c r="J104"/>
  <c r="J284" s="1"/>
  <c r="J44" i="7"/>
  <c r="E140" i="1"/>
  <c r="I75" i="12"/>
  <c r="H32" i="9"/>
  <c r="H75" i="12"/>
  <c r="G32" i="9"/>
  <c r="H50" i="7"/>
  <c r="G50"/>
  <c r="H44"/>
  <c r="G163" i="2"/>
  <c r="E140" i="12"/>
  <c r="L140" i="1"/>
  <c r="M111" i="6"/>
  <c r="M114"/>
  <c r="M133"/>
  <c r="J103" i="5"/>
  <c r="K44" i="7"/>
  <c r="E100" i="5"/>
  <c r="M102"/>
  <c r="M100" s="1"/>
  <c r="H28" i="12"/>
  <c r="E28" s="1"/>
  <c r="I104" i="5"/>
  <c r="F57" i="1"/>
  <c r="F109" s="1"/>
  <c r="F155" s="1"/>
  <c r="M107" i="5"/>
  <c r="L38"/>
  <c r="M401" i="12"/>
  <c r="M615" s="1"/>
  <c r="J611"/>
  <c r="L611"/>
  <c r="D56" i="13"/>
  <c r="N56"/>
  <c r="M56"/>
  <c r="F145" i="6"/>
  <c r="M177"/>
  <c r="M175" s="1"/>
  <c r="M174" s="1"/>
  <c r="M170" s="1"/>
  <c r="E138" i="12"/>
  <c r="E139"/>
  <c r="F247" i="2"/>
  <c r="F47" i="13"/>
  <c r="F46" s="1"/>
  <c r="M49"/>
  <c r="H50" i="1"/>
  <c r="M47" i="7"/>
  <c r="M9" s="1"/>
  <c r="M7" s="1"/>
  <c r="I292" i="12"/>
  <c r="N11" i="8"/>
  <c r="H605" i="12"/>
  <c r="H610" s="1"/>
  <c r="M100" i="6"/>
  <c r="J106"/>
  <c r="J105" s="1"/>
  <c r="K229" i="12" s="1"/>
  <c r="K210" s="1"/>
  <c r="M108" i="6"/>
  <c r="J116"/>
  <c r="J115" s="1"/>
  <c r="K230" i="12" s="1"/>
  <c r="M128" i="6"/>
  <c r="N49" i="13"/>
  <c r="G104" i="5"/>
  <c r="D57" i="1"/>
  <c r="D109" s="1"/>
  <c r="D155" s="1"/>
  <c r="H104" i="5"/>
  <c r="E57" i="1"/>
  <c r="E109" s="1"/>
  <c r="E155" s="1"/>
  <c r="M106" i="5"/>
  <c r="L470" i="2"/>
  <c r="N13" i="13"/>
  <c r="K611" i="12"/>
  <c r="M611"/>
  <c r="M619"/>
  <c r="G53" i="13"/>
  <c r="N55"/>
  <c r="N50"/>
  <c r="M50"/>
  <c r="L104" i="3"/>
  <c r="L284" s="1"/>
  <c r="G105" i="8"/>
  <c r="N107"/>
  <c r="N105" s="1"/>
  <c r="N113"/>
  <c r="M113"/>
  <c r="M109" s="1"/>
  <c r="M108" s="1"/>
  <c r="M203" i="6"/>
  <c r="N200"/>
  <c r="M200"/>
  <c r="F53" i="13"/>
  <c r="F18" s="1"/>
  <c r="D55"/>
  <c r="M55"/>
  <c r="I529" i="12"/>
  <c r="I584" s="1"/>
  <c r="I582" s="1"/>
  <c r="N98" i="6"/>
  <c r="M98"/>
  <c r="K106"/>
  <c r="K289" s="1"/>
  <c r="N113"/>
  <c r="M113"/>
  <c r="M240"/>
  <c r="E402" i="12"/>
  <c r="G72" i="6"/>
  <c r="D198"/>
  <c r="F60"/>
  <c r="G112" i="12" s="1"/>
  <c r="L23" i="6"/>
  <c r="L21" s="1"/>
  <c r="K143"/>
  <c r="K142" s="1"/>
  <c r="L39" i="12" s="1"/>
  <c r="K197" i="6"/>
  <c r="H197"/>
  <c r="G18" i="12"/>
  <c r="E18" s="1"/>
  <c r="M227" i="6"/>
  <c r="M226" s="1"/>
  <c r="N313" i="2"/>
  <c r="H13" i="5"/>
  <c r="N510" i="2"/>
  <c r="N509" s="1"/>
  <c r="N467"/>
  <c r="N471"/>
  <c r="I474"/>
  <c r="H470"/>
  <c r="H400" i="12"/>
  <c r="H51" i="3"/>
  <c r="I597" i="12" s="1"/>
  <c r="N17" i="3"/>
  <c r="G415" i="12"/>
  <c r="G588" s="1"/>
  <c r="G586" s="1"/>
  <c r="J92" i="3"/>
  <c r="I104"/>
  <c r="I284" s="1"/>
  <c r="K86"/>
  <c r="G470" i="2"/>
  <c r="M15" i="6"/>
  <c r="P15" s="1"/>
  <c r="D52" i="3"/>
  <c r="D17" s="1"/>
  <c r="G46"/>
  <c r="H323" i="12" s="1"/>
  <c r="N104" i="13"/>
  <c r="M104"/>
  <c r="M52" i="3"/>
  <c r="M51" s="1"/>
  <c r="M198" i="6"/>
  <c r="M140"/>
  <c r="M139" s="1"/>
  <c r="C88" i="1"/>
  <c r="F687" i="2"/>
  <c r="D87" i="1"/>
  <c r="G687" i="2"/>
  <c r="F88" i="1"/>
  <c r="F87" s="1"/>
  <c r="I687" i="2"/>
  <c r="H50" i="8"/>
  <c r="H144" s="1"/>
  <c r="G14" i="10"/>
  <c r="I146" i="8"/>
  <c r="F18" i="10"/>
  <c r="F22" i="8"/>
  <c r="F12"/>
  <c r="J14" i="10"/>
  <c r="L146" i="8"/>
  <c r="H14" i="10"/>
  <c r="J146" i="8"/>
  <c r="J147" s="1"/>
  <c r="D42"/>
  <c r="G31"/>
  <c r="G28" s="1"/>
  <c r="G21" s="1"/>
  <c r="F16"/>
  <c r="F28"/>
  <c r="L270" i="6"/>
  <c r="H489" i="2"/>
  <c r="J477"/>
  <c r="G146" i="8"/>
  <c r="E18" i="10"/>
  <c r="D18"/>
  <c r="F17"/>
  <c r="D47" i="7"/>
  <c r="K7"/>
  <c r="N47"/>
  <c r="H441" i="2"/>
  <c r="I284" i="12" s="1"/>
  <c r="E474" i="2"/>
  <c r="E484" i="12" s="1"/>
  <c r="G466" i="2"/>
  <c r="N472"/>
  <c r="F489"/>
  <c r="K470"/>
  <c r="K477"/>
  <c r="J474"/>
  <c r="E265" i="12"/>
  <c r="E264"/>
  <c r="E263"/>
  <c r="G36" i="13"/>
  <c r="H272" i="12" s="1"/>
  <c r="I32" i="13"/>
  <c r="D176" i="2"/>
  <c r="K59" i="1"/>
  <c r="E134" i="12"/>
  <c r="E205"/>
  <c r="E430"/>
  <c r="E429"/>
  <c r="E24"/>
  <c r="G98" i="13"/>
  <c r="N99"/>
  <c r="N98" s="1"/>
  <c r="M99"/>
  <c r="M98" s="1"/>
  <c r="H254" i="12"/>
  <c r="G254"/>
  <c r="E130"/>
  <c r="K257"/>
  <c r="H13" i="10"/>
  <c r="J8" i="8"/>
  <c r="I13" i="10"/>
  <c r="K8" i="8"/>
  <c r="G13" i="10"/>
  <c r="I8" i="8"/>
  <c r="K58" i="1"/>
  <c r="M244" i="6"/>
  <c r="F13" i="5"/>
  <c r="L145"/>
  <c r="L146" s="1"/>
  <c r="J145"/>
  <c r="K145"/>
  <c r="K146" s="1"/>
  <c r="J13"/>
  <c r="M15"/>
  <c r="M14" s="1"/>
  <c r="N27"/>
  <c r="N19"/>
  <c r="N17" s="1"/>
  <c r="N15"/>
  <c r="N14" s="1"/>
  <c r="M19"/>
  <c r="M17" s="1"/>
  <c r="M13" i="13"/>
  <c r="L122"/>
  <c r="F27"/>
  <c r="G267" i="12" s="1"/>
  <c r="G273" i="9"/>
  <c r="G272" s="1"/>
  <c r="N276"/>
  <c r="C55" i="1"/>
  <c r="M275" i="9"/>
  <c r="N274"/>
  <c r="F273"/>
  <c r="F272" s="1"/>
  <c r="M276"/>
  <c r="D55" i="1"/>
  <c r="L55" s="1"/>
  <c r="N275" i="9"/>
  <c r="M274"/>
  <c r="F44" i="8"/>
  <c r="F9" s="1"/>
  <c r="M107"/>
  <c r="D37"/>
  <c r="D20" s="1"/>
  <c r="M37"/>
  <c r="M20" s="1"/>
  <c r="M16" s="1"/>
  <c r="D49"/>
  <c r="D18" s="1"/>
  <c r="E116"/>
  <c r="E115" s="1"/>
  <c r="F36"/>
  <c r="E191" i="12" s="1"/>
  <c r="F21" i="1"/>
  <c r="F112" s="1"/>
  <c r="F158" s="1"/>
  <c r="M46" i="8"/>
  <c r="M13" s="1"/>
  <c r="M12" s="1"/>
  <c r="G41"/>
  <c r="E192" i="12" s="1"/>
  <c r="M34" i="8"/>
  <c r="D47"/>
  <c r="D14" s="1"/>
  <c r="K109"/>
  <c r="K108" s="1"/>
  <c r="N109"/>
  <c r="N108" s="1"/>
  <c r="M106"/>
  <c r="F16" i="6"/>
  <c r="M141"/>
  <c r="M145"/>
  <c r="F201"/>
  <c r="F14"/>
  <c r="L58" i="1"/>
  <c r="D69"/>
  <c r="D68" s="1"/>
  <c r="E61"/>
  <c r="E60" s="1"/>
  <c r="M47" i="3"/>
  <c r="M46" s="1"/>
  <c r="M17"/>
  <c r="E53" i="12"/>
  <c r="N114" i="2"/>
  <c r="D137"/>
  <c r="I517"/>
  <c r="I9" s="1"/>
  <c r="E14"/>
  <c r="M14" s="1"/>
  <c r="M468"/>
  <c r="M40"/>
  <c r="M439"/>
  <c r="E482" i="12"/>
  <c r="M471" i="2"/>
  <c r="M469"/>
  <c r="G474"/>
  <c r="N512"/>
  <c r="N511" s="1"/>
  <c r="M512"/>
  <c r="M511" s="1"/>
  <c r="I363"/>
  <c r="G28" i="10" s="1"/>
  <c r="M366" i="2"/>
  <c r="M444"/>
  <c r="F17"/>
  <c r="M39"/>
  <c r="M38"/>
  <c r="E129" i="12"/>
  <c r="E128"/>
  <c r="E244"/>
  <c r="F38" i="5"/>
  <c r="G400" i="12" s="1"/>
  <c r="D56" i="3"/>
  <c r="D19"/>
  <c r="G337" i="2"/>
  <c r="E445" i="12"/>
  <c r="H453"/>
  <c r="H611" s="1"/>
  <c r="H517" i="2"/>
  <c r="E135" i="12"/>
  <c r="N38" i="2"/>
  <c r="G17"/>
  <c r="D22" i="1" s="1"/>
  <c r="N39" i="2"/>
  <c r="L59" i="1"/>
  <c r="G169" i="2"/>
  <c r="H133" i="12"/>
  <c r="E133" s="1"/>
  <c r="N366" i="2"/>
  <c r="J15"/>
  <c r="L29"/>
  <c r="D448"/>
  <c r="D375" s="1"/>
  <c r="G19"/>
  <c r="N442"/>
  <c r="E403" i="12"/>
  <c r="E234"/>
  <c r="D171" i="6"/>
  <c r="J139"/>
  <c r="K38" i="12" s="1"/>
  <c r="G139" i="6"/>
  <c r="H38" i="12" s="1"/>
  <c r="K148" i="6"/>
  <c r="G231"/>
  <c r="N110"/>
  <c r="N111"/>
  <c r="N114"/>
  <c r="N133"/>
  <c r="D123"/>
  <c r="D215"/>
  <c r="K186"/>
  <c r="G242"/>
  <c r="G241" s="1"/>
  <c r="N243"/>
  <c r="D204"/>
  <c r="N204"/>
  <c r="G96"/>
  <c r="N100"/>
  <c r="N203"/>
  <c r="D203"/>
  <c r="D104"/>
  <c r="N108"/>
  <c r="D109"/>
  <c r="N109"/>
  <c r="N145"/>
  <c r="N141"/>
  <c r="G16"/>
  <c r="N16" s="1"/>
  <c r="H14"/>
  <c r="N27" i="13"/>
  <c r="E269" i="12"/>
  <c r="E270"/>
  <c r="E273"/>
  <c r="E289"/>
  <c r="E113"/>
  <c r="E114"/>
  <c r="E58"/>
  <c r="E239"/>
  <c r="E49"/>
  <c r="E93"/>
  <c r="E510"/>
  <c r="E115"/>
  <c r="I17" i="6"/>
  <c r="F23" i="1" s="1"/>
  <c r="K17" i="6"/>
  <c r="H23" i="1" s="1"/>
  <c r="N17" i="6"/>
  <c r="N140"/>
  <c r="N139" s="1"/>
  <c r="G102"/>
  <c r="G17" s="1"/>
  <c r="D23" i="1" s="1"/>
  <c r="D103" i="6"/>
  <c r="H102"/>
  <c r="H95" s="1"/>
  <c r="J102"/>
  <c r="D110"/>
  <c r="G106"/>
  <c r="D111"/>
  <c r="D113"/>
  <c r="F121"/>
  <c r="F17" s="1"/>
  <c r="C23" i="1" s="1"/>
  <c r="D122" i="6"/>
  <c r="D132"/>
  <c r="H121"/>
  <c r="J121"/>
  <c r="L121"/>
  <c r="G125"/>
  <c r="N125" s="1"/>
  <c r="F231"/>
  <c r="D98"/>
  <c r="I96"/>
  <c r="I95" s="1"/>
  <c r="J96"/>
  <c r="J14" s="1"/>
  <c r="H106"/>
  <c r="D108"/>
  <c r="D114"/>
  <c r="D133"/>
  <c r="D128"/>
  <c r="F125"/>
  <c r="F124" s="1"/>
  <c r="G32" i="12" s="1"/>
  <c r="M35"/>
  <c r="N15" i="6"/>
  <c r="N216"/>
  <c r="N214" s="1"/>
  <c r="N38" i="5"/>
  <c r="N47" i="3"/>
  <c r="N46" s="1"/>
  <c r="N52"/>
  <c r="N51" s="1"/>
  <c r="G26"/>
  <c r="H218" i="12" s="1"/>
  <c r="N27" i="3"/>
  <c r="H55"/>
  <c r="E465" i="12"/>
  <c r="E123"/>
  <c r="E124"/>
  <c r="E268"/>
  <c r="E275"/>
  <c r="E274"/>
  <c r="E67"/>
  <c r="E68"/>
  <c r="E69"/>
  <c r="E147"/>
  <c r="E149"/>
  <c r="C149" s="1"/>
  <c r="E48"/>
  <c r="E50"/>
  <c r="E240"/>
  <c r="E259"/>
  <c r="E449"/>
  <c r="E235"/>
  <c r="E94"/>
  <c r="E44"/>
  <c r="E509"/>
  <c r="E104"/>
  <c r="E538"/>
  <c r="E537"/>
  <c r="E79"/>
  <c r="E74"/>
  <c r="E110"/>
  <c r="C109" s="1"/>
  <c r="E469"/>
  <c r="E470"/>
  <c r="C186"/>
  <c r="E249"/>
  <c r="E60"/>
  <c r="E95"/>
  <c r="E294"/>
  <c r="E288"/>
  <c r="E242"/>
  <c r="E533"/>
  <c r="E299"/>
  <c r="E539"/>
  <c r="E250"/>
  <c r="E103"/>
  <c r="E105"/>
  <c r="E293"/>
  <c r="E464"/>
  <c r="E125"/>
  <c r="E300"/>
  <c r="E100"/>
  <c r="E532"/>
  <c r="E298"/>
  <c r="E98"/>
  <c r="F36" i="13"/>
  <c r="G272" i="12" s="1"/>
  <c r="G27" i="13"/>
  <c r="H267" i="12" s="1"/>
  <c r="G32" i="13"/>
  <c r="H27"/>
  <c r="I267" i="12" s="1"/>
  <c r="F129" i="2"/>
  <c r="G57" i="12" s="1"/>
  <c r="D141" i="6"/>
  <c r="K118" i="7"/>
  <c r="D40" i="13"/>
  <c r="D50"/>
  <c r="D49"/>
  <c r="H57"/>
  <c r="F31" i="10" s="1"/>
  <c r="L11" i="13"/>
  <c r="I36" i="10"/>
  <c r="E147" i="8"/>
  <c r="L44"/>
  <c r="L9" s="1"/>
  <c r="D109"/>
  <c r="D108" s="1"/>
  <c r="N34"/>
  <c r="H44"/>
  <c r="H9" s="1"/>
  <c r="D46"/>
  <c r="D13" s="1"/>
  <c r="D35"/>
  <c r="D15" s="1"/>
  <c r="B55" i="1"/>
  <c r="E109" i="8"/>
  <c r="E108" s="1"/>
  <c r="K105"/>
  <c r="L257" i="12"/>
  <c r="J257"/>
  <c r="L105" i="8"/>
  <c r="I87" i="1"/>
  <c r="J258" i="12"/>
  <c r="I50" i="1"/>
  <c r="G50"/>
  <c r="I118" i="7"/>
  <c r="F124"/>
  <c r="H124"/>
  <c r="J124"/>
  <c r="H112"/>
  <c r="I74"/>
  <c r="N254" i="6"/>
  <c r="N253" s="1"/>
  <c r="D255"/>
  <c r="F226"/>
  <c r="G17" i="12" s="1"/>
  <c r="E17" s="1"/>
  <c r="D16" s="1"/>
  <c r="D217" i="6"/>
  <c r="G226"/>
  <c r="F175"/>
  <c r="F174" s="1"/>
  <c r="F170" s="1"/>
  <c r="D100"/>
  <c r="K35" i="12"/>
  <c r="E35" s="1"/>
  <c r="D216" i="6"/>
  <c r="N218"/>
  <c r="D219"/>
  <c r="D218" s="1"/>
  <c r="C29" i="1"/>
  <c r="D222" i="6"/>
  <c r="D22" s="1"/>
  <c r="F223"/>
  <c r="D224"/>
  <c r="D223" s="1"/>
  <c r="K13" i="5"/>
  <c r="J146"/>
  <c r="K49"/>
  <c r="L49"/>
  <c r="J49"/>
  <c r="H145"/>
  <c r="H146" s="1"/>
  <c r="I145"/>
  <c r="I146" s="1"/>
  <c r="I43" i="10"/>
  <c r="L13" i="5"/>
  <c r="H63"/>
  <c r="E10"/>
  <c r="J43" i="10"/>
  <c r="H43"/>
  <c r="D61" i="1"/>
  <c r="D60" s="1"/>
  <c r="N72" i="4"/>
  <c r="N71" s="1"/>
  <c r="C60" i="1"/>
  <c r="D64" i="3"/>
  <c r="D63" s="1"/>
  <c r="F71"/>
  <c r="G215" i="12" s="1"/>
  <c r="D72" i="3"/>
  <c r="D23" s="1"/>
  <c r="D42"/>
  <c r="D47"/>
  <c r="H86"/>
  <c r="K92"/>
  <c r="G55"/>
  <c r="N54" i="2"/>
  <c r="E440" i="12"/>
  <c r="F508" i="2"/>
  <c r="D42" i="10" s="1"/>
  <c r="F431" i="2"/>
  <c r="N482"/>
  <c r="G211"/>
  <c r="N157"/>
  <c r="E499"/>
  <c r="E86"/>
  <c r="G175"/>
  <c r="D523"/>
  <c r="D522" s="1"/>
  <c r="E16"/>
  <c r="B39" i="1" s="1"/>
  <c r="E511" i="2"/>
  <c r="F370"/>
  <c r="D29" i="10" s="1"/>
  <c r="E514" i="2"/>
  <c r="E513" s="1"/>
  <c r="C43" i="10" s="1"/>
  <c r="E31" i="2"/>
  <c r="E487" i="12"/>
  <c r="E26" i="2"/>
  <c r="E17"/>
  <c r="D603"/>
  <c r="F143" i="6"/>
  <c r="F301"/>
  <c r="D140"/>
  <c r="E110" i="5"/>
  <c r="D105"/>
  <c r="D113"/>
  <c r="D111" s="1"/>
  <c r="D110" s="1"/>
  <c r="F272" i="12"/>
  <c r="E145" i="5"/>
  <c r="E146" s="1"/>
  <c r="J56" i="1"/>
  <c r="H87"/>
  <c r="N99" i="3"/>
  <c r="N98" s="1"/>
  <c r="N87"/>
  <c r="N86" s="1"/>
  <c r="F17" i="7"/>
  <c r="F10"/>
  <c r="H118"/>
  <c r="J118"/>
  <c r="F80"/>
  <c r="H80"/>
  <c r="H62"/>
  <c r="G124"/>
  <c r="I124"/>
  <c r="K124"/>
  <c r="D124"/>
  <c r="D48"/>
  <c r="D27"/>
  <c r="N57"/>
  <c r="N56" s="1"/>
  <c r="K50"/>
  <c r="F118"/>
  <c r="D119"/>
  <c r="D118" s="1"/>
  <c r="H10"/>
  <c r="J50"/>
  <c r="H474" i="2"/>
  <c r="F65" i="12"/>
  <c r="E65" s="1"/>
  <c r="F393" i="2"/>
  <c r="N468"/>
  <c r="F145"/>
  <c r="N92"/>
  <c r="J470"/>
  <c r="F31" i="1"/>
  <c r="F121" s="1"/>
  <c r="F167" s="1"/>
  <c r="D31"/>
  <c r="D406" i="12"/>
  <c r="I270" i="6"/>
  <c r="F148"/>
  <c r="F23"/>
  <c r="D116"/>
  <c r="D115" s="1"/>
  <c r="G221"/>
  <c r="G220" s="1"/>
  <c r="D615" i="2"/>
  <c r="D614" s="1"/>
  <c r="J285" i="12"/>
  <c r="D88" i="9"/>
  <c r="I271"/>
  <c r="G133"/>
  <c r="F133"/>
  <c r="D16" i="6"/>
  <c r="J247" i="12"/>
  <c r="I247"/>
  <c r="E276" i="9"/>
  <c r="E273" s="1"/>
  <c r="E272" s="1"/>
  <c r="N83"/>
  <c r="D47"/>
  <c r="D44" s="1"/>
  <c r="D300" s="1"/>
  <c r="G75" i="12"/>
  <c r="F269" i="9"/>
  <c r="D80"/>
  <c r="D79" s="1"/>
  <c r="D144"/>
  <c r="D139" s="1"/>
  <c r="D121"/>
  <c r="D118" s="1"/>
  <c r="F88"/>
  <c r="M99" i="12"/>
  <c r="L152" i="9"/>
  <c r="J36" i="10" s="1"/>
  <c r="K99" i="12"/>
  <c r="J152" i="9"/>
  <c r="H36" i="10" s="1"/>
  <c r="L271" i="9"/>
  <c r="J271"/>
  <c r="J278"/>
  <c r="J277" s="1"/>
  <c r="L278"/>
  <c r="L277" s="1"/>
  <c r="F170"/>
  <c r="F42"/>
  <c r="F38" s="1"/>
  <c r="G77" i="12" s="1"/>
  <c r="N42" i="9"/>
  <c r="D155"/>
  <c r="D152" s="1"/>
  <c r="F474" i="12"/>
  <c r="E474" s="1"/>
  <c r="D77" i="9"/>
  <c r="D42"/>
  <c r="D38" s="1"/>
  <c r="F83" i="12"/>
  <c r="E83" s="1"/>
  <c r="D183" i="9"/>
  <c r="F74"/>
  <c r="G635" i="12" s="1"/>
  <c r="G79" i="9"/>
  <c r="D282"/>
  <c r="D281" s="1"/>
  <c r="D270" s="1"/>
  <c r="D269" s="1"/>
  <c r="E270"/>
  <c r="N152"/>
  <c r="H139"/>
  <c r="I297" i="12" s="1"/>
  <c r="F161" i="9"/>
  <c r="H83"/>
  <c r="G74"/>
  <c r="G42"/>
  <c r="H78" i="12"/>
  <c r="E78" s="1"/>
  <c r="N174" i="9"/>
  <c r="G472" i="12"/>
  <c r="F82"/>
  <c r="F84"/>
  <c r="L82"/>
  <c r="F77"/>
  <c r="H179" i="9"/>
  <c r="N74"/>
  <c r="I83"/>
  <c r="G83"/>
  <c r="F75" i="12"/>
  <c r="J170" i="9"/>
  <c r="I123"/>
  <c r="H170"/>
  <c r="L170"/>
  <c r="H123"/>
  <c r="G92"/>
  <c r="F79"/>
  <c r="H79"/>
  <c r="G170"/>
  <c r="I170"/>
  <c r="K170"/>
  <c r="D276"/>
  <c r="D273" s="1"/>
  <c r="D272" s="1"/>
  <c r="D174"/>
  <c r="M297" i="12"/>
  <c r="L297"/>
  <c r="K297"/>
  <c r="J297"/>
  <c r="G127" i="9"/>
  <c r="H92" i="12" s="1"/>
  <c r="F152" i="9"/>
  <c r="G97" i="12" s="1"/>
  <c r="F127" i="9"/>
  <c r="G92" i="12" s="1"/>
  <c r="F188" i="9"/>
  <c r="H188"/>
  <c r="I183"/>
  <c r="G183"/>
  <c r="F174"/>
  <c r="G174"/>
  <c r="I188"/>
  <c r="G188"/>
  <c r="F183"/>
  <c r="H183"/>
  <c r="N183"/>
  <c r="F179"/>
  <c r="G179"/>
  <c r="H174"/>
  <c r="G528" i="2"/>
  <c r="D50" i="1" s="1"/>
  <c r="F481" i="2"/>
  <c r="G481"/>
  <c r="G313"/>
  <c r="H427" i="12" s="1"/>
  <c r="F229" i="2"/>
  <c r="D202"/>
  <c r="D199" s="1"/>
  <c r="N572"/>
  <c r="N571" s="1"/>
  <c r="L517"/>
  <c r="L9" s="1"/>
  <c r="L8" s="1"/>
  <c r="G489"/>
  <c r="N528"/>
  <c r="N379"/>
  <c r="N378" s="1"/>
  <c r="F13"/>
  <c r="N469"/>
  <c r="N337"/>
  <c r="H528"/>
  <c r="E50" i="1" s="1"/>
  <c r="I528" i="2"/>
  <c r="F50" i="1" s="1"/>
  <c r="F528" i="2"/>
  <c r="C50" i="1" s="1"/>
  <c r="G370" i="2"/>
  <c r="E29" i="10" s="1"/>
  <c r="H370" i="2"/>
  <c r="I466"/>
  <c r="F33" i="10"/>
  <c r="G29"/>
  <c r="G33"/>
  <c r="H19" i="1"/>
  <c r="H110" s="1"/>
  <c r="H156" s="1"/>
  <c r="F19"/>
  <c r="F110" s="1"/>
  <c r="F156" s="1"/>
  <c r="D33" i="10"/>
  <c r="E33"/>
  <c r="G19" i="1"/>
  <c r="G110" s="1"/>
  <c r="G156" s="1"/>
  <c r="B61"/>
  <c r="B59"/>
  <c r="N59" s="1"/>
  <c r="D60" i="13"/>
  <c r="D57" s="1"/>
  <c r="D119" s="1"/>
  <c r="D121" s="1"/>
  <c r="D23"/>
  <c r="D19" s="1"/>
  <c r="D28"/>
  <c r="D27" s="1"/>
  <c r="G57"/>
  <c r="E31" i="10" s="1"/>
  <c r="H53" i="13"/>
  <c r="G47"/>
  <c r="G46" s="1"/>
  <c r="F278" i="12"/>
  <c r="I46" i="13"/>
  <c r="F98"/>
  <c r="I16"/>
  <c r="F52"/>
  <c r="G279" i="12" s="1"/>
  <c r="N39" i="13"/>
  <c r="D39"/>
  <c r="D36" s="1"/>
  <c r="F280" i="12"/>
  <c r="H47" i="13"/>
  <c r="H14" s="1"/>
  <c r="N37"/>
  <c r="P43"/>
  <c r="G213" i="6"/>
  <c r="D227"/>
  <c r="D226" s="1"/>
  <c r="J178"/>
  <c r="J148"/>
  <c r="J23"/>
  <c r="G209"/>
  <c r="G154"/>
  <c r="D211"/>
  <c r="D154" s="1"/>
  <c r="I298"/>
  <c r="I300" s="1"/>
  <c r="I209"/>
  <c r="I208" s="1"/>
  <c r="I205" s="1"/>
  <c r="G146"/>
  <c r="N146" s="1"/>
  <c r="G202"/>
  <c r="I144"/>
  <c r="I301" s="1"/>
  <c r="I202"/>
  <c r="I201" s="1"/>
  <c r="I197" s="1"/>
  <c r="D183"/>
  <c r="E240"/>
  <c r="E290"/>
  <c r="F34" i="12"/>
  <c r="F32"/>
  <c r="N244" i="6"/>
  <c r="F21"/>
  <c r="H23"/>
  <c r="D210"/>
  <c r="D176"/>
  <c r="D144" s="1"/>
  <c r="G299"/>
  <c r="G300" s="1"/>
  <c r="G152"/>
  <c r="G194"/>
  <c r="G193" s="1"/>
  <c r="I152"/>
  <c r="I194"/>
  <c r="I193" s="1"/>
  <c r="I192" s="1"/>
  <c r="D191"/>
  <c r="M191" s="1"/>
  <c r="N191"/>
  <c r="H190"/>
  <c r="H189" s="1"/>
  <c r="H186" s="1"/>
  <c r="G144"/>
  <c r="F139"/>
  <c r="G38" i="12" s="1"/>
  <c r="K592"/>
  <c r="K590" s="1"/>
  <c r="G253"/>
  <c r="F214" i="6"/>
  <c r="F213" s="1"/>
  <c r="H60"/>
  <c r="I112" i="12" s="1"/>
  <c r="G60" i="6"/>
  <c r="H112" i="12" s="1"/>
  <c r="I60" i="6"/>
  <c r="J112" i="12" s="1"/>
  <c r="N27" i="6"/>
  <c r="I592" i="12"/>
  <c r="I590" s="1"/>
  <c r="F186" i="6"/>
  <c r="G186"/>
  <c r="F178"/>
  <c r="D179"/>
  <c r="D135"/>
  <c r="D134" s="1"/>
  <c r="D278" s="1"/>
  <c r="F252" i="12"/>
  <c r="F253"/>
  <c r="K596"/>
  <c r="N198" i="6"/>
  <c r="F300"/>
  <c r="N226"/>
  <c r="D232"/>
  <c r="D231" s="1"/>
  <c r="D539" i="2"/>
  <c r="H481"/>
  <c r="I527"/>
  <c r="E89" i="12"/>
  <c r="F536" i="2"/>
  <c r="F535" s="1"/>
  <c r="I536"/>
  <c r="I535" s="1"/>
  <c r="H67" i="1"/>
  <c r="H122" s="1"/>
  <c r="H168" s="1"/>
  <c r="K536" i="2"/>
  <c r="K535" s="1"/>
  <c r="K688" s="1"/>
  <c r="H531"/>
  <c r="B65" i="1"/>
  <c r="J65" s="1"/>
  <c r="H527" i="2"/>
  <c r="E49" i="1" s="1"/>
  <c r="N104" i="2"/>
  <c r="E90" i="12"/>
  <c r="G536" i="2"/>
  <c r="G535" s="1"/>
  <c r="H536"/>
  <c r="H535" s="1"/>
  <c r="I67" i="1"/>
  <c r="I122" s="1"/>
  <c r="I168" s="1"/>
  <c r="L536" i="2"/>
  <c r="L535" s="1"/>
  <c r="L688" s="1"/>
  <c r="G67" i="1"/>
  <c r="G122" s="1"/>
  <c r="G168" s="1"/>
  <c r="J536" i="2"/>
  <c r="J535" s="1"/>
  <c r="J688" s="1"/>
  <c r="G531"/>
  <c r="F206"/>
  <c r="F205" s="1"/>
  <c r="G107" i="12" s="1"/>
  <c r="G108"/>
  <c r="F531" i="2"/>
  <c r="G413"/>
  <c r="I481"/>
  <c r="I489"/>
  <c r="H174" i="6"/>
  <c r="H170" s="1"/>
  <c r="I148"/>
  <c r="H139"/>
  <c r="I38" i="12" s="1"/>
  <c r="I186" i="6"/>
  <c r="D182"/>
  <c r="G178"/>
  <c r="K170"/>
  <c r="I170"/>
  <c r="G170"/>
  <c r="J300"/>
  <c r="G248" i="12"/>
  <c r="G290"/>
  <c r="H290"/>
  <c r="I290"/>
  <c r="J290"/>
  <c r="N61" i="6"/>
  <c r="N60" s="1"/>
  <c r="D60"/>
  <c r="D66"/>
  <c r="L143"/>
  <c r="L19" s="1"/>
  <c r="I26" i="1" s="1"/>
  <c r="K300" i="6"/>
  <c r="L290" i="12"/>
  <c r="M290"/>
  <c r="K290"/>
  <c r="L186" i="6"/>
  <c r="J186"/>
  <c r="L178"/>
  <c r="J143"/>
  <c r="F38" i="12"/>
  <c r="L139" i="6"/>
  <c r="M38" i="12" s="1"/>
  <c r="H300" i="6"/>
  <c r="H143"/>
  <c r="H178"/>
  <c r="D149"/>
  <c r="E301"/>
  <c r="K139"/>
  <c r="L38" i="12" s="1"/>
  <c r="H151" i="6"/>
  <c r="H25" s="1"/>
  <c r="H24" s="1"/>
  <c r="N187"/>
  <c r="D187"/>
  <c r="M187" s="1"/>
  <c r="K181"/>
  <c r="K178" s="1"/>
  <c r="K151"/>
  <c r="K25" s="1"/>
  <c r="H35" i="1" s="1"/>
  <c r="I181" i="6"/>
  <c r="I178" s="1"/>
  <c r="N170"/>
  <c r="L151"/>
  <c r="L25" s="1"/>
  <c r="I35" i="1" s="1"/>
  <c r="F151" i="6"/>
  <c r="F25" s="1"/>
  <c r="C35" i="1" s="1"/>
  <c r="L170" i="6"/>
  <c r="J170"/>
  <c r="G220" i="12"/>
  <c r="M414"/>
  <c r="M415"/>
  <c r="M588" s="1"/>
  <c r="K415"/>
  <c r="K588" s="1"/>
  <c r="K414"/>
  <c r="L415"/>
  <c r="L588" s="1"/>
  <c r="L414"/>
  <c r="I230"/>
  <c r="H161" i="9"/>
  <c r="N161"/>
  <c r="D162"/>
  <c r="D161" s="1"/>
  <c r="D8" s="1"/>
  <c r="G161"/>
  <c r="F95" i="6"/>
  <c r="D90" i="3"/>
  <c r="P90" s="1"/>
  <c r="F46"/>
  <c r="G323" i="12" s="1"/>
  <c r="H45"/>
  <c r="E45" s="1"/>
  <c r="G104" i="3"/>
  <c r="G284" s="1"/>
  <c r="H62"/>
  <c r="F23" i="10" s="1"/>
  <c r="I213" i="12"/>
  <c r="H68" i="3"/>
  <c r="F24" i="10" s="1"/>
  <c r="I215" i="12"/>
  <c r="H38" i="3"/>
  <c r="I220" i="12"/>
  <c r="N63" i="3"/>
  <c r="N62" s="1"/>
  <c r="F63"/>
  <c r="G213" i="12" s="1"/>
  <c r="G41" i="3"/>
  <c r="I41"/>
  <c r="G51"/>
  <c r="F80"/>
  <c r="F284" s="1"/>
  <c r="G25" i="12"/>
  <c r="F58" i="3"/>
  <c r="G325" i="12" s="1"/>
  <c r="E325" s="1"/>
  <c r="D74" i="3"/>
  <c r="D83"/>
  <c r="D80" s="1"/>
  <c r="F25" i="12"/>
  <c r="J38" i="3"/>
  <c r="K220" i="12"/>
  <c r="D35" i="10"/>
  <c r="F27" i="3"/>
  <c r="M27" s="1"/>
  <c r="F74"/>
  <c r="D512" i="12"/>
  <c r="D376"/>
  <c r="G27" i="6"/>
  <c r="K27"/>
  <c r="I30" i="10" s="1"/>
  <c r="G192" i="6"/>
  <c r="J151"/>
  <c r="J25" s="1"/>
  <c r="G35" i="1" s="1"/>
  <c r="N74" i="3"/>
  <c r="N127" i="9"/>
  <c r="D131"/>
  <c r="N129" i="2"/>
  <c r="N83" i="6"/>
  <c r="F77"/>
  <c r="J27"/>
  <c r="H30" i="10" s="1"/>
  <c r="D250" i="6"/>
  <c r="D249" s="1"/>
  <c r="D240" s="1"/>
  <c r="F243"/>
  <c r="J287" i="12"/>
  <c r="F27" i="6"/>
  <c r="H27"/>
  <c r="J34" i="12"/>
  <c r="I290" i="6"/>
  <c r="I124"/>
  <c r="J32" i="12" s="1"/>
  <c r="K124" i="6"/>
  <c r="L32" i="12" s="1"/>
  <c r="L34"/>
  <c r="K290" i="6"/>
  <c r="H290"/>
  <c r="H124"/>
  <c r="I32" i="12" s="1"/>
  <c r="I34"/>
  <c r="K34"/>
  <c r="J124" i="6"/>
  <c r="J290"/>
  <c r="M34" i="12"/>
  <c r="L124" i="6"/>
  <c r="M32" i="12" s="1"/>
  <c r="L290" i="6"/>
  <c r="H238"/>
  <c r="H98" i="3"/>
  <c r="H9" s="1"/>
  <c r="J98"/>
  <c r="J9" s="1"/>
  <c r="F218" i="12"/>
  <c r="H46" i="3"/>
  <c r="I323" i="12" s="1"/>
  <c r="F23"/>
  <c r="E23" s="1"/>
  <c r="K98" i="3"/>
  <c r="K9" s="1"/>
  <c r="G62"/>
  <c r="E23" i="10" s="1"/>
  <c r="H34"/>
  <c r="D105" i="3"/>
  <c r="G33"/>
  <c r="G16" s="1"/>
  <c r="G15" s="1"/>
  <c r="I33"/>
  <c r="I16" s="1"/>
  <c r="I15" s="1"/>
  <c r="K104"/>
  <c r="K284" s="1"/>
  <c r="H33"/>
  <c r="H16" s="1"/>
  <c r="H15" s="1"/>
  <c r="D87"/>
  <c r="L230" i="12"/>
  <c r="D102" i="3"/>
  <c r="F32"/>
  <c r="G219" i="12" s="1"/>
  <c r="D99" i="3"/>
  <c r="D107"/>
  <c r="I43" i="12"/>
  <c r="E43" s="1"/>
  <c r="G98" i="3"/>
  <c r="G9" s="1"/>
  <c r="I98"/>
  <c r="I9" s="1"/>
  <c r="F140" i="1"/>
  <c r="L289" i="6"/>
  <c r="L105"/>
  <c r="M229" i="12" s="1"/>
  <c r="G228"/>
  <c r="L228"/>
  <c r="L95" i="6"/>
  <c r="F105"/>
  <c r="G229" i="12" s="1"/>
  <c r="I34" i="1"/>
  <c r="I124" s="1"/>
  <c r="I170" s="1"/>
  <c r="H34"/>
  <c r="H124" s="1"/>
  <c r="H170" s="1"/>
  <c r="F34"/>
  <c r="F124" s="1"/>
  <c r="F170" s="1"/>
  <c r="J140"/>
  <c r="D64" i="2"/>
  <c r="E64"/>
  <c r="E62"/>
  <c r="J473"/>
  <c r="L477"/>
  <c r="K517"/>
  <c r="K9" s="1"/>
  <c r="K8" s="1"/>
  <c r="N351"/>
  <c r="D396"/>
  <c r="D393" s="1"/>
  <c r="N399"/>
  <c r="N193"/>
  <c r="D334"/>
  <c r="D331" s="1"/>
  <c r="D479"/>
  <c r="D33" s="1"/>
  <c r="E479"/>
  <c r="E33" s="1"/>
  <c r="H33"/>
  <c r="H477"/>
  <c r="H473" s="1"/>
  <c r="I33"/>
  <c r="I477"/>
  <c r="I473" s="1"/>
  <c r="N517"/>
  <c r="L19"/>
  <c r="I25" i="1" s="1"/>
  <c r="I113" s="1"/>
  <c r="I159" s="1"/>
  <c r="L511" i="2"/>
  <c r="J19"/>
  <c r="J511"/>
  <c r="J508" s="1"/>
  <c r="H42" i="10" s="1"/>
  <c r="D572" i="2"/>
  <c r="D571" s="1"/>
  <c r="H422"/>
  <c r="I453" i="12"/>
  <c r="F181" i="2"/>
  <c r="G167" i="12" s="1"/>
  <c r="G181" i="2"/>
  <c r="H167" i="12" s="1"/>
  <c r="D494" i="2"/>
  <c r="D489" s="1"/>
  <c r="H466"/>
  <c r="I470"/>
  <c r="F383"/>
  <c r="L126" i="1"/>
  <c r="K30" i="2"/>
  <c r="K29" s="1"/>
  <c r="K27"/>
  <c r="H32" i="1" s="1"/>
  <c r="H123" s="1"/>
  <c r="K19" i="2"/>
  <c r="H25" i="1" s="1"/>
  <c r="H113" s="1"/>
  <c r="H159" s="1"/>
  <c r="K511" i="2"/>
  <c r="K508" s="1"/>
  <c r="I42" i="10" s="1"/>
  <c r="L509" i="2"/>
  <c r="K26"/>
  <c r="K474"/>
  <c r="L24"/>
  <c r="I29" i="1" s="1"/>
  <c r="L474" i="2"/>
  <c r="L14"/>
  <c r="I19" i="1" s="1"/>
  <c r="L466" i="2"/>
  <c r="D358"/>
  <c r="D357" s="1"/>
  <c r="D418"/>
  <c r="J455" i="12"/>
  <c r="I422" i="2"/>
  <c r="H458" i="12"/>
  <c r="G426" i="2"/>
  <c r="G459" i="12"/>
  <c r="G602" s="1"/>
  <c r="F426" i="2"/>
  <c r="G634" i="12" s="1"/>
  <c r="I459"/>
  <c r="I602" s="1"/>
  <c r="H426" i="2"/>
  <c r="I634" i="12" s="1"/>
  <c r="H460"/>
  <c r="H415" s="1"/>
  <c r="H588" s="1"/>
  <c r="G431" i="2"/>
  <c r="F169"/>
  <c r="D170"/>
  <c r="D72"/>
  <c r="J466"/>
  <c r="J465" s="1"/>
  <c r="G64" i="12"/>
  <c r="E64" s="1"/>
  <c r="F337" i="2"/>
  <c r="G62" i="12" s="1"/>
  <c r="F193" i="2"/>
  <c r="G442" i="12" s="1"/>
  <c r="N602" i="2"/>
  <c r="N601" s="1"/>
  <c r="J517"/>
  <c r="N499"/>
  <c r="F520" i="12"/>
  <c r="E520" s="1"/>
  <c r="H63"/>
  <c r="F378" i="2"/>
  <c r="G157" i="12" s="1"/>
  <c r="F387" i="2"/>
  <c r="G162" i="12" s="1"/>
  <c r="E162" s="1"/>
  <c r="G235" i="2"/>
  <c r="F453" i="12"/>
  <c r="D161" i="2"/>
  <c r="F157"/>
  <c r="G102" i="12" s="1"/>
  <c r="F199" i="2"/>
  <c r="F108" i="12"/>
  <c r="N181" i="2"/>
  <c r="N408"/>
  <c r="D211"/>
  <c r="F211"/>
  <c r="F217"/>
  <c r="G172" i="12" s="1"/>
  <c r="F223" i="2"/>
  <c r="G241"/>
  <c r="H137" i="12" s="1"/>
  <c r="F235" i="2"/>
  <c r="E54" i="12"/>
  <c r="D154" i="2"/>
  <c r="E468" i="12"/>
  <c r="E518" i="2"/>
  <c r="E517" s="1"/>
  <c r="E510"/>
  <c r="D166"/>
  <c r="D163" s="1"/>
  <c r="D178"/>
  <c r="F121"/>
  <c r="E55" i="12" s="1"/>
  <c r="D405" i="2"/>
  <c r="D404" s="1"/>
  <c r="N606"/>
  <c r="N605" s="1"/>
  <c r="H344"/>
  <c r="D182"/>
  <c r="D181" s="1"/>
  <c r="D235"/>
  <c r="E58"/>
  <c r="D69"/>
  <c r="E69"/>
  <c r="D99"/>
  <c r="E99"/>
  <c r="D122"/>
  <c r="D149"/>
  <c r="D146"/>
  <c r="F151"/>
  <c r="F137"/>
  <c r="F319"/>
  <c r="D587"/>
  <c r="D586" s="1"/>
  <c r="G508"/>
  <c r="E42" i="10" s="1"/>
  <c r="O42" s="1"/>
  <c r="N146" i="2"/>
  <c r="N145" s="1"/>
  <c r="F399"/>
  <c r="F408"/>
  <c r="F413"/>
  <c r="F417"/>
  <c r="G633" i="12" s="1"/>
  <c r="F187" i="2"/>
  <c r="G223"/>
  <c r="G229"/>
  <c r="P517"/>
  <c r="D125"/>
  <c r="D478"/>
  <c r="D477" s="1"/>
  <c r="D107"/>
  <c r="D86"/>
  <c r="D30"/>
  <c r="F527"/>
  <c r="C49" i="1" s="1"/>
  <c r="H508" i="2"/>
  <c r="F42" i="10" s="1"/>
  <c r="D414" i="2"/>
  <c r="D413" s="1"/>
  <c r="D190"/>
  <c r="D187" s="1"/>
  <c r="D197"/>
  <c r="D193" s="1"/>
  <c r="F508" i="12"/>
  <c r="E508" s="1"/>
  <c r="F507"/>
  <c r="E507" s="1"/>
  <c r="D319" i="2"/>
  <c r="G527"/>
  <c r="D49" i="1" s="1"/>
  <c r="F313" i="2"/>
  <c r="G427" i="12" s="1"/>
  <c r="D115" i="2"/>
  <c r="M41"/>
  <c r="N217"/>
  <c r="D223"/>
  <c r="D230"/>
  <c r="D229" s="1"/>
  <c r="N241"/>
  <c r="N205"/>
  <c r="G205"/>
  <c r="H107" i="12" s="1"/>
  <c r="G217" i="2"/>
  <c r="H172" i="12" s="1"/>
  <c r="D242" i="2"/>
  <c r="D241" s="1"/>
  <c r="F331"/>
  <c r="F111" i="1"/>
  <c r="F157" s="1"/>
  <c r="D502" i="2"/>
  <c r="D499" s="1"/>
  <c r="D471"/>
  <c r="G23"/>
  <c r="D96"/>
  <c r="N21"/>
  <c r="D314"/>
  <c r="D313" s="1"/>
  <c r="D381"/>
  <c r="D384"/>
  <c r="D383" s="1"/>
  <c r="D643"/>
  <c r="D642" s="1"/>
  <c r="I508"/>
  <c r="E472"/>
  <c r="M472" s="1"/>
  <c r="D105"/>
  <c r="D543"/>
  <c r="D542" s="1"/>
  <c r="D432"/>
  <c r="D431" s="1"/>
  <c r="H26"/>
  <c r="D402"/>
  <c r="D420"/>
  <c r="D158"/>
  <c r="F67" i="1"/>
  <c r="F122" s="1"/>
  <c r="F168" s="1"/>
  <c r="D247" i="2"/>
  <c r="E67" i="1"/>
  <c r="E122" s="1"/>
  <c r="E168" s="1"/>
  <c r="D206" i="2"/>
  <c r="D205" s="1"/>
  <c r="E463" i="12"/>
  <c r="H610" i="2"/>
  <c r="H609" s="1"/>
  <c r="H685" s="1"/>
  <c r="H337"/>
  <c r="D326"/>
  <c r="N229"/>
  <c r="F241"/>
  <c r="G137" i="12" s="1"/>
  <c r="I19" i="2"/>
  <c r="D217"/>
  <c r="G247"/>
  <c r="H19"/>
  <c r="G34" i="1"/>
  <c r="G124" s="1"/>
  <c r="G170" s="1"/>
  <c r="F120"/>
  <c r="F166" s="1"/>
  <c r="C120"/>
  <c r="C166" s="1"/>
  <c r="I23" i="2"/>
  <c r="K466"/>
  <c r="K465" s="1"/>
  <c r="H285" i="12"/>
  <c r="G285"/>
  <c r="H16" i="2"/>
  <c r="D329"/>
  <c r="F325"/>
  <c r="L16"/>
  <c r="J16"/>
  <c r="J26"/>
  <c r="F26"/>
  <c r="N325"/>
  <c r="I344"/>
  <c r="D338"/>
  <c r="D337" s="1"/>
  <c r="F63" i="12"/>
  <c r="F16" i="2"/>
  <c r="D345"/>
  <c r="D344" s="1"/>
  <c r="I337"/>
  <c r="J63" i="12"/>
  <c r="G120" i="1"/>
  <c r="G166" s="1"/>
  <c r="H111"/>
  <c r="H157" s="1"/>
  <c r="D90" i="4"/>
  <c r="D89" s="1"/>
  <c r="N55"/>
  <c r="N54" s="1"/>
  <c r="F51" i="3"/>
  <c r="N139" i="9"/>
  <c r="G139"/>
  <c r="F139"/>
  <c r="H152"/>
  <c r="G152"/>
  <c r="M97" i="12"/>
  <c r="L97"/>
  <c r="L148" i="9"/>
  <c r="L299" s="1"/>
  <c r="K148"/>
  <c r="K299" s="1"/>
  <c r="J148"/>
  <c r="J299" s="1"/>
  <c r="I148"/>
  <c r="I299" s="1"/>
  <c r="H148"/>
  <c r="G148"/>
  <c r="F148"/>
  <c r="F299" s="1"/>
  <c r="I157"/>
  <c r="I300" s="1"/>
  <c r="H157"/>
  <c r="G157"/>
  <c r="F157"/>
  <c r="L157"/>
  <c r="K157"/>
  <c r="J157"/>
  <c r="K92"/>
  <c r="L85" i="12"/>
  <c r="F85"/>
  <c r="G123" i="9"/>
  <c r="H295" i="12"/>
  <c r="I85"/>
  <c r="H92" i="9"/>
  <c r="H300" s="1"/>
  <c r="K95" i="6"/>
  <c r="J230" i="12"/>
  <c r="F289" i="6"/>
  <c r="K21"/>
  <c r="I21"/>
  <c r="G21"/>
  <c r="D194" i="12"/>
  <c r="J605"/>
  <c r="J614" s="1"/>
  <c r="I610"/>
  <c r="I614"/>
  <c r="D91" i="6"/>
  <c r="D88" s="1"/>
  <c r="F30" i="12"/>
  <c r="E30" s="1"/>
  <c r="G88" i="6"/>
  <c r="P88" s="1"/>
  <c r="F119" i="1"/>
  <c r="B29"/>
  <c r="G436" i="2"/>
  <c r="J364"/>
  <c r="J363" s="1"/>
  <c r="H28" i="10" s="1"/>
  <c r="F436" i="2"/>
  <c r="F283" i="12"/>
  <c r="F217"/>
  <c r="K217"/>
  <c r="E119" i="1"/>
  <c r="F98" i="3"/>
  <c r="K630" i="12" l="1"/>
  <c r="K628"/>
  <c r="L628"/>
  <c r="L630"/>
  <c r="L623" s="1"/>
  <c r="L207"/>
  <c r="E163"/>
  <c r="H615"/>
  <c r="M207"/>
  <c r="M583" s="1"/>
  <c r="L9" i="9"/>
  <c r="J9"/>
  <c r="N369" i="2"/>
  <c r="G299" i="9"/>
  <c r="H299"/>
  <c r="H301" s="1"/>
  <c r="K207" i="12"/>
  <c r="I207"/>
  <c r="M210"/>
  <c r="M595" s="1"/>
  <c r="M594" s="1"/>
  <c r="M597" s="1"/>
  <c r="J636"/>
  <c r="I9" i="9"/>
  <c r="I636" i="12"/>
  <c r="I628" s="1"/>
  <c r="H9" i="9"/>
  <c r="H636" i="12"/>
  <c r="J283" i="3"/>
  <c r="H23" i="2"/>
  <c r="C174" i="12"/>
  <c r="F8" i="9"/>
  <c r="H352" i="12"/>
  <c r="I352"/>
  <c r="H8" i="9"/>
  <c r="H365" i="2"/>
  <c r="H13" s="1"/>
  <c r="E18" i="1" s="1"/>
  <c r="F465" i="2"/>
  <c r="D122" i="13"/>
  <c r="H20" i="2"/>
  <c r="H18" s="1"/>
  <c r="D146" i="5"/>
  <c r="H18" i="13"/>
  <c r="H16" s="1"/>
  <c r="G52"/>
  <c r="H279" i="12" s="1"/>
  <c r="G18" i="13"/>
  <c r="E19" i="1"/>
  <c r="H12" i="13"/>
  <c r="K13" i="6"/>
  <c r="I289"/>
  <c r="D152"/>
  <c r="C169" i="12"/>
  <c r="C21" i="1"/>
  <c r="F29" i="10"/>
  <c r="K29" s="1"/>
  <c r="I688" i="2"/>
  <c r="N239" i="6"/>
  <c r="N238" s="1"/>
  <c r="E17" i="10"/>
  <c r="O17" s="1"/>
  <c r="G18" i="1"/>
  <c r="G108" s="1"/>
  <c r="H169"/>
  <c r="E35"/>
  <c r="E125" s="1"/>
  <c r="E171" s="1"/>
  <c r="N17" i="2"/>
  <c r="E41" i="10"/>
  <c r="I31" i="1"/>
  <c r="I121" s="1"/>
  <c r="I167" s="1"/>
  <c r="G143" i="5"/>
  <c r="G145" s="1"/>
  <c r="G146" s="1"/>
  <c r="D473" i="2"/>
  <c r="F49" i="1"/>
  <c r="F48" s="1"/>
  <c r="L14" i="12"/>
  <c r="E172"/>
  <c r="D171" s="1"/>
  <c r="E167"/>
  <c r="D166" s="1"/>
  <c r="M270" i="9"/>
  <c r="E157" i="12"/>
  <c r="D156" s="1"/>
  <c r="E258"/>
  <c r="F119" i="13"/>
  <c r="F121" s="1"/>
  <c r="L269" i="9"/>
  <c r="H31" i="10"/>
  <c r="K31" s="1"/>
  <c r="N270" i="9"/>
  <c r="K97" i="12"/>
  <c r="H436" i="2"/>
  <c r="I283" i="12" s="1"/>
  <c r="J97"/>
  <c r="D175" i="2"/>
  <c r="K105" i="6"/>
  <c r="L229" i="12" s="1"/>
  <c r="L210" s="1"/>
  <c r="D71" i="3"/>
  <c r="D68" s="1"/>
  <c r="H119" i="13"/>
  <c r="H121" s="1"/>
  <c r="H122" s="1"/>
  <c r="H102" s="1"/>
  <c r="H101" s="1"/>
  <c r="M437" i="2"/>
  <c r="M436" s="1"/>
  <c r="F110" i="5"/>
  <c r="H442" i="12"/>
  <c r="E442" s="1"/>
  <c r="H642"/>
  <c r="K473" i="2"/>
  <c r="G473"/>
  <c r="G20" i="10"/>
  <c r="D301" i="9"/>
  <c r="F300"/>
  <c r="F301" s="1"/>
  <c r="G300"/>
  <c r="L300"/>
  <c r="J300"/>
  <c r="L7"/>
  <c r="D9" i="7"/>
  <c r="D7" s="1"/>
  <c r="D13"/>
  <c r="D11" s="1"/>
  <c r="M582" i="12"/>
  <c r="N45" i="7"/>
  <c r="N44" s="1"/>
  <c r="N9"/>
  <c r="N7" s="1"/>
  <c r="K300" i="9"/>
  <c r="J7"/>
  <c r="J82" i="12"/>
  <c r="I82"/>
  <c r="E295"/>
  <c r="C294" s="1"/>
  <c r="L102" i="13"/>
  <c r="L101" s="1"/>
  <c r="I54" i="1"/>
  <c r="I108" s="1"/>
  <c r="E269" i="9"/>
  <c r="B49" i="1"/>
  <c r="F143" i="5"/>
  <c r="F145" s="1"/>
  <c r="F146" s="1"/>
  <c r="D41" i="10"/>
  <c r="M89" i="5"/>
  <c r="N90"/>
  <c r="M90"/>
  <c r="M88" s="1"/>
  <c r="D104"/>
  <c r="D103" s="1"/>
  <c r="N89"/>
  <c r="H103"/>
  <c r="F103"/>
  <c r="G103"/>
  <c r="I103"/>
  <c r="H526" i="2"/>
  <c r="D32"/>
  <c r="D161" i="12"/>
  <c r="H609"/>
  <c r="G611"/>
  <c r="G609" s="1"/>
  <c r="G619"/>
  <c r="J8" i="3"/>
  <c r="H452" i="12"/>
  <c r="H283" i="3"/>
  <c r="P55"/>
  <c r="J292" i="6"/>
  <c r="J303" s="1"/>
  <c r="K8" i="3"/>
  <c r="L8"/>
  <c r="K283"/>
  <c r="L283"/>
  <c r="I84" i="1" s="1"/>
  <c r="I78" s="1"/>
  <c r="H252" i="12"/>
  <c r="G252"/>
  <c r="F12" i="3"/>
  <c r="F11" s="1"/>
  <c r="F10" s="1"/>
  <c r="P71"/>
  <c r="N13" i="5"/>
  <c r="G40" i="10"/>
  <c r="H247" i="12"/>
  <c r="E19" i="10"/>
  <c r="O19" s="1"/>
  <c r="H586" i="12"/>
  <c r="G247"/>
  <c r="D19" i="10"/>
  <c r="I119" i="6"/>
  <c r="I11" s="1"/>
  <c r="F14" i="1" s="1"/>
  <c r="I465" i="2"/>
  <c r="G124" i="6"/>
  <c r="H32" i="12" s="1"/>
  <c r="I52" i="13"/>
  <c r="J279" i="12" s="1"/>
  <c r="H270" i="6"/>
  <c r="D43" i="10"/>
  <c r="K43" s="1"/>
  <c r="D437" i="2"/>
  <c r="J40" i="10"/>
  <c r="I40"/>
  <c r="G16" i="13"/>
  <c r="N437" i="2"/>
  <c r="N436" s="1"/>
  <c r="K623" i="12"/>
  <c r="F292" i="6"/>
  <c r="F303" s="1"/>
  <c r="F40" i="10"/>
  <c r="J212" i="12"/>
  <c r="G23" i="10"/>
  <c r="J270" i="6"/>
  <c r="G10" i="3"/>
  <c r="E40" i="10"/>
  <c r="O40" s="1"/>
  <c r="P25" i="5"/>
  <c r="D40" i="10"/>
  <c r="G11" i="5"/>
  <c r="G10" s="1"/>
  <c r="K400" i="12"/>
  <c r="J11" i="5"/>
  <c r="F11"/>
  <c r="F10" s="1"/>
  <c r="I11"/>
  <c r="I10" s="1"/>
  <c r="M400" i="12"/>
  <c r="L11" i="5"/>
  <c r="L400" i="12"/>
  <c r="K11" i="5"/>
  <c r="K10" s="1"/>
  <c r="H11"/>
  <c r="H10" s="1"/>
  <c r="N9" i="8"/>
  <c r="E355" i="12"/>
  <c r="C354" s="1"/>
  <c r="E102"/>
  <c r="K146" i="8"/>
  <c r="K147" s="1"/>
  <c r="I14" i="10"/>
  <c r="D54" i="8"/>
  <c r="F68" i="3"/>
  <c r="F14" i="10"/>
  <c r="G352" i="12"/>
  <c r="G270" i="6"/>
  <c r="P220"/>
  <c r="E324" i="12"/>
  <c r="E323"/>
  <c r="K292" i="6"/>
  <c r="K303" s="1"/>
  <c r="E52" i="12"/>
  <c r="D51" s="1"/>
  <c r="G289" i="6"/>
  <c r="D189"/>
  <c r="M189" s="1"/>
  <c r="M186" s="1"/>
  <c r="H62" i="12"/>
  <c r="I62"/>
  <c r="G42" i="10"/>
  <c r="D447" i="2"/>
  <c r="D48" i="1"/>
  <c r="C48"/>
  <c r="D151" i="2"/>
  <c r="I452" i="12"/>
  <c r="G290" i="6"/>
  <c r="D175"/>
  <c r="H34" i="12"/>
  <c r="I119" i="13"/>
  <c r="I121" s="1"/>
  <c r="I122" s="1"/>
  <c r="I102" s="1"/>
  <c r="I101" s="1"/>
  <c r="E280" i="12"/>
  <c r="K269" i="9"/>
  <c r="D277" i="6"/>
  <c r="D279" s="1"/>
  <c r="E237" i="12"/>
  <c r="H40" i="10"/>
  <c r="D446" i="2"/>
  <c r="D678" s="1"/>
  <c r="D14" i="10"/>
  <c r="C538" i="12"/>
  <c r="E137"/>
  <c r="D136" s="1"/>
  <c r="E401"/>
  <c r="E232"/>
  <c r="D231" s="1"/>
  <c r="H614"/>
  <c r="H613" s="1"/>
  <c r="H618" s="1"/>
  <c r="H617" s="1"/>
  <c r="N12" i="3"/>
  <c r="N11" s="1"/>
  <c r="H10"/>
  <c r="D41"/>
  <c r="D38" s="1"/>
  <c r="D22"/>
  <c r="I10"/>
  <c r="G292" i="6"/>
  <c r="G303" s="1"/>
  <c r="N9" i="3"/>
  <c r="F9"/>
  <c r="D98"/>
  <c r="D9" s="1"/>
  <c r="H292" i="6"/>
  <c r="H303" s="1"/>
  <c r="I212" i="12"/>
  <c r="L292" i="6"/>
  <c r="L303" s="1"/>
  <c r="I292"/>
  <c r="I303" s="1"/>
  <c r="D86" i="3"/>
  <c r="H10" i="8"/>
  <c r="N10" s="1"/>
  <c r="K18" i="10"/>
  <c r="M144" i="6"/>
  <c r="M105" i="8"/>
  <c r="N365" i="2"/>
  <c r="N364" s="1"/>
  <c r="G13"/>
  <c r="G63" i="1"/>
  <c r="G62" s="1"/>
  <c r="G72" s="1"/>
  <c r="G465" i="2"/>
  <c r="E40" i="1"/>
  <c r="N470" i="2"/>
  <c r="D157"/>
  <c r="F473"/>
  <c r="L465"/>
  <c r="N481"/>
  <c r="M15"/>
  <c r="H465"/>
  <c r="N508"/>
  <c r="I18"/>
  <c r="I11" s="1"/>
  <c r="H212" i="12"/>
  <c r="O23" i="10"/>
  <c r="H72" i="12"/>
  <c r="F146" i="8"/>
  <c r="E190" i="12"/>
  <c r="E213"/>
  <c r="G32" i="3"/>
  <c r="H219" i="12" s="1"/>
  <c r="J19" i="6"/>
  <c r="D106"/>
  <c r="K19"/>
  <c r="H19"/>
  <c r="H289"/>
  <c r="H105"/>
  <c r="I229" i="12" s="1"/>
  <c r="F94" i="6"/>
  <c r="N273" i="9"/>
  <c r="N272" s="1"/>
  <c r="P49" i="8"/>
  <c r="F688" i="2"/>
  <c r="M273" i="9"/>
  <c r="M272" s="1"/>
  <c r="N213" i="6"/>
  <c r="M11" i="8"/>
  <c r="I42" i="12"/>
  <c r="D221" i="6"/>
  <c r="D220" s="1"/>
  <c r="H457" i="12"/>
  <c r="H634"/>
  <c r="H628" s="1"/>
  <c r="H32" i="3"/>
  <c r="I219" i="12" s="1"/>
  <c r="G529"/>
  <c r="G584" s="1"/>
  <c r="G582" s="1"/>
  <c r="G257"/>
  <c r="H146" i="8"/>
  <c r="H147" s="1"/>
  <c r="J10" i="5"/>
  <c r="H57" i="1"/>
  <c r="H53" s="1"/>
  <c r="H52" s="1"/>
  <c r="H71" s="1"/>
  <c r="M13" i="7"/>
  <c r="M11" s="1"/>
  <c r="M10" s="1"/>
  <c r="C139" i="12"/>
  <c r="I301" i="9"/>
  <c r="I302" s="1"/>
  <c r="H472" i="12"/>
  <c r="H635"/>
  <c r="N271" i="9"/>
  <c r="D45" i="7"/>
  <c r="D44" s="1"/>
  <c r="D187"/>
  <c r="G8" i="8"/>
  <c r="L10" i="5"/>
  <c r="M104"/>
  <c r="M103" s="1"/>
  <c r="M125" i="6"/>
  <c r="M124" s="1"/>
  <c r="M119" s="1"/>
  <c r="M118" s="1"/>
  <c r="E568" i="12"/>
  <c r="C568" s="1"/>
  <c r="E272"/>
  <c r="D271" s="1"/>
  <c r="C244"/>
  <c r="C129"/>
  <c r="I25" i="10"/>
  <c r="H45" i="3"/>
  <c r="I611" i="12"/>
  <c r="I609" s="1"/>
  <c r="I94" i="6"/>
  <c r="J227" i="12" s="1"/>
  <c r="D102" i="6"/>
  <c r="D202"/>
  <c r="E20" i="10"/>
  <c r="N189" i="6"/>
  <c r="N186" s="1"/>
  <c r="K119"/>
  <c r="F290"/>
  <c r="J95"/>
  <c r="J94" s="1"/>
  <c r="I151"/>
  <c r="I25" s="1"/>
  <c r="F35" i="1" s="1"/>
  <c r="D190" i="6"/>
  <c r="M190" s="1"/>
  <c r="D21" i="1"/>
  <c r="D112" s="1"/>
  <c r="D158" s="1"/>
  <c r="J289" i="6"/>
  <c r="M106"/>
  <c r="M105" s="1"/>
  <c r="M202"/>
  <c r="G14"/>
  <c r="G13" s="1"/>
  <c r="M96"/>
  <c r="M95" s="1"/>
  <c r="L22" i="1"/>
  <c r="L114" s="1"/>
  <c r="G20"/>
  <c r="L20" s="1"/>
  <c r="L111" s="1"/>
  <c r="M531" i="2"/>
  <c r="M530" s="1"/>
  <c r="M529" s="1"/>
  <c r="G688"/>
  <c r="M45" i="3"/>
  <c r="N45"/>
  <c r="D46"/>
  <c r="M243" i="6"/>
  <c r="M242" s="1"/>
  <c r="M241" s="1"/>
  <c r="C44" i="12"/>
  <c r="M16" i="3"/>
  <c r="M15" s="1"/>
  <c r="M33"/>
  <c r="M32" s="1"/>
  <c r="N53" i="13"/>
  <c r="N52" s="1"/>
  <c r="N47"/>
  <c r="N46" s="1"/>
  <c r="G45" i="3"/>
  <c r="M19" i="10"/>
  <c r="M17"/>
  <c r="E254" i="12"/>
  <c r="F197" i="6"/>
  <c r="F142"/>
  <c r="G39" i="12" s="1"/>
  <c r="J25" i="10"/>
  <c r="H228" i="12"/>
  <c r="G95" i="6"/>
  <c r="D96"/>
  <c r="E88" i="1"/>
  <c r="E87" s="1"/>
  <c r="H687" i="2"/>
  <c r="H688" s="1"/>
  <c r="D139" i="6"/>
  <c r="F11" i="8"/>
  <c r="D51"/>
  <c r="D31"/>
  <c r="P31" s="1"/>
  <c r="D41"/>
  <c r="D38"/>
  <c r="F21"/>
  <c r="F31" i="2"/>
  <c r="C34" i="1" s="1"/>
  <c r="C124" s="1"/>
  <c r="C170" s="1"/>
  <c r="M442" i="2"/>
  <c r="M441" s="1"/>
  <c r="M435" s="1"/>
  <c r="H25" i="10"/>
  <c r="L287" i="12"/>
  <c r="E99"/>
  <c r="C264"/>
  <c r="C234"/>
  <c r="C134"/>
  <c r="K11" i="7"/>
  <c r="K10" s="1"/>
  <c r="N13"/>
  <c r="N11" s="1"/>
  <c r="N10" s="1"/>
  <c r="M45"/>
  <c r="M44" s="1"/>
  <c r="B19" i="1"/>
  <c r="B110" s="1"/>
  <c r="B156" s="1"/>
  <c r="N14" i="2"/>
  <c r="E75" i="12"/>
  <c r="C74" s="1"/>
  <c r="I48" i="1"/>
  <c r="G122" i="12"/>
  <c r="H132"/>
  <c r="G132"/>
  <c r="I63" i="1"/>
  <c r="I62" s="1"/>
  <c r="I72" s="1"/>
  <c r="I86" s="1"/>
  <c r="D28"/>
  <c r="C429" i="12"/>
  <c r="K33" i="10"/>
  <c r="F530" i="2"/>
  <c r="F529" s="1"/>
  <c r="G613" i="12"/>
  <c r="G618" s="1"/>
  <c r="E285"/>
  <c r="C64"/>
  <c r="C124"/>
  <c r="C509"/>
  <c r="C114"/>
  <c r="C402"/>
  <c r="D15" i="6"/>
  <c r="P17" s="1"/>
  <c r="I7" i="9"/>
  <c r="H63" i="1"/>
  <c r="H62" s="1"/>
  <c r="H72" s="1"/>
  <c r="H86" s="1"/>
  <c r="K55"/>
  <c r="K50"/>
  <c r="D45" i="8"/>
  <c r="J13" i="10"/>
  <c r="L8" i="8"/>
  <c r="D13" i="10"/>
  <c r="F13"/>
  <c r="D48" i="8"/>
  <c r="F238" i="6"/>
  <c r="M239"/>
  <c r="M238" s="1"/>
  <c r="M13" i="5"/>
  <c r="F14" i="13"/>
  <c r="F12" s="1"/>
  <c r="M47"/>
  <c r="M46" s="1"/>
  <c r="M53"/>
  <c r="M52" s="1"/>
  <c r="I269" i="9"/>
  <c r="M271"/>
  <c r="M10"/>
  <c r="M45" i="8"/>
  <c r="F33"/>
  <c r="M48"/>
  <c r="D36"/>
  <c r="G48" i="1"/>
  <c r="I147" i="8"/>
  <c r="M36"/>
  <c r="M33" s="1"/>
  <c r="M16" i="6"/>
  <c r="P16" s="1"/>
  <c r="M299"/>
  <c r="F19"/>
  <c r="M146"/>
  <c r="M26" i="3"/>
  <c r="L508" i="2"/>
  <c r="J42" i="10" s="1"/>
  <c r="M365" i="2"/>
  <c r="M364" s="1"/>
  <c r="E509"/>
  <c r="E508" s="1"/>
  <c r="C42" i="10" s="1"/>
  <c r="M510" i="2"/>
  <c r="M509" s="1"/>
  <c r="M508" s="1"/>
  <c r="M16"/>
  <c r="M470"/>
  <c r="M36"/>
  <c r="M35" s="1"/>
  <c r="C22" i="1"/>
  <c r="C114" s="1"/>
  <c r="C160" s="1"/>
  <c r="M17" i="2"/>
  <c r="E262" i="12"/>
  <c r="N15" i="2"/>
  <c r="G18"/>
  <c r="N19"/>
  <c r="K18"/>
  <c r="L23"/>
  <c r="L22" s="1"/>
  <c r="D325"/>
  <c r="L473"/>
  <c r="N368"/>
  <c r="N367" s="1"/>
  <c r="G530"/>
  <c r="G529" s="1"/>
  <c r="N531"/>
  <c r="N530" s="1"/>
  <c r="N529" s="1"/>
  <c r="G201" i="6"/>
  <c r="G197" s="1"/>
  <c r="N202"/>
  <c r="N106"/>
  <c r="N105" s="1"/>
  <c r="N96"/>
  <c r="N95" s="1"/>
  <c r="G301"/>
  <c r="N144"/>
  <c r="C94" i="12"/>
  <c r="C464"/>
  <c r="C259"/>
  <c r="C274"/>
  <c r="C49"/>
  <c r="C469"/>
  <c r="C269"/>
  <c r="E435"/>
  <c r="E47"/>
  <c r="D46" s="1"/>
  <c r="C191"/>
  <c r="J228"/>
  <c r="I14" i="6"/>
  <c r="F18" i="1" s="1"/>
  <c r="J120" i="6"/>
  <c r="J119" s="1"/>
  <c r="J17"/>
  <c r="G23" i="1" s="1"/>
  <c r="L120" i="6"/>
  <c r="L119" s="1"/>
  <c r="L17"/>
  <c r="I23" i="1" s="1"/>
  <c r="H120" i="6"/>
  <c r="H119" s="1"/>
  <c r="H17"/>
  <c r="E23" i="1" s="1"/>
  <c r="E253" i="12"/>
  <c r="G105" i="6"/>
  <c r="K228" i="12"/>
  <c r="N51" i="4"/>
  <c r="G22" i="12"/>
  <c r="E22" s="1"/>
  <c r="D21" s="1"/>
  <c r="D51" i="3"/>
  <c r="N16"/>
  <c r="N15" s="1"/>
  <c r="N33"/>
  <c r="N32" s="1"/>
  <c r="N527" i="2"/>
  <c r="N526" s="1"/>
  <c r="E63" i="12"/>
  <c r="C54"/>
  <c r="E424"/>
  <c r="H601"/>
  <c r="L50" i="1"/>
  <c r="E25" i="12"/>
  <c r="C24" s="1"/>
  <c r="C104"/>
  <c r="E112"/>
  <c r="D111" s="1"/>
  <c r="E462"/>
  <c r="D461" s="1"/>
  <c r="E536"/>
  <c r="D535" s="1"/>
  <c r="E215"/>
  <c r="E267"/>
  <c r="D266" s="1"/>
  <c r="E92"/>
  <c r="D91" s="1"/>
  <c r="E85"/>
  <c r="E531"/>
  <c r="E534"/>
  <c r="E529" s="1"/>
  <c r="E290"/>
  <c r="C289" s="1"/>
  <c r="C89"/>
  <c r="E108"/>
  <c r="E453"/>
  <c r="E418"/>
  <c r="E423"/>
  <c r="E38"/>
  <c r="C299"/>
  <c r="C249"/>
  <c r="H48" i="1"/>
  <c r="N124" i="6"/>
  <c r="N119" s="1"/>
  <c r="L147" i="8"/>
  <c r="G147"/>
  <c r="K287" i="12"/>
  <c r="F16" i="13"/>
  <c r="G14"/>
  <c r="G12" s="1"/>
  <c r="D47"/>
  <c r="D14" s="1"/>
  <c r="D12" s="1"/>
  <c r="D53"/>
  <c r="D18" s="1"/>
  <c r="D37" i="10"/>
  <c r="D26" s="1"/>
  <c r="F37"/>
  <c r="H37"/>
  <c r="J37"/>
  <c r="J26" s="1"/>
  <c r="E36"/>
  <c r="F36"/>
  <c r="E37"/>
  <c r="G37"/>
  <c r="I37"/>
  <c r="I26" s="1"/>
  <c r="D36"/>
  <c r="M257" i="12"/>
  <c r="P30" i="8"/>
  <c r="P24"/>
  <c r="D34"/>
  <c r="D33" s="1"/>
  <c r="D10" s="1"/>
  <c r="I257" i="12"/>
  <c r="N45" i="8"/>
  <c r="N44" s="1"/>
  <c r="D22"/>
  <c r="N36"/>
  <c r="N33" s="1"/>
  <c r="J55" i="1"/>
  <c r="N55"/>
  <c r="D12" i="8"/>
  <c r="F120" i="6"/>
  <c r="F119" s="1"/>
  <c r="D121"/>
  <c r="G255" i="12"/>
  <c r="E255" s="1"/>
  <c r="F220" i="6"/>
  <c r="F270" s="1"/>
  <c r="J29" i="1"/>
  <c r="D125" i="6"/>
  <c r="D124" s="1"/>
  <c r="D282" s="1"/>
  <c r="G87" i="1"/>
  <c r="J61"/>
  <c r="N61"/>
  <c r="I32" i="3"/>
  <c r="J219" i="12" s="1"/>
  <c r="J210" s="1"/>
  <c r="D33" i="3"/>
  <c r="D16" s="1"/>
  <c r="D15" s="1"/>
  <c r="E25" i="1"/>
  <c r="E113" s="1"/>
  <c r="F26" i="3"/>
  <c r="G218" i="12" s="1"/>
  <c r="E218" s="1"/>
  <c r="D27" i="3"/>
  <c r="D12" s="1"/>
  <c r="D11" s="1"/>
  <c r="F62"/>
  <c r="D23" i="10" s="1"/>
  <c r="M368" i="2"/>
  <c r="M367" s="1"/>
  <c r="D442"/>
  <c r="D369" s="1"/>
  <c r="E483" i="12"/>
  <c r="E21" i="2"/>
  <c r="E30"/>
  <c r="E29" s="1"/>
  <c r="E18"/>
  <c r="N56" i="1"/>
  <c r="O56" s="1"/>
  <c r="E27" i="2"/>
  <c r="B32" i="1" s="1"/>
  <c r="J59"/>
  <c r="O59" s="1"/>
  <c r="D174" i="6"/>
  <c r="D104" i="3"/>
  <c r="D284" s="1"/>
  <c r="D145" i="2"/>
  <c r="B69" i="1"/>
  <c r="J69" s="1"/>
  <c r="D30" i="7"/>
  <c r="D29" s="1"/>
  <c r="D15"/>
  <c r="D21"/>
  <c r="D17" s="1"/>
  <c r="D53"/>
  <c r="D50" s="1"/>
  <c r="D25"/>
  <c r="D24" s="1"/>
  <c r="N36" i="2"/>
  <c r="K12"/>
  <c r="I8"/>
  <c r="D26"/>
  <c r="D417"/>
  <c r="D25"/>
  <c r="E87" i="12"/>
  <c r="D86" s="1"/>
  <c r="I29" i="2"/>
  <c r="I22" s="1"/>
  <c r="I679" s="1"/>
  <c r="L18"/>
  <c r="E72"/>
  <c r="E68" s="1"/>
  <c r="D119"/>
  <c r="D114" s="1"/>
  <c r="E61"/>
  <c r="D62"/>
  <c r="D61" s="1"/>
  <c r="N466"/>
  <c r="H31" i="1"/>
  <c r="H121" s="1"/>
  <c r="H167" s="1"/>
  <c r="B21"/>
  <c r="H122" i="12"/>
  <c r="C31" i="1"/>
  <c r="C28" s="1"/>
  <c r="G601" i="12"/>
  <c r="P37" i="6"/>
  <c r="D36"/>
  <c r="D35" s="1"/>
  <c r="G34" i="12"/>
  <c r="H150" i="6"/>
  <c r="I40" i="12" s="1"/>
  <c r="I11" s="1"/>
  <c r="D193" i="6"/>
  <c r="D192" s="1"/>
  <c r="D214"/>
  <c r="D213" s="1"/>
  <c r="G143"/>
  <c r="G19" s="1"/>
  <c r="D26" i="1" s="1"/>
  <c r="H21" i="6"/>
  <c r="H20" s="1"/>
  <c r="E31" i="1"/>
  <c r="J21" i="6"/>
  <c r="G31" i="1"/>
  <c r="G121" s="1"/>
  <c r="G167" s="1"/>
  <c r="H21"/>
  <c r="H112" s="1"/>
  <c r="H158" s="1"/>
  <c r="K594" i="12"/>
  <c r="K597" s="1"/>
  <c r="G526" i="2"/>
  <c r="D564"/>
  <c r="D563" s="1"/>
  <c r="G21" i="1"/>
  <c r="G112" s="1"/>
  <c r="G158" s="1"/>
  <c r="I21"/>
  <c r="I112" s="1"/>
  <c r="I158" s="1"/>
  <c r="E21"/>
  <c r="E112" s="1"/>
  <c r="E158" s="1"/>
  <c r="D15" i="9"/>
  <c r="D10" s="1"/>
  <c r="D84"/>
  <c r="D83" s="1"/>
  <c r="D209" i="6"/>
  <c r="L94"/>
  <c r="N269" i="9"/>
  <c r="F80" i="12"/>
  <c r="E80" s="1"/>
  <c r="C79" s="1"/>
  <c r="D75" i="9"/>
  <c r="D74" s="1"/>
  <c r="J269"/>
  <c r="G38"/>
  <c r="G9" s="1"/>
  <c r="N38"/>
  <c r="F83"/>
  <c r="F9" s="1"/>
  <c r="G84" i="12"/>
  <c r="E84" s="1"/>
  <c r="F475"/>
  <c r="E475" s="1"/>
  <c r="C474" s="1"/>
  <c r="E302" i="9"/>
  <c r="E279" s="1"/>
  <c r="D22"/>
  <c r="D18" s="1"/>
  <c r="G118"/>
  <c r="G8" s="1"/>
  <c r="H82" i="12"/>
  <c r="H297"/>
  <c r="J414"/>
  <c r="G73"/>
  <c r="G297"/>
  <c r="N15" i="9"/>
  <c r="N10" s="1"/>
  <c r="E75" i="2"/>
  <c r="E74" s="1"/>
  <c r="E9"/>
  <c r="H31"/>
  <c r="G31"/>
  <c r="J9"/>
  <c r="J8" s="1"/>
  <c r="E63" i="1"/>
  <c r="E62" s="1"/>
  <c r="E72" s="1"/>
  <c r="K23" i="2"/>
  <c r="K22" s="1"/>
  <c r="K679" s="1"/>
  <c r="F63" i="1"/>
  <c r="F62" s="1"/>
  <c r="F72" s="1"/>
  <c r="F86" s="1"/>
  <c r="I526" i="2"/>
  <c r="H52" i="13"/>
  <c r="I279" i="12" s="1"/>
  <c r="N190" i="6"/>
  <c r="I143"/>
  <c r="I19" s="1"/>
  <c r="F26" i="1" s="1"/>
  <c r="D301" i="6"/>
  <c r="B60" i="1"/>
  <c r="N60" s="1"/>
  <c r="G119" i="13"/>
  <c r="G121" s="1"/>
  <c r="G122" s="1"/>
  <c r="D54" i="1" s="1"/>
  <c r="N36" i="13"/>
  <c r="F277" i="12"/>
  <c r="H46" i="13"/>
  <c r="G45"/>
  <c r="E30" i="10" s="1"/>
  <c r="H278" i="12"/>
  <c r="G278"/>
  <c r="F45" i="13"/>
  <c r="D30" i="10" s="1"/>
  <c r="I11" i="13"/>
  <c r="I45"/>
  <c r="G30" i="10" s="1"/>
  <c r="J278" i="12"/>
  <c r="I119" i="1"/>
  <c r="I165" s="1"/>
  <c r="F29" i="12"/>
  <c r="D86" i="6"/>
  <c r="D83" s="1"/>
  <c r="F27" i="12"/>
  <c r="D73" i="6"/>
  <c r="D72" s="1"/>
  <c r="E238"/>
  <c r="N299"/>
  <c r="D194"/>
  <c r="D298"/>
  <c r="M298" s="1"/>
  <c r="G208"/>
  <c r="G151"/>
  <c r="C87" i="1"/>
  <c r="D423" i="2"/>
  <c r="D422" s="1"/>
  <c r="D533"/>
  <c r="P533" s="1"/>
  <c r="H530"/>
  <c r="H529" s="1"/>
  <c r="D481" i="12"/>
  <c r="D170" i="6"/>
  <c r="L150"/>
  <c r="H142"/>
  <c r="H138" s="1"/>
  <c r="J142"/>
  <c r="K39" i="12" s="1"/>
  <c r="K14" s="1"/>
  <c r="L142" i="6"/>
  <c r="F248" i="12"/>
  <c r="E248" s="1"/>
  <c r="E270" i="6"/>
  <c r="I150"/>
  <c r="K150"/>
  <c r="F150"/>
  <c r="D181"/>
  <c r="D178" s="1"/>
  <c r="D146" s="1"/>
  <c r="K138"/>
  <c r="F25" i="3"/>
  <c r="N26"/>
  <c r="D241" i="12"/>
  <c r="J415"/>
  <c r="J588" s="1"/>
  <c r="J586" s="1"/>
  <c r="I601"/>
  <c r="G580"/>
  <c r="J102" i="13"/>
  <c r="J101" s="1"/>
  <c r="G53" i="1"/>
  <c r="G52" s="1"/>
  <c r="G71" s="1"/>
  <c r="F25"/>
  <c r="F113" s="1"/>
  <c r="H35" i="10"/>
  <c r="F55" i="3"/>
  <c r="F35" i="10"/>
  <c r="F220" i="12"/>
  <c r="D66" i="3"/>
  <c r="D62" s="1"/>
  <c r="I38"/>
  <c r="I283" s="1"/>
  <c r="J220" i="12"/>
  <c r="J207" s="1"/>
  <c r="G38" i="3"/>
  <c r="G283" s="1"/>
  <c r="H220" i="12"/>
  <c r="H207" s="1"/>
  <c r="J613"/>
  <c r="J618" s="1"/>
  <c r="J617" s="1"/>
  <c r="H287"/>
  <c r="J24" i="6"/>
  <c r="J150"/>
  <c r="I40" i="1"/>
  <c r="L24" i="6"/>
  <c r="L20" s="1"/>
  <c r="E48" i="1"/>
  <c r="D134" i="2"/>
  <c r="D129" s="1"/>
  <c r="P136"/>
  <c r="D127" i="9"/>
  <c r="I287" i="12"/>
  <c r="K32"/>
  <c r="G287"/>
  <c r="N242" i="6"/>
  <c r="N241" s="1"/>
  <c r="F242"/>
  <c r="F241" s="1"/>
  <c r="D95" i="3"/>
  <c r="D92" s="1"/>
  <c r="D58"/>
  <c r="D55" s="1"/>
  <c r="H42" i="12"/>
  <c r="J42"/>
  <c r="J610"/>
  <c r="J609" s="1"/>
  <c r="J62"/>
  <c r="P508" i="2"/>
  <c r="B34" i="1"/>
  <c r="I457" i="12"/>
  <c r="G457"/>
  <c r="D93" i="2"/>
  <c r="D92" s="1"/>
  <c r="E93"/>
  <c r="E92" s="1"/>
  <c r="G25" i="1"/>
  <c r="G113" s="1"/>
  <c r="G159" s="1"/>
  <c r="J18" i="2"/>
  <c r="D602"/>
  <c r="D601" s="1"/>
  <c r="D527" s="1"/>
  <c r="E81"/>
  <c r="F203" i="12" s="1"/>
  <c r="E203" s="1"/>
  <c r="E477" i="2"/>
  <c r="D173"/>
  <c r="D169" s="1"/>
  <c r="D429"/>
  <c r="F459" i="12"/>
  <c r="E459" s="1"/>
  <c r="D391" i="2"/>
  <c r="E439" i="12"/>
  <c r="C439" s="1"/>
  <c r="E467" i="2"/>
  <c r="E482"/>
  <c r="B22" i="1"/>
  <c r="D379" i="2"/>
  <c r="D378" s="1"/>
  <c r="E433" i="12"/>
  <c r="E55" i="2"/>
  <c r="P465"/>
  <c r="E420" i="12"/>
  <c r="D510" i="2"/>
  <c r="D509" s="1"/>
  <c r="D508" s="1"/>
  <c r="D518"/>
  <c r="D517" s="1"/>
  <c r="F28" i="1"/>
  <c r="D146" i="12"/>
  <c r="F526" i="2"/>
  <c r="D400"/>
  <c r="D399" s="1"/>
  <c r="E443" i="12"/>
  <c r="G452"/>
  <c r="E101" i="2"/>
  <c r="E98" s="1"/>
  <c r="D104"/>
  <c r="D68"/>
  <c r="D121"/>
  <c r="D427"/>
  <c r="F57" i="12"/>
  <c r="E57" s="1"/>
  <c r="F59"/>
  <c r="E59" s="1"/>
  <c r="C59" s="1"/>
  <c r="D409" i="2"/>
  <c r="D408" s="1"/>
  <c r="N41"/>
  <c r="F455" i="12"/>
  <c r="E455" s="1"/>
  <c r="E450"/>
  <c r="D84" i="2"/>
  <c r="E84"/>
  <c r="D506" i="12"/>
  <c r="E480"/>
  <c r="C479" s="1"/>
  <c r="E470" i="2"/>
  <c r="F441"/>
  <c r="G284" i="12" s="1"/>
  <c r="G210" s="1"/>
  <c r="N441" i="2"/>
  <c r="F454" i="12"/>
  <c r="E454" s="1"/>
  <c r="F452"/>
  <c r="E444"/>
  <c r="C444" s="1"/>
  <c r="F460"/>
  <c r="E460" s="1"/>
  <c r="D472" i="2"/>
  <c r="D21" s="1"/>
  <c r="D486"/>
  <c r="E434" i="12"/>
  <c r="B25" i="1"/>
  <c r="F428" i="12"/>
  <c r="E428" s="1"/>
  <c r="F427"/>
  <c r="D496"/>
  <c r="L12" i="2"/>
  <c r="J29"/>
  <c r="G40" i="1"/>
  <c r="F23" i="2"/>
  <c r="J23"/>
  <c r="F521" i="12"/>
  <c r="E521" s="1"/>
  <c r="C520" s="1"/>
  <c r="N16" i="2"/>
  <c r="F62" i="12"/>
  <c r="B64" i="1"/>
  <c r="D80" i="4"/>
  <c r="D65"/>
  <c r="D79"/>
  <c r="B58" i="1"/>
  <c r="N58" s="1"/>
  <c r="F45" i="3"/>
  <c r="E223" i="12"/>
  <c r="I97"/>
  <c r="H97"/>
  <c r="E289" i="6"/>
  <c r="I613" i="12"/>
  <c r="C119" i="1"/>
  <c r="G119"/>
  <c r="D119"/>
  <c r="H119"/>
  <c r="F282" i="12"/>
  <c r="F364" i="2"/>
  <c r="H364"/>
  <c r="H363" s="1"/>
  <c r="G364"/>
  <c r="G283" i="12"/>
  <c r="J12" i="2"/>
  <c r="H283" i="12"/>
  <c r="G435" i="2"/>
  <c r="I110" i="1"/>
  <c r="E165"/>
  <c r="F165"/>
  <c r="G42" i="12"/>
  <c r="H629" l="1"/>
  <c r="I630"/>
  <c r="J628"/>
  <c r="J630"/>
  <c r="K41" i="10"/>
  <c r="H630" i="12"/>
  <c r="D9" i="9"/>
  <c r="H414" i="12"/>
  <c r="G207"/>
  <c r="K629"/>
  <c r="E86" i="1"/>
  <c r="H623" i="12"/>
  <c r="H622" s="1"/>
  <c r="I623"/>
  <c r="I622" s="1"/>
  <c r="I210"/>
  <c r="L603"/>
  <c r="L601" s="1"/>
  <c r="D236"/>
  <c r="M20" i="2"/>
  <c r="E26" i="1"/>
  <c r="I154"/>
  <c r="J32"/>
  <c r="J123" s="1"/>
  <c r="J169" s="1"/>
  <c r="B123"/>
  <c r="N20" i="2"/>
  <c r="E352" i="12"/>
  <c r="D351" s="1"/>
  <c r="G92" i="1"/>
  <c r="D436" i="2"/>
  <c r="D365"/>
  <c r="D373"/>
  <c r="D19"/>
  <c r="D20"/>
  <c r="N435"/>
  <c r="L594" i="12"/>
  <c r="L597" s="1"/>
  <c r="F84" i="1"/>
  <c r="D84"/>
  <c r="G84"/>
  <c r="G78" s="1"/>
  <c r="E84"/>
  <c r="E78" s="1"/>
  <c r="J7" i="3"/>
  <c r="H435" i="2"/>
  <c r="F28" i="10" s="1"/>
  <c r="L7" i="3"/>
  <c r="N465" i="2"/>
  <c r="I28" i="1"/>
  <c r="N18" i="13"/>
  <c r="N16" s="1"/>
  <c r="K7" i="3"/>
  <c r="K18" i="6"/>
  <c r="K12" s="1"/>
  <c r="H26" i="1"/>
  <c r="H115" s="1"/>
  <c r="H161" s="1"/>
  <c r="D18"/>
  <c r="D108" s="1"/>
  <c r="K301" i="9"/>
  <c r="K302" s="1"/>
  <c r="J301"/>
  <c r="J302" s="1"/>
  <c r="J18" i="6"/>
  <c r="G26" i="1"/>
  <c r="G115" s="1"/>
  <c r="G161" s="1"/>
  <c r="M269" i="9"/>
  <c r="H147" i="6"/>
  <c r="F8" i="10" s="1"/>
  <c r="K94" i="6"/>
  <c r="G14" i="12"/>
  <c r="E54" i="1"/>
  <c r="M18" i="13"/>
  <c r="M16" s="1"/>
  <c r="K14" i="10"/>
  <c r="D50" i="8"/>
  <c r="D144" s="1"/>
  <c r="D146" s="1"/>
  <c r="D25" i="1"/>
  <c r="L25" s="1"/>
  <c r="D14" i="6"/>
  <c r="I293"/>
  <c r="I304" s="1"/>
  <c r="I53" i="1"/>
  <c r="I52" s="1"/>
  <c r="F54"/>
  <c r="F53" s="1"/>
  <c r="F52" s="1"/>
  <c r="F71" s="1"/>
  <c r="J88"/>
  <c r="N88" i="5"/>
  <c r="K40" i="10"/>
  <c r="P40" s="1"/>
  <c r="L40"/>
  <c r="H7" i="9"/>
  <c r="D186" i="6"/>
  <c r="E252" i="12"/>
  <c r="D251" s="1"/>
  <c r="G119" i="6"/>
  <c r="G11" s="1"/>
  <c r="D14" i="1" s="1"/>
  <c r="H322" i="12"/>
  <c r="F283" i="3"/>
  <c r="F285" s="1"/>
  <c r="F286" s="1"/>
  <c r="D283"/>
  <c r="I322" i="12"/>
  <c r="F8" i="3"/>
  <c r="F7" s="1"/>
  <c r="G322" i="12"/>
  <c r="G227"/>
  <c r="K13" i="10"/>
  <c r="D24"/>
  <c r="K24" s="1"/>
  <c r="K10" i="6"/>
  <c r="H13" i="1" s="1"/>
  <c r="C449" i="12"/>
  <c r="F19" i="2"/>
  <c r="M19" s="1"/>
  <c r="N14" i="13"/>
  <c r="N12" s="1"/>
  <c r="D19" i="1"/>
  <c r="L19" s="1"/>
  <c r="E400" i="12"/>
  <c r="D399" s="1"/>
  <c r="L57" i="1"/>
  <c r="L109" s="1"/>
  <c r="L42" i="10"/>
  <c r="K49" i="1"/>
  <c r="K48" s="1"/>
  <c r="L49"/>
  <c r="L48" s="1"/>
  <c r="M13" i="10"/>
  <c r="D52" i="13"/>
  <c r="P38" i="3"/>
  <c r="G142" i="6"/>
  <c r="H39" i="12" s="1"/>
  <c r="H14" s="1"/>
  <c r="C324"/>
  <c r="H154" i="1"/>
  <c r="H17"/>
  <c r="L605" i="12" s="1"/>
  <c r="L227"/>
  <c r="L208" s="1"/>
  <c r="N14" i="6"/>
  <c r="N13" s="1"/>
  <c r="I414" i="12"/>
  <c r="C99"/>
  <c r="E425"/>
  <c r="C424" s="1"/>
  <c r="F415"/>
  <c r="E284"/>
  <c r="C284" s="1"/>
  <c r="D44" i="8"/>
  <c r="D9" s="1"/>
  <c r="D8" s="1"/>
  <c r="L679" i="2"/>
  <c r="L680" s="1"/>
  <c r="L681" s="1"/>
  <c r="E257" i="12"/>
  <c r="D256" s="1"/>
  <c r="G25" i="3"/>
  <c r="G8" s="1"/>
  <c r="H25"/>
  <c r="H8" s="1"/>
  <c r="L285"/>
  <c r="L286" s="1"/>
  <c r="D32"/>
  <c r="H8" i="8"/>
  <c r="M467" i="2"/>
  <c r="M466" s="1"/>
  <c r="M465" s="1"/>
  <c r="E13"/>
  <c r="E12" s="1"/>
  <c r="E11" s="1"/>
  <c r="G86" i="1"/>
  <c r="E41"/>
  <c r="J57"/>
  <c r="H77" i="12"/>
  <c r="E77" s="1"/>
  <c r="D76" s="1"/>
  <c r="N9" i="9"/>
  <c r="P7"/>
  <c r="D114" i="1"/>
  <c r="D160" s="1"/>
  <c r="F147" i="8"/>
  <c r="N8" i="9"/>
  <c r="H94" i="6"/>
  <c r="F7" i="10" s="1"/>
  <c r="F10" i="6"/>
  <c r="F293"/>
  <c r="F304" s="1"/>
  <c r="K20" i="1"/>
  <c r="K111" s="1"/>
  <c r="F26" i="10"/>
  <c r="D302" i="9"/>
  <c r="R10" i="7"/>
  <c r="C254" i="12"/>
  <c r="F7" i="9"/>
  <c r="D188" i="7"/>
  <c r="H26" i="10"/>
  <c r="L301" i="9"/>
  <c r="L302" s="1"/>
  <c r="H84" i="1"/>
  <c r="H78" s="1"/>
  <c r="E567" i="12"/>
  <c r="L10" i="6"/>
  <c r="I13" i="1" s="1"/>
  <c r="J11" i="6"/>
  <c r="G14" i="1" s="1"/>
  <c r="F11" i="6"/>
  <c r="H11"/>
  <c r="L11"/>
  <c r="K293"/>
  <c r="K304" s="1"/>
  <c r="J10"/>
  <c r="G13" i="1" s="1"/>
  <c r="K11" i="6"/>
  <c r="I10"/>
  <c r="I9" s="1"/>
  <c r="J20"/>
  <c r="F138"/>
  <c r="D7" i="10" s="1"/>
  <c r="J13" i="6"/>
  <c r="J22" i="1"/>
  <c r="G111"/>
  <c r="G157" s="1"/>
  <c r="B169"/>
  <c r="D45" i="3"/>
  <c r="E122" i="12"/>
  <c r="D121" s="1"/>
  <c r="E132"/>
  <c r="D131" s="1"/>
  <c r="G414"/>
  <c r="D292" i="6"/>
  <c r="M292" s="1"/>
  <c r="G217" i="12"/>
  <c r="M25" i="3"/>
  <c r="M8" s="1"/>
  <c r="D64" i="4"/>
  <c r="M89" i="1"/>
  <c r="I25" i="3"/>
  <c r="I8" s="1"/>
  <c r="F29" i="2"/>
  <c r="F22" s="1"/>
  <c r="F679" s="1"/>
  <c r="M13"/>
  <c r="M12" s="1"/>
  <c r="L21" i="1"/>
  <c r="L112" s="1"/>
  <c r="N45" i="13"/>
  <c r="E279" i="12"/>
  <c r="C279" s="1"/>
  <c r="M12" i="3"/>
  <c r="M11" s="1"/>
  <c r="M10" s="1"/>
  <c r="M23" i="10"/>
  <c r="C533" i="12"/>
  <c r="M201" i="6"/>
  <c r="M197" s="1"/>
  <c r="M11" s="1"/>
  <c r="F18"/>
  <c r="M19"/>
  <c r="P19" s="1"/>
  <c r="M143"/>
  <c r="M142" s="1"/>
  <c r="M138" s="1"/>
  <c r="M14"/>
  <c r="P14" s="1"/>
  <c r="I37" i="12"/>
  <c r="I12" s="1"/>
  <c r="N201" i="6"/>
  <c r="N197" s="1"/>
  <c r="N11" s="1"/>
  <c r="D201"/>
  <c r="D197" s="1"/>
  <c r="P23" i="8"/>
  <c r="P14"/>
  <c r="M94" i="6"/>
  <c r="E29" i="12"/>
  <c r="G636"/>
  <c r="G630" s="1"/>
  <c r="F10" i="8"/>
  <c r="M10" s="1"/>
  <c r="D17" i="10"/>
  <c r="H92" i="1"/>
  <c r="K57"/>
  <c r="K109" s="1"/>
  <c r="H109"/>
  <c r="H155" s="1"/>
  <c r="I13" i="6"/>
  <c r="G363" i="2"/>
  <c r="E28" i="10" s="1"/>
  <c r="K11" i="2"/>
  <c r="M42" i="10"/>
  <c r="K42"/>
  <c r="D126" i="12"/>
  <c r="L36" i="10"/>
  <c r="D16" i="13"/>
  <c r="D11" s="1"/>
  <c r="P25"/>
  <c r="K22" i="1"/>
  <c r="K114" s="1"/>
  <c r="M363" i="2"/>
  <c r="C434" i="12"/>
  <c r="C84"/>
  <c r="K19" i="10"/>
  <c r="L19"/>
  <c r="M8" i="9"/>
  <c r="K21" i="1"/>
  <c r="K112" s="1"/>
  <c r="M9" i="8"/>
  <c r="L13" i="10"/>
  <c r="M11" i="5"/>
  <c r="M10" s="1"/>
  <c r="N11"/>
  <c r="N10" s="1"/>
  <c r="G102" i="13"/>
  <c r="G101" s="1"/>
  <c r="M45"/>
  <c r="M14"/>
  <c r="M12" s="1"/>
  <c r="C19" i="1"/>
  <c r="C110" s="1"/>
  <c r="C156" s="1"/>
  <c r="M44" i="8"/>
  <c r="E189" i="12"/>
  <c r="D188" s="1"/>
  <c r="N301" i="6"/>
  <c r="M301"/>
  <c r="N35" i="2"/>
  <c r="M21"/>
  <c r="C18" i="1"/>
  <c r="C26"/>
  <c r="C115" s="1"/>
  <c r="C161" s="1"/>
  <c r="M36" i="10"/>
  <c r="O55" i="1"/>
  <c r="M40" i="10"/>
  <c r="P529" i="2"/>
  <c r="N12"/>
  <c r="D151" i="6"/>
  <c r="D25" s="1"/>
  <c r="G25"/>
  <c r="D35" i="1" s="1"/>
  <c r="J35" s="1"/>
  <c r="E42" i="12"/>
  <c r="D41" s="1"/>
  <c r="E62"/>
  <c r="D61" s="1"/>
  <c r="E422"/>
  <c r="D421" s="1"/>
  <c r="N94" i="6"/>
  <c r="L13"/>
  <c r="I17" i="1"/>
  <c r="M606" i="12" s="1"/>
  <c r="N143" i="6"/>
  <c r="N142" s="1"/>
  <c r="N138" s="1"/>
  <c r="H13"/>
  <c r="H229" i="12"/>
  <c r="H210" s="1"/>
  <c r="G94" i="6"/>
  <c r="D34" i="10"/>
  <c r="P33" i="3"/>
  <c r="N363" i="2"/>
  <c r="J623" i="12"/>
  <c r="J622" s="1"/>
  <c r="K622"/>
  <c r="L582"/>
  <c r="L11" i="2"/>
  <c r="E34" i="12"/>
  <c r="E32"/>
  <c r="E452"/>
  <c r="D451" s="1"/>
  <c r="N10" i="3"/>
  <c r="C454" i="12"/>
  <c r="E297"/>
  <c r="D296" s="1"/>
  <c r="E283"/>
  <c r="E97"/>
  <c r="E427"/>
  <c r="D426" s="1"/>
  <c r="C459"/>
  <c r="E184"/>
  <c r="D183" s="1"/>
  <c r="E225"/>
  <c r="E224"/>
  <c r="E287"/>
  <c r="D286" s="1"/>
  <c r="E220"/>
  <c r="E489"/>
  <c r="D486" s="1"/>
  <c r="E27"/>
  <c r="E219"/>
  <c r="F11" i="13"/>
  <c r="K36" i="10"/>
  <c r="K37"/>
  <c r="G11" i="13"/>
  <c r="D28" i="8"/>
  <c r="D21" s="1"/>
  <c r="P21"/>
  <c r="P15"/>
  <c r="P25"/>
  <c r="P29"/>
  <c r="P16"/>
  <c r="D16"/>
  <c r="D11" s="1"/>
  <c r="D20" i="10"/>
  <c r="K20" s="1"/>
  <c r="I39" i="12"/>
  <c r="I14" s="1"/>
  <c r="D26" i="3"/>
  <c r="G212" i="12"/>
  <c r="F76" i="1"/>
  <c r="N57"/>
  <c r="E23" i="2"/>
  <c r="E22" s="1"/>
  <c r="E679" s="1"/>
  <c r="B119" i="1"/>
  <c r="B165" s="1"/>
  <c r="J64"/>
  <c r="M64" s="1"/>
  <c r="J58"/>
  <c r="M65" s="1"/>
  <c r="B113"/>
  <c r="B159" s="1"/>
  <c r="J20"/>
  <c r="N20"/>
  <c r="B112"/>
  <c r="B158" s="1"/>
  <c r="J21"/>
  <c r="N22"/>
  <c r="J138" i="6"/>
  <c r="H7" i="10" s="1"/>
  <c r="N21" i="1"/>
  <c r="D143" i="6"/>
  <c r="D19" s="1"/>
  <c r="E119" i="13"/>
  <c r="E121" s="1"/>
  <c r="E122" s="1"/>
  <c r="D10" i="7"/>
  <c r="D290" i="6"/>
  <c r="J68" i="1"/>
  <c r="B68"/>
  <c r="J11" i="2"/>
  <c r="H28" i="1"/>
  <c r="J22" i="2"/>
  <c r="D531"/>
  <c r="B31" i="1"/>
  <c r="J31" s="1"/>
  <c r="G18" i="6"/>
  <c r="G12" s="1"/>
  <c r="D536" i="2"/>
  <c r="D535" s="1"/>
  <c r="F363"/>
  <c r="H302" i="9"/>
  <c r="D530" i="12"/>
  <c r="G301" i="9"/>
  <c r="G302" s="1"/>
  <c r="G279" s="1"/>
  <c r="G278" s="1"/>
  <c r="G277" s="1"/>
  <c r="J293" i="6"/>
  <c r="J304" s="1"/>
  <c r="M227" i="12"/>
  <c r="M208" s="1"/>
  <c r="L293" i="6"/>
  <c r="L304" s="1"/>
  <c r="F302" i="9"/>
  <c r="F279" s="1"/>
  <c r="F472" i="12"/>
  <c r="F473"/>
  <c r="E473" s="1"/>
  <c r="G82"/>
  <c r="F73"/>
  <c r="E73" s="1"/>
  <c r="H292"/>
  <c r="G72"/>
  <c r="E278" i="9"/>
  <c r="E277" s="1"/>
  <c r="K582" i="12"/>
  <c r="D75" i="2"/>
  <c r="D74" s="1"/>
  <c r="P39"/>
  <c r="D470"/>
  <c r="G29"/>
  <c r="G22" s="1"/>
  <c r="D34" i="1"/>
  <c r="D124" s="1"/>
  <c r="D170" s="1"/>
  <c r="E32" i="10"/>
  <c r="G9" i="2"/>
  <c r="F32" i="10"/>
  <c r="F435" i="2"/>
  <c r="G282" i="12" s="1"/>
  <c r="D426" i="2"/>
  <c r="B50" i="1"/>
  <c r="N50" s="1"/>
  <c r="E34"/>
  <c r="H29" i="2"/>
  <c r="H22" s="1"/>
  <c r="E54"/>
  <c r="D55"/>
  <c r="D54" s="1"/>
  <c r="D556"/>
  <c r="D555" s="1"/>
  <c r="P53" i="13"/>
  <c r="I142" i="6"/>
  <c r="J60" i="1"/>
  <c r="O60" s="1"/>
  <c r="O61"/>
  <c r="J277" i="12"/>
  <c r="I9" i="13"/>
  <c r="I8" s="1"/>
  <c r="G277" i="12"/>
  <c r="F9" i="13"/>
  <c r="H277" i="12"/>
  <c r="G9" i="13"/>
  <c r="I278" i="12"/>
  <c r="E278" s="1"/>
  <c r="H45" i="13"/>
  <c r="F30" i="10" s="1"/>
  <c r="D46" i="13"/>
  <c r="P47"/>
  <c r="H11"/>
  <c r="D208" i="6"/>
  <c r="D205" s="1"/>
  <c r="G205"/>
  <c r="G150"/>
  <c r="D300"/>
  <c r="N298"/>
  <c r="D254"/>
  <c r="D253" s="1"/>
  <c r="D243"/>
  <c r="D242" s="1"/>
  <c r="D241" s="1"/>
  <c r="F13"/>
  <c r="D501" i="12"/>
  <c r="F107"/>
  <c r="E481" i="2"/>
  <c r="E490" i="12"/>
  <c r="E473" i="2"/>
  <c r="E488" i="12"/>
  <c r="E485"/>
  <c r="C484" s="1"/>
  <c r="M40"/>
  <c r="M11" s="1"/>
  <c r="L147" i="6"/>
  <c r="J8" i="10" s="1"/>
  <c r="L18" i="6"/>
  <c r="H18"/>
  <c r="L138"/>
  <c r="J7" i="10" s="1"/>
  <c r="M39" i="12"/>
  <c r="M14" s="1"/>
  <c r="F247"/>
  <c r="D78" i="6"/>
  <c r="D77" s="1"/>
  <c r="G28" i="1"/>
  <c r="G40" i="12"/>
  <c r="G11" s="1"/>
  <c r="F147" i="6"/>
  <c r="D8" i="10" s="1"/>
  <c r="L40" i="12"/>
  <c r="L11" s="1"/>
  <c r="K147" i="6"/>
  <c r="I8" i="10" s="1"/>
  <c r="I24" i="6"/>
  <c r="I20" s="1"/>
  <c r="F40" i="1"/>
  <c r="L37" i="12"/>
  <c r="L12" s="1"/>
  <c r="D148" i="6"/>
  <c r="D23"/>
  <c r="D21" s="1"/>
  <c r="C40" i="1"/>
  <c r="F24" i="6"/>
  <c r="F20" s="1"/>
  <c r="K24"/>
  <c r="K20" s="1"/>
  <c r="H40" i="1"/>
  <c r="J40" i="12"/>
  <c r="J11" s="1"/>
  <c r="I147" i="6"/>
  <c r="G8" i="10" s="1"/>
  <c r="N25" i="3"/>
  <c r="N8" s="1"/>
  <c r="K680" i="2"/>
  <c r="K681" s="1"/>
  <c r="I680"/>
  <c r="I681" s="1"/>
  <c r="G617" i="12"/>
  <c r="J629"/>
  <c r="F39"/>
  <c r="F14" s="1"/>
  <c r="F37"/>
  <c r="K227"/>
  <c r="K208" s="1"/>
  <c r="D10" i="3"/>
  <c r="F214" i="12"/>
  <c r="K285" i="3"/>
  <c r="K286" s="1"/>
  <c r="H285"/>
  <c r="H286" s="1"/>
  <c r="J285"/>
  <c r="J286" s="1"/>
  <c r="E35" i="10"/>
  <c r="E26" s="1"/>
  <c r="G35"/>
  <c r="G26" s="1"/>
  <c r="I125" i="1"/>
  <c r="I33"/>
  <c r="I41"/>
  <c r="K40" i="12"/>
  <c r="K11" s="1"/>
  <c r="J147" i="6"/>
  <c r="H8" i="10" s="1"/>
  <c r="P23" i="3"/>
  <c r="F228" i="12"/>
  <c r="E228" s="1"/>
  <c r="F230"/>
  <c r="F207" s="1"/>
  <c r="H293" i="6"/>
  <c r="H304" s="1"/>
  <c r="N49" i="1"/>
  <c r="D441" i="12"/>
  <c r="D482" i="2"/>
  <c r="D481" s="1"/>
  <c r="D467"/>
  <c r="D466" s="1"/>
  <c r="D610"/>
  <c r="D609" s="1"/>
  <c r="E419" i="12"/>
  <c r="C419" s="1"/>
  <c r="E417"/>
  <c r="B124" i="1"/>
  <c r="B170" s="1"/>
  <c r="E478" i="12"/>
  <c r="E466" i="2"/>
  <c r="E477" i="12" s="1"/>
  <c r="B67" i="1"/>
  <c r="D15" i="2"/>
  <c r="D81"/>
  <c r="D80" s="1"/>
  <c r="B114" i="1"/>
  <c r="B160" s="1"/>
  <c r="D17" i="2"/>
  <c r="F458" i="12"/>
  <c r="E458" s="1"/>
  <c r="F457"/>
  <c r="D101" i="2"/>
  <c r="D98" s="1"/>
  <c r="D580"/>
  <c r="D579" s="1"/>
  <c r="J30" i="1"/>
  <c r="E121"/>
  <c r="E28"/>
  <c r="D355" i="2"/>
  <c r="D351" s="1"/>
  <c r="E448" i="12"/>
  <c r="F204"/>
  <c r="E204" s="1"/>
  <c r="C204" s="1"/>
  <c r="E80" i="2"/>
  <c r="F202" i="12" s="1"/>
  <c r="E202" s="1"/>
  <c r="D466"/>
  <c r="D441" i="2"/>
  <c r="D435" s="1"/>
  <c r="D9" s="1"/>
  <c r="P448"/>
  <c r="E438" i="12"/>
  <c r="D388" i="2"/>
  <c r="D387" s="1"/>
  <c r="F18"/>
  <c r="B40" i="1"/>
  <c r="G125"/>
  <c r="G171" s="1"/>
  <c r="G33"/>
  <c r="G41"/>
  <c r="C112"/>
  <c r="C158" s="1"/>
  <c r="P26" i="2"/>
  <c r="D61" i="4"/>
  <c r="D72"/>
  <c r="D71" s="1"/>
  <c r="B109" i="1"/>
  <c r="B155" s="1"/>
  <c r="B111"/>
  <c r="B157" s="1"/>
  <c r="D120" i="6"/>
  <c r="D119" s="1"/>
  <c r="D17"/>
  <c r="I618" i="12"/>
  <c r="F229"/>
  <c r="E293" i="6"/>
  <c r="E304" s="1"/>
  <c r="D105"/>
  <c r="B26" i="1"/>
  <c r="C165"/>
  <c r="D165"/>
  <c r="H165"/>
  <c r="G165"/>
  <c r="H282" i="12"/>
  <c r="I282"/>
  <c r="G12" i="2"/>
  <c r="G11" s="1"/>
  <c r="H12"/>
  <c r="H11" s="1"/>
  <c r="F12"/>
  <c r="I156" i="1"/>
  <c r="E159"/>
  <c r="F159"/>
  <c r="E415" i="12" l="1"/>
  <c r="F210"/>
  <c r="G208"/>
  <c r="I629"/>
  <c r="I227"/>
  <c r="E230"/>
  <c r="E207" s="1"/>
  <c r="F108" i="1"/>
  <c r="F154" s="1"/>
  <c r="E53"/>
  <c r="E52" s="1"/>
  <c r="E71" s="1"/>
  <c r="E92" s="1"/>
  <c r="E108"/>
  <c r="I71"/>
  <c r="I92" s="1"/>
  <c r="J12" i="6"/>
  <c r="D367" i="2"/>
  <c r="I7" i="10"/>
  <c r="I45" s="1"/>
  <c r="G138" i="6"/>
  <c r="H37" i="12" s="1"/>
  <c r="H12" s="1"/>
  <c r="H9" i="2"/>
  <c r="H8" s="1"/>
  <c r="D113" i="1"/>
  <c r="D159" s="1"/>
  <c r="M11" i="13"/>
  <c r="N11"/>
  <c r="H14" i="1"/>
  <c r="L622" i="12" s="1"/>
  <c r="I14" i="1"/>
  <c r="M622" i="12" s="1"/>
  <c r="M623" s="1"/>
  <c r="H271" i="6"/>
  <c r="F13" i="1"/>
  <c r="E14"/>
  <c r="E76" s="1"/>
  <c r="G17"/>
  <c r="G116"/>
  <c r="F92"/>
  <c r="L54"/>
  <c r="M30"/>
  <c r="P194" i="6"/>
  <c r="M591" i="12"/>
  <c r="M590" s="1"/>
  <c r="L590"/>
  <c r="D76" i="1"/>
  <c r="H10" i="6"/>
  <c r="H9" s="1"/>
  <c r="E322" i="12"/>
  <c r="D321" s="1"/>
  <c r="D465" i="2"/>
  <c r="D239" i="6"/>
  <c r="G37" i="12"/>
  <c r="G12" s="1"/>
  <c r="M605"/>
  <c r="M610" s="1"/>
  <c r="M609" s="1"/>
  <c r="H217"/>
  <c r="G7" i="3"/>
  <c r="D13" i="2"/>
  <c r="I7" i="3"/>
  <c r="M31" i="1"/>
  <c r="G679" i="2"/>
  <c r="C25" i="1"/>
  <c r="K25" s="1"/>
  <c r="M18" i="2"/>
  <c r="M11" s="1"/>
  <c r="D147" i="8"/>
  <c r="J217" i="12"/>
  <c r="J208" s="1"/>
  <c r="D45" i="13"/>
  <c r="D9" s="1"/>
  <c r="D8" s="1"/>
  <c r="E34" i="10"/>
  <c r="E25" s="1"/>
  <c r="L12" i="6"/>
  <c r="C219" i="12"/>
  <c r="H679" i="2"/>
  <c r="J679"/>
  <c r="D26" i="12"/>
  <c r="K9" i="6"/>
  <c r="H7" i="3"/>
  <c r="C84" i="1"/>
  <c r="C78" s="1"/>
  <c r="I217" i="12"/>
  <c r="F34" i="10"/>
  <c r="F25" s="1"/>
  <c r="D25" i="3"/>
  <c r="D8" s="1"/>
  <c r="D7" s="1"/>
  <c r="H116" i="1"/>
  <c r="I617" i="12"/>
  <c r="E566"/>
  <c r="E528" s="1"/>
  <c r="P11" i="6"/>
  <c r="M7" i="3"/>
  <c r="N7"/>
  <c r="P7" s="1"/>
  <c r="G75" i="1"/>
  <c r="M9" i="9"/>
  <c r="M7" s="1"/>
  <c r="F9" i="6"/>
  <c r="H24" i="1"/>
  <c r="H16" s="1"/>
  <c r="H37" s="1"/>
  <c r="I48" i="10" s="1"/>
  <c r="G7" i="9"/>
  <c r="F8" i="8"/>
  <c r="P8" s="1"/>
  <c r="M10" i="6"/>
  <c r="M9" s="1"/>
  <c r="D11"/>
  <c r="G10"/>
  <c r="D13" i="1" s="1"/>
  <c r="N10" i="6"/>
  <c r="N9" s="1"/>
  <c r="D303"/>
  <c r="M303" s="1"/>
  <c r="C29" i="12"/>
  <c r="D46" i="10"/>
  <c r="G628" i="12"/>
  <c r="E214"/>
  <c r="G34" i="10"/>
  <c r="G25" s="1"/>
  <c r="E229" i="12"/>
  <c r="D24" i="1"/>
  <c r="G8" i="13"/>
  <c r="L18" i="1"/>
  <c r="M13" i="6"/>
  <c r="M18"/>
  <c r="F17" i="1"/>
  <c r="F12" i="6"/>
  <c r="M88" i="1"/>
  <c r="M87" s="1"/>
  <c r="D685" i="2"/>
  <c r="D687" s="1"/>
  <c r="D688" s="1"/>
  <c r="L271" i="6"/>
  <c r="J46" i="10"/>
  <c r="J271" i="6"/>
  <c r="H46" i="10"/>
  <c r="I271" i="6"/>
  <c r="F85" i="1" s="1"/>
  <c r="G46" i="10"/>
  <c r="K271" i="6"/>
  <c r="I46" i="10"/>
  <c r="K37" i="12"/>
  <c r="K12" s="1"/>
  <c r="H45" i="10"/>
  <c r="R11" i="7"/>
  <c r="K26" i="10"/>
  <c r="K30"/>
  <c r="N290" i="6"/>
  <c r="M290"/>
  <c r="L17" i="10"/>
  <c r="K17"/>
  <c r="H162" i="1"/>
  <c r="D142" i="6"/>
  <c r="D138" s="1"/>
  <c r="H12"/>
  <c r="K19" i="1"/>
  <c r="K110" s="1"/>
  <c r="J28"/>
  <c r="L23" i="10"/>
  <c r="K23"/>
  <c r="D31" i="12"/>
  <c r="F46" i="10"/>
  <c r="K18" i="1"/>
  <c r="C14"/>
  <c r="C76" s="1"/>
  <c r="N8" i="8"/>
  <c r="N300" i="6"/>
  <c r="M300"/>
  <c r="L30" i="10"/>
  <c r="L110" i="1"/>
  <c r="M28" i="10"/>
  <c r="N9" i="2"/>
  <c r="N8" s="1"/>
  <c r="M32" i="10"/>
  <c r="M30"/>
  <c r="G623" i="12"/>
  <c r="G622" s="1"/>
  <c r="D270" i="6"/>
  <c r="M84" i="1" s="1"/>
  <c r="G293" i="6"/>
  <c r="G304" s="1"/>
  <c r="H227" i="12"/>
  <c r="H208" s="1"/>
  <c r="N19" i="6"/>
  <c r="N18" s="1"/>
  <c r="N12" s="1"/>
  <c r="D115" i="1"/>
  <c r="D161" s="1"/>
  <c r="D53"/>
  <c r="D52" s="1"/>
  <c r="D71" s="1"/>
  <c r="C34" i="12"/>
  <c r="N18" i="2"/>
  <c r="N11" s="1"/>
  <c r="G24" i="1"/>
  <c r="E282" i="12"/>
  <c r="E222"/>
  <c r="D221" s="1"/>
  <c r="E447"/>
  <c r="D446" s="1"/>
  <c r="E247"/>
  <c r="D246" s="1"/>
  <c r="E432"/>
  <c r="D431" s="1"/>
  <c r="E82"/>
  <c r="D81" s="1"/>
  <c r="E457"/>
  <c r="D456" s="1"/>
  <c r="E107"/>
  <c r="D106" s="1"/>
  <c r="E292"/>
  <c r="E472"/>
  <c r="D471" s="1"/>
  <c r="C489"/>
  <c r="K35" i="10"/>
  <c r="J19" i="1"/>
  <c r="M29" s="1"/>
  <c r="D110"/>
  <c r="D156" s="1"/>
  <c r="N19"/>
  <c r="N23"/>
  <c r="J23"/>
  <c r="B63"/>
  <c r="B62" s="1"/>
  <c r="B72" s="1"/>
  <c r="J67"/>
  <c r="J122" s="1"/>
  <c r="J168" s="1"/>
  <c r="J34"/>
  <c r="M603" i="12"/>
  <c r="M601" s="1"/>
  <c r="B121" i="1"/>
  <c r="B167" s="1"/>
  <c r="D66" i="12"/>
  <c r="F271" i="6"/>
  <c r="F272" s="1"/>
  <c r="F273" s="1"/>
  <c r="L586" i="12"/>
  <c r="M587"/>
  <c r="P374" i="2"/>
  <c r="D370"/>
  <c r="G172" i="1"/>
  <c r="I75"/>
  <c r="L9" i="6"/>
  <c r="F278" i="9"/>
  <c r="C63" i="1"/>
  <c r="C62" s="1"/>
  <c r="C72" s="1"/>
  <c r="C121"/>
  <c r="C167" s="1"/>
  <c r="M66"/>
  <c r="D7" i="9"/>
  <c r="F72" i="12"/>
  <c r="D63" i="1"/>
  <c r="D62" s="1"/>
  <c r="D72" s="1"/>
  <c r="D86" s="1"/>
  <c r="D121"/>
  <c r="D167" s="1"/>
  <c r="D27" i="2"/>
  <c r="D23" s="1"/>
  <c r="D44"/>
  <c r="E124" i="1"/>
  <c r="E170" s="1"/>
  <c r="E33"/>
  <c r="E27" s="1"/>
  <c r="E38" s="1"/>
  <c r="E77" s="1"/>
  <c r="D32" i="10"/>
  <c r="F9" i="2"/>
  <c r="F8" s="1"/>
  <c r="D28" i="10"/>
  <c r="L28" s="1"/>
  <c r="D528" i="2"/>
  <c r="J50" i="1" s="1"/>
  <c r="O50" s="1"/>
  <c r="B48"/>
  <c r="N48" s="1"/>
  <c r="I18" i="6"/>
  <c r="I12" s="1"/>
  <c r="J26" i="1"/>
  <c r="J39" i="12"/>
  <c r="J14" s="1"/>
  <c r="I138" i="6"/>
  <c r="G7" i="10" s="1"/>
  <c r="I277" i="12"/>
  <c r="H9" i="13"/>
  <c r="F8"/>
  <c r="E110" i="1"/>
  <c r="E156" s="1"/>
  <c r="F11" i="2"/>
  <c r="D289" i="6"/>
  <c r="G24"/>
  <c r="G20" s="1"/>
  <c r="D40" i="1"/>
  <c r="J40" s="1"/>
  <c r="H40" i="12"/>
  <c r="H11" s="1"/>
  <c r="G147" i="6"/>
  <c r="E8" i="10" s="1"/>
  <c r="K8" s="1"/>
  <c r="B13" i="1"/>
  <c r="M37" i="12"/>
  <c r="M12" s="1"/>
  <c r="I115" i="1"/>
  <c r="I24"/>
  <c r="I16" s="1"/>
  <c r="I37" s="1"/>
  <c r="E115"/>
  <c r="E161" s="1"/>
  <c r="E24"/>
  <c r="P25" i="6"/>
  <c r="H125" i="1"/>
  <c r="H41"/>
  <c r="H33"/>
  <c r="C125"/>
  <c r="C33"/>
  <c r="C27" s="1"/>
  <c r="C41"/>
  <c r="F41"/>
  <c r="F125"/>
  <c r="F33"/>
  <c r="F27" s="1"/>
  <c r="F38" s="1"/>
  <c r="F77" s="1"/>
  <c r="D96" i="12"/>
  <c r="D491"/>
  <c r="H272" i="6"/>
  <c r="H273" s="1"/>
  <c r="E285" i="3"/>
  <c r="E286" s="1"/>
  <c r="B84" i="1"/>
  <c r="F212" i="12"/>
  <c r="D285" i="3"/>
  <c r="I285"/>
  <c r="I286" s="1"/>
  <c r="G285"/>
  <c r="G286" s="1"/>
  <c r="N292" i="6"/>
  <c r="D150"/>
  <c r="D147" s="1"/>
  <c r="P20" s="1"/>
  <c r="D24"/>
  <c r="D20" s="1"/>
  <c r="I27" i="1"/>
  <c r="E271" i="6"/>
  <c r="F40" i="12"/>
  <c r="F11" s="1"/>
  <c r="I171" i="1"/>
  <c r="I172" s="1"/>
  <c r="I126"/>
  <c r="D21" i="3"/>
  <c r="D18" s="1"/>
  <c r="J9" i="6"/>
  <c r="D95"/>
  <c r="D94" s="1"/>
  <c r="D285"/>
  <c r="D13"/>
  <c r="G126" i="1"/>
  <c r="D530" i="2"/>
  <c r="D529" s="1"/>
  <c r="O20" i="1"/>
  <c r="D416" i="12"/>
  <c r="B122" i="1"/>
  <c r="B168" s="1"/>
  <c r="D476" i="12"/>
  <c r="E465" i="2"/>
  <c r="P38"/>
  <c r="P25"/>
  <c r="D36"/>
  <c r="O22" i="1"/>
  <c r="J114"/>
  <c r="J160" s="1"/>
  <c r="M32"/>
  <c r="E167"/>
  <c r="B120"/>
  <c r="B166" s="1"/>
  <c r="B28"/>
  <c r="D29" i="2"/>
  <c r="D56" i="12"/>
  <c r="D41" i="2"/>
  <c r="D201" i="12"/>
  <c r="D364" i="2"/>
  <c r="P29"/>
  <c r="B18" i="1"/>
  <c r="B108" s="1"/>
  <c r="B41"/>
  <c r="B125"/>
  <c r="B33"/>
  <c r="D517" i="12"/>
  <c r="J121" i="1"/>
  <c r="J167" s="1"/>
  <c r="G27"/>
  <c r="J112"/>
  <c r="J158" s="1"/>
  <c r="O21"/>
  <c r="J119"/>
  <c r="N89"/>
  <c r="B87"/>
  <c r="D51" i="4"/>
  <c r="O58" i="1"/>
  <c r="J111"/>
  <c r="O57"/>
  <c r="J109"/>
  <c r="J155" s="1"/>
  <c r="H75"/>
  <c r="B115"/>
  <c r="B24"/>
  <c r="D18" i="6"/>
  <c r="F227" i="12"/>
  <c r="F208" s="1"/>
  <c r="C45" i="10"/>
  <c r="D281" i="6"/>
  <c r="D283" s="1"/>
  <c r="C17" i="1"/>
  <c r="D17"/>
  <c r="K605" i="12"/>
  <c r="G8" i="2"/>
  <c r="E17" i="1"/>
  <c r="L614" i="12"/>
  <c r="L613" s="1"/>
  <c r="L618" s="1"/>
  <c r="L610"/>
  <c r="L609" s="1"/>
  <c r="E210" l="1"/>
  <c r="C209" s="1"/>
  <c r="L14" i="1"/>
  <c r="I208" i="12"/>
  <c r="J84" i="1"/>
  <c r="J78" s="1"/>
  <c r="E72" i="12"/>
  <c r="F12"/>
  <c r="L108" i="1"/>
  <c r="I107"/>
  <c r="I153" s="1"/>
  <c r="M35"/>
  <c r="I51" i="10"/>
  <c r="E7"/>
  <c r="K7" s="1"/>
  <c r="H12" i="1"/>
  <c r="H93" s="1"/>
  <c r="H76"/>
  <c r="H74" s="1"/>
  <c r="H680" i="2"/>
  <c r="H681" s="1"/>
  <c r="E85" i="1"/>
  <c r="J680" i="2"/>
  <c r="J681" s="1"/>
  <c r="G85" i="1"/>
  <c r="D8" i="2"/>
  <c r="J14" i="1"/>
  <c r="J102" s="1"/>
  <c r="G680" i="2"/>
  <c r="G681" s="1"/>
  <c r="E13" i="1"/>
  <c r="C24"/>
  <c r="C16" s="1"/>
  <c r="H9" i="12"/>
  <c r="I76" i="1"/>
  <c r="I74" s="1"/>
  <c r="G154"/>
  <c r="G162" s="1"/>
  <c r="D291" i="12"/>
  <c r="D238" i="6"/>
  <c r="J49" i="1"/>
  <c r="J48" s="1"/>
  <c r="O48" s="1"/>
  <c r="M614" i="12"/>
  <c r="M613" s="1"/>
  <c r="M618" s="1"/>
  <c r="M617" s="1"/>
  <c r="D102" i="1"/>
  <c r="D98"/>
  <c r="D286" i="3"/>
  <c r="N25" i="1"/>
  <c r="C229" i="12"/>
  <c r="C113" i="1"/>
  <c r="C159" s="1"/>
  <c r="J25"/>
  <c r="M34" s="1"/>
  <c r="P147" i="6"/>
  <c r="E217" i="12"/>
  <c r="D216" s="1"/>
  <c r="J157" i="1"/>
  <c r="D92"/>
  <c r="D565" i="12"/>
  <c r="O25" i="10"/>
  <c r="M25"/>
  <c r="N303" i="6"/>
  <c r="G9"/>
  <c r="P10"/>
  <c r="N88" i="1"/>
  <c r="N87" s="1"/>
  <c r="L34" i="10"/>
  <c r="D10" i="6"/>
  <c r="J13" i="1" s="1"/>
  <c r="B85"/>
  <c r="G629" i="12"/>
  <c r="E212"/>
  <c r="C214"/>
  <c r="K34" i="10"/>
  <c r="M34"/>
  <c r="E227" i="12"/>
  <c r="D16" i="1"/>
  <c r="D37" s="1"/>
  <c r="E48" i="10" s="1"/>
  <c r="M12" i="6"/>
  <c r="P9" s="1"/>
  <c r="L26" i="1"/>
  <c r="L115" s="1"/>
  <c r="N9" i="13"/>
  <c r="N8" s="1"/>
  <c r="P18" i="6"/>
  <c r="G271"/>
  <c r="D85" i="1" s="1"/>
  <c r="H107"/>
  <c r="H153" s="1"/>
  <c r="D25" i="10"/>
  <c r="N289" i="6"/>
  <c r="M289"/>
  <c r="J63" i="1"/>
  <c r="J62" s="1"/>
  <c r="C98"/>
  <c r="C102"/>
  <c r="K14"/>
  <c r="K26"/>
  <c r="K115" s="1"/>
  <c r="M9" i="13"/>
  <c r="M8" s="1"/>
  <c r="C13" i="1"/>
  <c r="M9" i="2"/>
  <c r="M8" s="1"/>
  <c r="J124" i="1"/>
  <c r="J170" s="1"/>
  <c r="K32" i="10"/>
  <c r="L32"/>
  <c r="K113" i="1"/>
  <c r="K17"/>
  <c r="B86"/>
  <c r="J72"/>
  <c r="L71"/>
  <c r="M71" s="1"/>
  <c r="G16"/>
  <c r="G37" s="1"/>
  <c r="G107" s="1"/>
  <c r="E39" i="12"/>
  <c r="E14" s="1"/>
  <c r="F414"/>
  <c r="E437"/>
  <c r="E414" s="1"/>
  <c r="E40"/>
  <c r="E11" s="1"/>
  <c r="E277"/>
  <c r="D276" s="1"/>
  <c r="K28" i="10"/>
  <c r="D287" i="6"/>
  <c r="G9" i="12"/>
  <c r="G652" s="1"/>
  <c r="G654" s="1"/>
  <c r="E172" i="1"/>
  <c r="N7" i="9"/>
  <c r="D71" i="12"/>
  <c r="J48" i="10"/>
  <c r="D43" i="2"/>
  <c r="I12" i="1"/>
  <c r="E680" i="2"/>
  <c r="E681" s="1"/>
  <c r="C86" i="1"/>
  <c r="N18"/>
  <c r="J18"/>
  <c r="B53"/>
  <c r="B52" s="1"/>
  <c r="N26"/>
  <c r="O26" s="1"/>
  <c r="D12" i="2"/>
  <c r="D22"/>
  <c r="E126" i="1"/>
  <c r="K9" i="12"/>
  <c r="L9"/>
  <c r="B78" i="1"/>
  <c r="M586" i="12"/>
  <c r="K586"/>
  <c r="D271" i="6"/>
  <c r="D272" s="1"/>
  <c r="D273" s="1"/>
  <c r="C38" i="1"/>
  <c r="C77" s="1"/>
  <c r="F277" i="9"/>
  <c r="B14" i="1"/>
  <c r="D526" i="2"/>
  <c r="P27"/>
  <c r="F118" i="1"/>
  <c r="F174" s="1"/>
  <c r="G49" i="10"/>
  <c r="G52" s="1"/>
  <c r="J37" i="12"/>
  <c r="J12" s="1"/>
  <c r="F115" i="1"/>
  <c r="F24"/>
  <c r="F16" s="1"/>
  <c r="F37" s="1"/>
  <c r="G48" i="10" s="1"/>
  <c r="J110" i="1"/>
  <c r="J156" s="1"/>
  <c r="O19"/>
  <c r="H8" i="13"/>
  <c r="D125" i="1"/>
  <c r="D33"/>
  <c r="D27" s="1"/>
  <c r="D38" s="1"/>
  <c r="D41"/>
  <c r="D35" i="2"/>
  <c r="I85" i="1"/>
  <c r="L272" i="6"/>
  <c r="L273" s="1"/>
  <c r="I161" i="1"/>
  <c r="I116"/>
  <c r="M599" i="12"/>
  <c r="M598" s="1"/>
  <c r="M9"/>
  <c r="J45" i="10"/>
  <c r="D12" i="6"/>
  <c r="H27" i="1"/>
  <c r="H38" s="1"/>
  <c r="H171"/>
  <c r="H172" s="1"/>
  <c r="H126"/>
  <c r="F171"/>
  <c r="F172" s="1"/>
  <c r="F126"/>
  <c r="F127" s="1"/>
  <c r="I272" i="6"/>
  <c r="I273" s="1"/>
  <c r="F79" i="1"/>
  <c r="K272" i="6"/>
  <c r="K273" s="1"/>
  <c r="H85" i="1"/>
  <c r="C171"/>
  <c r="C172" s="1"/>
  <c r="C126"/>
  <c r="J87"/>
  <c r="F680" i="2"/>
  <c r="F681" s="1"/>
  <c r="C85" i="1"/>
  <c r="J272" i="6"/>
  <c r="J273" s="1"/>
  <c r="D78" i="1"/>
  <c r="F78"/>
  <c r="I38"/>
  <c r="P31" i="2"/>
  <c r="D18"/>
  <c r="G76" i="1"/>
  <c r="G74" s="1"/>
  <c r="G12"/>
  <c r="F75"/>
  <c r="F74" s="1"/>
  <c r="F12"/>
  <c r="B27"/>
  <c r="B38" s="1"/>
  <c r="E118"/>
  <c r="F49" i="10"/>
  <c r="F52" s="1"/>
  <c r="J120" i="1"/>
  <c r="J166" s="1"/>
  <c r="E8" i="2"/>
  <c r="B17" i="1"/>
  <c r="B16" s="1"/>
  <c r="B37" s="1"/>
  <c r="B154"/>
  <c r="D363" i="2"/>
  <c r="L113" i="1"/>
  <c r="G38"/>
  <c r="J33"/>
  <c r="J27" s="1"/>
  <c r="J38" s="1"/>
  <c r="J125"/>
  <c r="J171" s="1"/>
  <c r="B171"/>
  <c r="B172" s="1"/>
  <c r="B126"/>
  <c r="O23"/>
  <c r="J165"/>
  <c r="L617" i="12"/>
  <c r="D293" i="6"/>
  <c r="J115" i="1"/>
  <c r="J161" s="1"/>
  <c r="B161"/>
  <c r="D281" i="12"/>
  <c r="E16" i="1"/>
  <c r="L17"/>
  <c r="E154"/>
  <c r="E162" s="1"/>
  <c r="E116"/>
  <c r="K614" i="12"/>
  <c r="K613" s="1"/>
  <c r="K610"/>
  <c r="K609" s="1"/>
  <c r="D154" i="1"/>
  <c r="D116"/>
  <c r="E208" i="12" l="1"/>
  <c r="I163" i="1"/>
  <c r="H117"/>
  <c r="G117"/>
  <c r="E79"/>
  <c r="E80" s="1"/>
  <c r="E83"/>
  <c r="E82" s="1"/>
  <c r="J17"/>
  <c r="B71"/>
  <c r="B92" s="1"/>
  <c r="J85"/>
  <c r="J79" s="1"/>
  <c r="J24"/>
  <c r="O7" i="10"/>
  <c r="E45"/>
  <c r="N48" s="1"/>
  <c r="L576" i="12"/>
  <c r="M7" i="10"/>
  <c r="L83" i="1"/>
  <c r="M77"/>
  <c r="E46" i="10"/>
  <c r="O49" i="1"/>
  <c r="C13" i="12"/>
  <c r="K576"/>
  <c r="O25" i="1"/>
  <c r="J113"/>
  <c r="J159" s="1"/>
  <c r="I93"/>
  <c r="M576" i="12"/>
  <c r="D101" i="1"/>
  <c r="D100" s="1"/>
  <c r="D75"/>
  <c r="D74" s="1"/>
  <c r="I9" i="12"/>
  <c r="D97" i="1"/>
  <c r="D679" i="2"/>
  <c r="D12" i="1"/>
  <c r="I117"/>
  <c r="L13"/>
  <c r="L75" s="1"/>
  <c r="P18" i="3"/>
  <c r="N84" i="1"/>
  <c r="J76"/>
  <c r="J164"/>
  <c r="B77"/>
  <c r="B127" s="1"/>
  <c r="B118"/>
  <c r="B164" s="1"/>
  <c r="D226" i="12"/>
  <c r="F80" i="1"/>
  <c r="G656" i="12"/>
  <c r="D162" i="1"/>
  <c r="D211" i="12"/>
  <c r="D107" i="1"/>
  <c r="D163" s="1"/>
  <c r="D103"/>
  <c r="C75"/>
  <c r="C74" s="1"/>
  <c r="K13"/>
  <c r="M13" s="1"/>
  <c r="H163"/>
  <c r="K24"/>
  <c r="K16" s="1"/>
  <c r="C12"/>
  <c r="G576" i="12" s="1"/>
  <c r="K25" i="10"/>
  <c r="L25"/>
  <c r="L7"/>
  <c r="M14" i="1"/>
  <c r="K76"/>
  <c r="B79"/>
  <c r="J118"/>
  <c r="C101"/>
  <c r="C100" s="1"/>
  <c r="C97"/>
  <c r="N293" i="6"/>
  <c r="M293"/>
  <c r="N13" i="1"/>
  <c r="I162"/>
  <c r="K161"/>
  <c r="J86"/>
  <c r="H48" i="10"/>
  <c r="H51" s="1"/>
  <c r="F9" i="12"/>
  <c r="C39"/>
  <c r="E37"/>
  <c r="E12" s="1"/>
  <c r="G45" i="10"/>
  <c r="G51" s="1"/>
  <c r="D45"/>
  <c r="J51"/>
  <c r="C105" i="1"/>
  <c r="O18"/>
  <c r="C127"/>
  <c r="C118"/>
  <c r="C164" s="1"/>
  <c r="B107"/>
  <c r="N17"/>
  <c r="C37"/>
  <c r="N16"/>
  <c r="N14"/>
  <c r="O14" s="1"/>
  <c r="N24"/>
  <c r="F107"/>
  <c r="F163" s="1"/>
  <c r="D49" i="10"/>
  <c r="D52" s="1"/>
  <c r="F175" i="1"/>
  <c r="F164"/>
  <c r="L24"/>
  <c r="L16" s="1"/>
  <c r="F83"/>
  <c r="F82" s="1"/>
  <c r="F161"/>
  <c r="F162" s="1"/>
  <c r="F116"/>
  <c r="F117" s="1"/>
  <c r="J9" i="12"/>
  <c r="J576" s="1"/>
  <c r="C46" i="10"/>
  <c r="F45"/>
  <c r="E12" i="1"/>
  <c r="E75"/>
  <c r="E74" s="1"/>
  <c r="E49" i="10"/>
  <c r="D105" i="1"/>
  <c r="D118"/>
  <c r="D77"/>
  <c r="G272" i="6"/>
  <c r="G273" s="1"/>
  <c r="D171" i="1"/>
  <c r="D126"/>
  <c r="J126"/>
  <c r="I83"/>
  <c r="I82" s="1"/>
  <c r="I79"/>
  <c r="I49" i="10"/>
  <c r="I52" s="1"/>
  <c r="H118" i="1"/>
  <c r="H77"/>
  <c r="H127" s="1"/>
  <c r="H83"/>
  <c r="H79"/>
  <c r="C79"/>
  <c r="C80" s="1"/>
  <c r="C83"/>
  <c r="E272" i="6"/>
  <c r="E273" s="1"/>
  <c r="G83" i="1"/>
  <c r="G82" s="1"/>
  <c r="G79"/>
  <c r="J49" i="10"/>
  <c r="J52" s="1"/>
  <c r="I118" i="1"/>
  <c r="I77"/>
  <c r="B162"/>
  <c r="G93"/>
  <c r="L76"/>
  <c r="F93"/>
  <c r="B116"/>
  <c r="C49" i="10"/>
  <c r="E174" i="1"/>
  <c r="E175" s="1"/>
  <c r="E164"/>
  <c r="E127"/>
  <c r="D436" i="12"/>
  <c r="B76" i="1"/>
  <c r="G118"/>
  <c r="H49" i="10"/>
  <c r="H52" s="1"/>
  <c r="G77" i="1"/>
  <c r="J172"/>
  <c r="K618" i="12"/>
  <c r="K617" s="1"/>
  <c r="B75" i="1"/>
  <c r="B12"/>
  <c r="D304" i="6"/>
  <c r="C48" i="10"/>
  <c r="C51" s="1"/>
  <c r="L161" i="1"/>
  <c r="Q161"/>
  <c r="D9" i="6"/>
  <c r="G163" i="1"/>
  <c r="G153"/>
  <c r="E37"/>
  <c r="O17" l="1"/>
  <c r="J16"/>
  <c r="J37" s="1"/>
  <c r="K48" i="10" s="1"/>
  <c r="E51"/>
  <c r="N7"/>
  <c r="O24" i="1"/>
  <c r="N40" i="10"/>
  <c r="N23"/>
  <c r="N13"/>
  <c r="N42"/>
  <c r="N25"/>
  <c r="N17"/>
  <c r="N21"/>
  <c r="N19"/>
  <c r="N45"/>
  <c r="L37" i="1"/>
  <c r="M48" i="10" s="1"/>
  <c r="F48"/>
  <c r="F51" s="1"/>
  <c r="D680" i="2"/>
  <c r="D681" s="1"/>
  <c r="M85" i="1"/>
  <c r="M83" s="1"/>
  <c r="N82" s="1"/>
  <c r="E52" i="10"/>
  <c r="I576" i="12"/>
  <c r="D117" i="1"/>
  <c r="E90"/>
  <c r="K46" i="10"/>
  <c r="D93" i="1"/>
  <c r="H576" i="12"/>
  <c r="D104" i="1"/>
  <c r="M37"/>
  <c r="J83"/>
  <c r="M79" s="1"/>
  <c r="J174"/>
  <c r="J175" s="1"/>
  <c r="D127"/>
  <c r="H80"/>
  <c r="B80"/>
  <c r="D36" i="12"/>
  <c r="D172" i="1"/>
  <c r="D153"/>
  <c r="E117"/>
  <c r="C93"/>
  <c r="L45" i="10"/>
  <c r="J105" i="1"/>
  <c r="J77"/>
  <c r="M78" s="1"/>
  <c r="K49" i="10"/>
  <c r="K12" i="1"/>
  <c r="L48" i="10" s="1"/>
  <c r="K75" i="1"/>
  <c r="K74" s="1"/>
  <c r="K37"/>
  <c r="N304" i="6"/>
  <c r="M304"/>
  <c r="D48" i="10"/>
  <c r="D51" s="1"/>
  <c r="M45"/>
  <c r="L12" i="1"/>
  <c r="F153"/>
  <c r="E9" i="12"/>
  <c r="C174" i="1"/>
  <c r="C175" s="1"/>
  <c r="N12"/>
  <c r="B93"/>
  <c r="C52" i="10"/>
  <c r="F90" i="1"/>
  <c r="K45" i="10"/>
  <c r="E93" i="1"/>
  <c r="D79"/>
  <c r="D80" s="1"/>
  <c r="D83"/>
  <c r="D164"/>
  <c r="D174"/>
  <c r="L74"/>
  <c r="H82"/>
  <c r="H90"/>
  <c r="H164"/>
  <c r="H174"/>
  <c r="H175" s="1"/>
  <c r="C82"/>
  <c r="C90"/>
  <c r="B83"/>
  <c r="B82" s="1"/>
  <c r="I174"/>
  <c r="I175" s="1"/>
  <c r="I164"/>
  <c r="I90"/>
  <c r="I127"/>
  <c r="I80"/>
  <c r="B74"/>
  <c r="B117" s="1"/>
  <c r="B174"/>
  <c r="B175" s="1"/>
  <c r="G90"/>
  <c r="G80"/>
  <c r="G127"/>
  <c r="G164"/>
  <c r="G174"/>
  <c r="G175" s="1"/>
  <c r="J101"/>
  <c r="J100" s="1"/>
  <c r="J75"/>
  <c r="J74" s="1"/>
  <c r="J12"/>
  <c r="J93" s="1"/>
  <c r="O13"/>
  <c r="B163"/>
  <c r="B153"/>
  <c r="E107"/>
  <c r="O16" l="1"/>
  <c r="N37"/>
  <c r="K52" i="10"/>
  <c r="J80" i="1"/>
  <c r="J90"/>
  <c r="J82"/>
  <c r="D175"/>
  <c r="L51" i="10"/>
  <c r="J127" i="1"/>
  <c r="K51" i="10"/>
  <c r="M51"/>
  <c r="D82" i="1"/>
  <c r="D90"/>
  <c r="N85"/>
  <c r="N83" s="1"/>
  <c r="B90"/>
  <c r="O12"/>
  <c r="M39"/>
  <c r="N39" s="1"/>
  <c r="E163"/>
  <c r="E153"/>
  <c r="D55" i="4"/>
  <c r="D54" s="1"/>
  <c r="D101" i="12" l="1"/>
  <c r="F122" i="13"/>
  <c r="M103" l="1"/>
  <c r="M102" s="1"/>
  <c r="M101" s="1"/>
  <c r="C54" i="1"/>
  <c r="C108" s="1"/>
  <c r="L82"/>
  <c r="P21" i="13"/>
  <c r="F102"/>
  <c r="F101" s="1"/>
  <c r="N102"/>
  <c r="N101" s="1"/>
  <c r="D102"/>
  <c r="D101" s="1"/>
  <c r="K54" i="1" l="1"/>
  <c r="J54"/>
  <c r="J108" s="1"/>
  <c r="N54"/>
  <c r="C53"/>
  <c r="N53" s="1"/>
  <c r="K108" l="1"/>
  <c r="K116" s="1"/>
  <c r="K53"/>
  <c r="K52" s="1"/>
  <c r="K71" s="1"/>
  <c r="O54"/>
  <c r="J53"/>
  <c r="C52"/>
  <c r="C154"/>
  <c r="C162" s="1"/>
  <c r="C116"/>
  <c r="C117" s="1"/>
  <c r="L53"/>
  <c r="L52" s="1"/>
  <c r="M48" s="1"/>
  <c r="L116"/>
  <c r="N52" l="1"/>
  <c r="C71"/>
  <c r="J52"/>
  <c r="J71" s="1"/>
  <c r="O53"/>
  <c r="J116"/>
  <c r="J117" s="1"/>
  <c r="J154"/>
  <c r="J162" l="1"/>
  <c r="K107"/>
  <c r="C92"/>
  <c r="O52"/>
  <c r="C103"/>
  <c r="C104" s="1"/>
  <c r="L107"/>
  <c r="C107"/>
  <c r="J92" l="1"/>
  <c r="N71"/>
  <c r="J107"/>
  <c r="J153" s="1"/>
  <c r="J103"/>
  <c r="J104" s="1"/>
  <c r="C163"/>
  <c r="C153"/>
  <c r="J163" l="1"/>
  <c r="M8" i="8"/>
  <c r="M44" i="6"/>
  <c r="D44"/>
  <c r="N44"/>
</calcChain>
</file>

<file path=xl/comments1.xml><?xml version="1.0" encoding="utf-8"?>
<comments xmlns="http://schemas.openxmlformats.org/spreadsheetml/2006/main">
  <authors>
    <author>Magdalena Zielińska</author>
  </authors>
  <commentList>
    <comment ref="F661" authorId="0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sharedStrings.xml><?xml version="1.0" encoding="utf-8"?>
<sst xmlns="http://schemas.openxmlformats.org/spreadsheetml/2006/main" count="4779" uniqueCount="822">
  <si>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</si>
  <si>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</si>
  <si>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</si>
  <si>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</si>
  <si>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</si>
  <si>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</si>
  <si>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</si>
  <si>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</si>
  <si>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</si>
  <si>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</si>
  <si>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</si>
  <si>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</si>
  <si>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</si>
  <si>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</si>
  <si>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</si>
  <si>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</si>
  <si>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</si>
  <si>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</si>
  <si>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</si>
  <si>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</si>
  <si>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</si>
  <si>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</si>
  <si>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</si>
  <si>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</si>
  <si>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</si>
  <si>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</si>
  <si>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</si>
  <si>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</si>
  <si>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</si>
  <si>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</si>
  <si>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</si>
  <si>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</si>
  <si>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</si>
  <si>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</si>
  <si>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</si>
  <si>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</si>
  <si>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</si>
  <si>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</si>
  <si>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</si>
  <si>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</si>
  <si>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</si>
  <si>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</si>
  <si>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</si>
  <si>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</si>
  <si>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>Część II - POZOSTAŁE</t>
  </si>
  <si>
    <t>Razem</t>
  </si>
  <si>
    <t>sprawdzenie   wydatki</t>
  </si>
  <si>
    <t>sprawdzenie    DOCHODY</t>
  </si>
  <si>
    <t xml:space="preserve">środki z budżetu województwa </t>
  </si>
  <si>
    <t>dotacje celowe dla jos</t>
  </si>
  <si>
    <t>środki z funduszy celowych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</si>
  <si>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</si>
  <si>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</si>
  <si>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</si>
  <si>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</si>
  <si>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</si>
  <si>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</si>
  <si>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</si>
  <si>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</si>
  <si>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</si>
  <si>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</si>
  <si>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</si>
  <si>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</si>
  <si>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</si>
  <si>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</si>
  <si>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</si>
  <si>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</si>
  <si>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</si>
  <si>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</si>
  <si>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</si>
  <si>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</si>
  <si>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</si>
  <si>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</si>
  <si>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</si>
  <si>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</si>
  <si>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</si>
  <si>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</si>
  <si>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</si>
  <si>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</si>
  <si>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</si>
  <si>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</si>
  <si>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</si>
  <si>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</si>
  <si>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</si>
  <si>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</si>
  <si>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</si>
  <si>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</si>
  <si>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</si>
  <si>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</si>
  <si>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</si>
  <si>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</si>
  <si>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rozdz. 60001</t>
  </si>
  <si>
    <t>18.</t>
  </si>
  <si>
    <t>środki z budżetu UE, w tego: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</si>
  <si>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</si>
  <si>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</si>
  <si>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</si>
  <si>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</si>
  <si>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</si>
  <si>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</si>
  <si>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</si>
  <si>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</si>
  <si>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</si>
  <si>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</si>
  <si>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</si>
  <si>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</si>
  <si>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</si>
  <si>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</si>
  <si>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</si>
  <si>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</si>
  <si>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</si>
  <si>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</si>
  <si>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rozdz. 
85332</t>
  </si>
  <si>
    <t>dotacja z budżetu województwa dla jos</t>
  </si>
  <si>
    <t>dotacje celowe od innych jst (pomoc finansowa i porozumienia)</t>
  </si>
  <si>
    <t>rozdz. 85111</t>
  </si>
  <si>
    <t>środki własne jos</t>
  </si>
  <si>
    <t>dotacja z budżetu wojewodztwa dla jos</t>
  </si>
  <si>
    <t>rozdz. 75704</t>
  </si>
  <si>
    <t>środki  z budżetu województwa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</si>
  <si>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</si>
  <si>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</si>
  <si>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</si>
  <si>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</si>
  <si>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</si>
  <si>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</si>
  <si>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</si>
  <si>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</si>
  <si>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</si>
  <si>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</si>
  <si>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</si>
  <si>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</si>
  <si>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</si>
  <si>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</si>
  <si>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</si>
  <si>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</si>
  <si>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</si>
  <si>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</si>
  <si>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</si>
  <si>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</si>
  <si>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</si>
  <si>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</si>
  <si>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</si>
  <si>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</si>
  <si>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</si>
  <si>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</si>
  <si>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II. POZOSTAŁE  PRZEDSIĘWZIĘCIA  W ZAKRESIE ADMINISTRACJI I  TELEKOMUNIKACJI </t>
  </si>
  <si>
    <t>rozdz. 70005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</si>
  <si>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</si>
  <si>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</si>
  <si>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</si>
  <si>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</si>
  <si>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</si>
  <si>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</si>
  <si>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Zamek Książąt Pomorskich 
w Szczecinie - nadzór WKNiDN</t>
  </si>
  <si>
    <t>rozdz.
92109</t>
  </si>
  <si>
    <t>Zachodniopomorski Zarząd Melioracji i Urządzeń Wodnych pod nadzorem Wydziału Rolnictwa i Rybactwa</t>
  </si>
  <si>
    <t>rozdz. 01008</t>
  </si>
  <si>
    <t>rozdz. 01041</t>
  </si>
  <si>
    <t xml:space="preserve">II. POZOSTAŁE  PRZEDSIĘWZIĘCIA W ZAKRESIE ROLNICTWA I OCHRONY ŚRODOWISKA </t>
  </si>
  <si>
    <t>I. PRZEDSIĘWZIĘCIA FINANSOWANE PRZY WSPÓŁUDZIALE ŚRODKÓW, O KTÓRYCH MOWA W ART. 5 UST. 1 PKT 2 I 3 UFP W ZAKRESIE KULTURY FIZYCZNEJ  I TURYSTYKI</t>
  </si>
  <si>
    <t>rozdz.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</si>
  <si>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</si>
  <si>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</si>
  <si>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</si>
  <si>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</si>
  <si>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</si>
  <si>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</si>
  <si>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</si>
  <si>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</si>
  <si>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</si>
  <si>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</si>
  <si>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</si>
  <si>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</si>
  <si>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</si>
  <si>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</si>
  <si>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</si>
  <si>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</si>
  <si>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</si>
  <si>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</si>
  <si>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</si>
  <si>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</si>
  <si>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</si>
  <si>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</si>
  <si>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</si>
  <si>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</si>
  <si>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</si>
  <si>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</si>
  <si>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</si>
  <si>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</si>
  <si>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</si>
  <si>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 xml:space="preserve"> PROJEKTY  INWESTYCYJNE</t>
  </si>
  <si>
    <t>Udział środków UE w realizacji projektu (min. 60%)</t>
  </si>
  <si>
    <t>Nr decyzji</t>
  </si>
  <si>
    <t xml:space="preserve">Planowana wartość kosztorysowa zadania </t>
  </si>
  <si>
    <t>Wydatki ogółem, w tym:</t>
  </si>
  <si>
    <t xml:space="preserve">środki z budżetu krajowego (środki z budżetu województwa - WW) </t>
  </si>
  <si>
    <t>środki z budżetu UE (płatności z UE)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</si>
  <si>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</si>
  <si>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</si>
  <si>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Modernizacja budynku internatu przy pl. Orła Białego 2 
w Szczecinie Akademii Sztuki w Szczecinie  (2013-2015)</t>
  </si>
  <si>
    <t>rozdz. 75095</t>
  </si>
  <si>
    <t>2019 r.</t>
  </si>
  <si>
    <t xml:space="preserve">2020 r. </t>
  </si>
  <si>
    <t>2020 r.</t>
  </si>
  <si>
    <t>Akademia Sztuki   
w Szczecinie 
pod nadzorem Wydziału Edukacji  
i Sportu</t>
  </si>
  <si>
    <t xml:space="preserve">Dofinansowanie kolejowych przewozów pasażerskich (2013-2020)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</si>
  <si>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</si>
  <si>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</si>
  <si>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</si>
  <si>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</si>
  <si>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</si>
  <si>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</si>
  <si>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</si>
  <si>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</si>
  <si>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</si>
  <si>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</si>
  <si>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22.</t>
  </si>
  <si>
    <t>23.</t>
  </si>
  <si>
    <t>WTiG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</si>
  <si>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</si>
  <si>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</si>
  <si>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</si>
  <si>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</si>
  <si>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</si>
  <si>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WZS/ WIiT</t>
  </si>
  <si>
    <t>rodz.  75863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</si>
  <si>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</si>
  <si>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</si>
  <si>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</si>
  <si>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</si>
  <si>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środki z Unii Europejskiej (refundacja)</t>
  </si>
  <si>
    <t>spr źródeł</t>
  </si>
  <si>
    <t>spr doch suma dziedzin</t>
  </si>
  <si>
    <t>poręczenia dla ZOZ-ów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</si>
  <si>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</si>
  <si>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</si>
  <si>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</si>
  <si>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</si>
  <si>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</si>
  <si>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</si>
  <si>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</si>
  <si>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</si>
  <si>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</si>
  <si>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</si>
  <si>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2023 r.</t>
  </si>
  <si>
    <t>2021 r.</t>
  </si>
  <si>
    <t>2022 r.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</si>
  <si>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</si>
  <si>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</si>
  <si>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</si>
  <si>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</si>
  <si>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</si>
  <si>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</si>
  <si>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</si>
  <si>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</si>
  <si>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</si>
  <si>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</si>
  <si>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</si>
  <si>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</si>
  <si>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</si>
  <si>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</si>
  <si>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</si>
  <si>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</si>
  <si>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</si>
  <si>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</si>
  <si>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</si>
  <si>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</si>
  <si>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</si>
  <si>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</si>
  <si>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</si>
  <si>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</si>
  <si>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</si>
  <si>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</si>
  <si>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</si>
  <si>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</si>
  <si>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</si>
  <si>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</si>
  <si>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</si>
  <si>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</si>
  <si>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</si>
  <si>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</si>
  <si>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PROJEKTY WYŁĄCZANE Z WPF</t>
  </si>
  <si>
    <t>Lp.</t>
  </si>
  <si>
    <t>Wydatki</t>
  </si>
  <si>
    <t>Dochody</t>
  </si>
  <si>
    <t>19.</t>
  </si>
  <si>
    <t>21.</t>
  </si>
  <si>
    <t>WOiRZL</t>
  </si>
  <si>
    <t xml:space="preserve">Wsparcie gmin w opracowaniu albo aktualizacji programów rewitalizacji w ramach PO Pomoc Techniczna (2016 - 2018) </t>
  </si>
  <si>
    <t>9b</t>
  </si>
  <si>
    <t>9c</t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</si>
  <si>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</si>
  <si>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t>środki z budżetu województwa (subwencja)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</si>
  <si>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</si>
  <si>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</si>
  <si>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Oś X, Pomoc techniczna RPO WZ 2014-2020 (2015-2023)</t>
  </si>
  <si>
    <t>Konsolidacja siedziby Urzędu Marszałkowskiego Województwa Zachodniopomorskiego - razem etap A i B  (2016-2020)</t>
  </si>
  <si>
    <t>rozdz. 
60001
75863</t>
  </si>
  <si>
    <t>Brak decyzji</t>
  </si>
  <si>
    <t>Wspieranie innowacyjnych ekosystemów przedsiębiorczości w regionach na rzecz młodych przedsiębiorców (iEER) w ramach Interreg VC (2016-2020)</t>
  </si>
  <si>
    <t>rozdz. 
15011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</si>
  <si>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</si>
  <si>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</si>
  <si>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</si>
  <si>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</si>
  <si>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</si>
  <si>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</si>
  <si>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</si>
  <si>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WWT/
WOiRZL</t>
  </si>
  <si>
    <t>ROPS/
WOiRZL</t>
  </si>
  <si>
    <t>Regionalny Szpital 
w Kołobrzegu 
pod nadzorem WZ</t>
  </si>
  <si>
    <t>WZS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</si>
  <si>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</si>
  <si>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</si>
  <si>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</si>
  <si>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</si>
  <si>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Dochody z UE</t>
  </si>
  <si>
    <t>BRAK</t>
  </si>
  <si>
    <t xml:space="preserve">środki z budżetu krajowego (środki z budżetu województwa - WW, PF) </t>
  </si>
  <si>
    <t>środki z budżetu krajowego (środki z budżetu województwa - WW</t>
  </si>
  <si>
    <t xml:space="preserve">środki z budżetu krajowego (środki z budżetu województwa - WW </t>
  </si>
  <si>
    <t>II.</t>
  </si>
  <si>
    <t>Część 
Lp</t>
  </si>
  <si>
    <t xml:space="preserve">WPROW 
</t>
  </si>
  <si>
    <t>RBGP WZ w Szczecinie pod nadzorem WZS</t>
  </si>
  <si>
    <t>Sprawdzenie</t>
  </si>
  <si>
    <t>ZESTAWIENIE PRZEDSIĘWZIĘĆ W PODZIALE NA PROJEKTY, KTÓRE MAJĄ PODPISANE UMOWY ORAZ NA PROJEKTY BEZ PODPISANYCH UMÓW DO CELÓW WPF</t>
  </si>
  <si>
    <t>POZYCJE DO UZUPEŁNIENIA RĘCZNEGO W WPF</t>
  </si>
  <si>
    <t>Umowa nr DPT/BDG-II/POPT/26/16 z dnia 11 maja 2016 r.</t>
  </si>
  <si>
    <t>Umowa o dofinansowanie projektu Pomocy Technicznej w ramach PO WER 2014-2020 
Nr UDA-POWR.60.01.00-32-2202/15-00 z dn. 22 stycznia 2016 r.</t>
  </si>
  <si>
    <t>Aneks nr 2 z  dnia 5 lutego 2015 r., aneks nr 3 z dnia 16.09.2015 r. do umowy dotacji nr DIP/BDG-II/POPT/63/14 z dnia 28 kwietnia 2014 r.</t>
  </si>
  <si>
    <t>Umowa partnerska 
z dnia 15.08.2016 r.</t>
  </si>
  <si>
    <t>Umowa partnerska
z dnia 19.09.2016 r.</t>
  </si>
  <si>
    <t>Umowa o realizację działań dla Wolontariatu Europejskiego EVS z dnia 15.03.2016 r.</t>
  </si>
  <si>
    <t>Umowa partnerska podpisana w dniu 19 lipca 2016</t>
  </si>
  <si>
    <t>Umowa partnerska podpisana w dniu 28 lipca 2016</t>
  </si>
  <si>
    <t xml:space="preserve">a) Kwoty wyszczególnione w poz. 12.5. </t>
  </si>
  <si>
    <t xml:space="preserve">Porozumienie Nr 1/2016 z dnia 25 stycznia 2016 r. zawarte pomiędzy  Wojewodą a WZ </t>
  </si>
  <si>
    <t>Kontrakt Terytorialny dla WZ z dnia 12 listopada 2014 r. Aneks do KT z sierpnia 2016 r.
Zawiadomienie MR o kwotach ujętych w budżecie państwa.</t>
  </si>
  <si>
    <t xml:space="preserve">a) Kwoty wyszczególnione w poz. 12.6. </t>
  </si>
  <si>
    <t>PROJEKTY INWESTYCYJNE JEDNOROCZNE</t>
  </si>
  <si>
    <t>PROJEKTY BIEŻĄCE JEDNOROCZNE</t>
  </si>
  <si>
    <t>dane do formuły sprawdzającej</t>
  </si>
  <si>
    <t>środki z budżetu krajowego (środki z budżetu województwa - fundusze</t>
  </si>
  <si>
    <t>PROJEKTY BIEŻĄCE Z DOFINANSOWANIEM Z UE NA POZIOMIE PONIŻEJ 60%</t>
  </si>
  <si>
    <t>PROJEKTY INWESTYCYJNE  Z DOFINANSOWANIEM Z UE NA POZIOMIE PONIŻEJ 60%</t>
  </si>
  <si>
    <t>środki z budżetu krajowego (środki z budżetu państwa)</t>
  </si>
  <si>
    <t>środki z budżetu krajowego (środki z budżetu województwa - WW, fundusze</t>
  </si>
  <si>
    <t>środki z budżetu krajowego (środki z budżetu województwa - środki z budżetu państwa</t>
  </si>
  <si>
    <t>środki z budżetu krajowego (środki z budżetu województwa - WW , środki z budżetu państwa</t>
  </si>
  <si>
    <t>Umowa partnerska
z dnia 26.09.2016 r.</t>
  </si>
  <si>
    <t>Bieżące utrzymanie dróg i mostów (2017-2020)</t>
  </si>
  <si>
    <t>Przebudowa dróg i mostów (2017-2020)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</si>
  <si>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</si>
  <si>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</si>
  <si>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</si>
  <si>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</si>
  <si>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</si>
  <si>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</si>
  <si>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</si>
  <si>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 xml:space="preserve"> MAJĄTKOWE (WYDATKI)</t>
  </si>
  <si>
    <t>Dokumentacje techniczne na zadania drogowe (2011-2020)</t>
  </si>
  <si>
    <t>Oś X, Pomoc techniczna RPO WZ 2014-2020 - wydatki majątkowe (2015-2023)</t>
  </si>
  <si>
    <t>dotacje celowe/płatności z UE</t>
  </si>
  <si>
    <t>rozdz. 92109</t>
  </si>
  <si>
    <t>Zamek Książąt Pomorskich w Szczecinie - nadzór WKNiDN</t>
  </si>
  <si>
    <t>rozdz. 71012</t>
  </si>
  <si>
    <t xml:space="preserve">
WWT/
WOiRZL</t>
  </si>
  <si>
    <t xml:space="preserve">środki z budżetu krajowego </t>
  </si>
  <si>
    <t xml:space="preserve">Zakupy inwestycyjne w ramach wsparcia gmin w opracowaniu albo aktualizacji programów rewitalizacji w ramach PO Pomoc Techniczna (2016 - 2018) </t>
  </si>
  <si>
    <t>majątkowe/
bieżące*</t>
  </si>
  <si>
    <t>Porozumienie 
z dnia 12.01.2016 r.</t>
  </si>
  <si>
    <t>Decyzja Nr RPZP.05.01.00-32-0004/16  z dnia 8 listopada 2016 r,</t>
  </si>
  <si>
    <t>rozdz. 
15011
75018</t>
  </si>
  <si>
    <t xml:space="preserve"> - Gmina i Miasto Koszalin/AZR</t>
  </si>
  <si>
    <t>Decyzja Nr RPZP.04.06.00-32-0002/16-00 z dnia 20 grudnia 2016 r.</t>
  </si>
  <si>
    <t>Decyzja Nr RPZP.04.06.00-32-0003/16-00 z dnia 20 grudnia 2016 r.</t>
  </si>
  <si>
    <t>Decyzja Nr RPZP.04.06.00-32-0001/16-00 z dnia 20 grudnia 2016 r.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</si>
  <si>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</si>
  <si>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 xml:space="preserve">RAZEM  ZMNIEJSZENIE </t>
  </si>
  <si>
    <t>w tym</t>
  </si>
  <si>
    <t xml:space="preserve"> §§ z czwartą cyfrą 1, 7, 8</t>
  </si>
  <si>
    <t>BW</t>
  </si>
  <si>
    <t>BD</t>
  </si>
  <si>
    <t>MW</t>
  </si>
  <si>
    <t>MD</t>
  </si>
  <si>
    <t>WU</t>
  </si>
  <si>
    <t>DOCHODY MAJĄTKOWE  unijne</t>
  </si>
  <si>
    <t>DOCHODY BIEŻĄCE unijne</t>
  </si>
  <si>
    <t>WYDATKI BIEŻĄCE</t>
  </si>
  <si>
    <t>BU</t>
  </si>
  <si>
    <t>PRZEDSIĘWZIĘCIA POSIADAJĄCE DECYZJE /DOKUMENTY  PRZYZNAJĄCE DOFINANSOWANIE ZE  ŚROKÓW Z UE - WYDATKI</t>
  </si>
  <si>
    <t>b) Kwota wydatków zaplanowanych na PT RPO Oś X przez WOiRZL (czwarta cyfra 0), obejmująca wkład unijny - formuła Tab. 6E</t>
  </si>
  <si>
    <t>BRAK UMÓW</t>
  </si>
  <si>
    <t>MAJĄTKOWE  WYDATKI</t>
  </si>
  <si>
    <t xml:space="preserve">MAJĄTKOWE DOCHODY unijne </t>
  </si>
  <si>
    <t>PROJEKTY  JEDNOROCZNE</t>
  </si>
  <si>
    <t>rozdz. 01078</t>
  </si>
  <si>
    <t>Utrzymanie szlaków rowerowych na wybranych odcinkach wałów przeciwpowodziowych w Województwie Zachodniopomorskim</t>
  </si>
  <si>
    <t>Dokumentacje techniczne na budowę sieci tras rowerowych Pomorza Zachodniego w ramach Osi IV RPO (2017-2018)</t>
  </si>
  <si>
    <t>środki z budżetu krajowego (środki z budżetu województwa - WW i PJ</t>
  </si>
  <si>
    <t>Utrzymanie szlaków rowerowych na wybranych odcinkach wałów przeciwpowodziowych w Województwie Zachodniopomorskim (2019 - 2023)</t>
  </si>
  <si>
    <t>Zespół Parków Krajobrazowych WZ pod nadzorem WTG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</si>
  <si>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</si>
  <si>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</si>
  <si>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t>rozdz. 63003,    75018</t>
  </si>
  <si>
    <t>rozdz. 92116</t>
  </si>
  <si>
    <t>Książnica Pomorska w Szczecinie - nadzór WKNiDN</t>
  </si>
  <si>
    <t xml:space="preserve"> - WWŚRPO</t>
  </si>
  <si>
    <t>WWŚRPO</t>
  </si>
  <si>
    <t>WTiG / WOiRZL</t>
  </si>
  <si>
    <t>IW INTERREG VA drogi - wydatki</t>
  </si>
  <si>
    <t>IW  INTERREG  VA drogi - dochody</t>
  </si>
  <si>
    <t>INTERREG VC (wsparcie przedsiębiorczości) - wydatki</t>
  </si>
  <si>
    <t>INTERREG VC (wsparcie przedsiębiorczości) - dochody</t>
  </si>
  <si>
    <t>BRAK UMOWY</t>
  </si>
  <si>
    <t>BIEŻĄCE  WYDATKI</t>
  </si>
  <si>
    <t xml:space="preserve">BIEŻĄCE DOCHODY unijne </t>
  </si>
  <si>
    <t>b) Suma wkładu krajowego na projekty z dofinansowaniem poniżej 60% oraz projektów z umowami zawartymi przed 1 stycznia 2013 r. - formuła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</si>
  <si>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</si>
  <si>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</si>
  <si>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</si>
  <si>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</si>
  <si>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t>rozdz. 75018
75095
90011*</t>
  </si>
  <si>
    <t xml:space="preserve"> * dotyczy wykonania wydatków WFOŚiGW</t>
  </si>
  <si>
    <t>WZS, WWRPO, WOiRZL, GM, WWŚRPO</t>
  </si>
  <si>
    <t>Samodzielny Publiczny Wojewódzki
Szpital
 Zespolony w Szczecinie pod nadzorem WZ</t>
  </si>
  <si>
    <t>wydatki unijne</t>
  </si>
  <si>
    <t>Limit` 17</t>
  </si>
  <si>
    <t>Wykonanie wg sprawozdania</t>
  </si>
  <si>
    <t xml:space="preserve">Różnica
</t>
  </si>
  <si>
    <t>WZS, WWRPO, GM, WWŚRPO</t>
  </si>
  <si>
    <t>Budowa wiaduktu w m. Rzeczyca w ciągu drogi nr 206 (2017-2018)</t>
  </si>
  <si>
    <t>Zintegrowane wsparcie dla rodzin i pieczy zastępczej na terenie województwa zachodniopomorskiego w ramach działania 7.6 RPO WZ (2017-2018)</t>
  </si>
  <si>
    <t>rozdz. 
75864</t>
  </si>
  <si>
    <t>rozdz. 
75863</t>
  </si>
  <si>
    <t>GM</t>
  </si>
  <si>
    <t>COiE</t>
  </si>
  <si>
    <t>rozdz. 
75018
75075</t>
  </si>
  <si>
    <t>rozdz. 
75075</t>
  </si>
  <si>
    <t>PROJEKTY NOWE WPROWADZANE DO WPF</t>
  </si>
  <si>
    <t>w tym:</t>
  </si>
  <si>
    <t>rozdz. 71095</t>
  </si>
  <si>
    <t xml:space="preserve">RAZEM  ZWIĘKSZENIE </t>
  </si>
  <si>
    <t xml:space="preserve">w 2016 r. przesunięcie między źródłami fin o kwotę 747 zł </t>
  </si>
  <si>
    <t>2016 r. uwzględniono dokumentację</t>
  </si>
  <si>
    <t xml:space="preserve"> - dziedziny</t>
  </si>
  <si>
    <t>CZĘŚĆ I</t>
  </si>
  <si>
    <t>DOCHODY BIEŻĄCE</t>
  </si>
  <si>
    <t>DOCHODY MAJĄTKOWE</t>
  </si>
  <si>
    <t>suma</t>
  </si>
  <si>
    <t>◄ kwota poręczeń w latach 2021-2032</t>
  </si>
  <si>
    <t>brak umowy</t>
  </si>
  <si>
    <t>Prawa i obowiązki dla projektu nr RPZP.07.06.00-32-K027/16 zatwierdzone przez ZWZ w dniu 27 marca 2017 r. (UZW Nr 500/17)</t>
  </si>
  <si>
    <t>Nr umowy STHB.02.01.00-22-0067/16 z dnia 10 lutego 2017 r.</t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</si>
  <si>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</si>
  <si>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>Młodzież w działaniu, Prowadzenie Punktu Informacji Europejskiej</t>
    </r>
    <r>
      <rPr>
        <sz val="11"/>
        <rFont val="Arial CE"/>
        <charset val="238"/>
      </rPr>
      <t xml:space="preserve"> (środki Komisji Europejskiej), </t>
    </r>
    <r>
      <rPr>
        <b/>
        <sz val="11"/>
        <rFont val="Arial CE"/>
        <charset val="238"/>
      </rPr>
      <t>GRUNTVIG</t>
    </r>
    <r>
      <rPr>
        <b/>
        <sz val="1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</si>
  <si>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rFont val="Arial CE"/>
        <charset val="238"/>
      </rPr>
      <t xml:space="preserve">(środki Komisji Europejskiej), </t>
    </r>
    <r>
      <rPr>
        <b/>
        <sz val="11"/>
        <rFont val="Arial CE"/>
        <charset val="238"/>
      </rPr>
      <t>GRUNTVIG</t>
    </r>
    <r>
      <rPr>
        <sz val="11"/>
        <rFont val="Arial CE"/>
        <charset val="238"/>
      </rPr>
      <t xml:space="preserve"> </t>
    </r>
    <r>
      <rPr>
        <b/>
        <sz val="11"/>
        <rFont val="Arial CE"/>
        <family val="2"/>
        <charset val="238"/>
      </rPr>
      <t>- dochody</t>
    </r>
  </si>
  <si>
    <t xml:space="preserve">► różnica </t>
  </si>
  <si>
    <t>Decyzja jest - do uzupełnienia - po 5 czerwca</t>
  </si>
  <si>
    <t>KAŻDORAZOWO PRZY SPORZĄDZANIU ZMIAN WPF PYTAĆ SIĘ CZY ZOSTAŁY ZAWARTE UMOWY O DOFINANSOWANIE</t>
  </si>
  <si>
    <t>rozdz.
60095</t>
  </si>
  <si>
    <t>rozdz. 60095
75018</t>
  </si>
  <si>
    <t>Regionalny Punkt Kontaktowy - Pomoc Techniczna w ramach Programu Współpracy INTERREG VA - wydatki bieżące (2016-2020)</t>
  </si>
  <si>
    <t>INTERREG VB  TENTacle; TalkNET - Sieć zainteresowanych  - wydatki</t>
  </si>
  <si>
    <t>INTERREG VB  TENTacle; TalkNET - Sieć zainteresowanych - dochody</t>
  </si>
  <si>
    <t xml:space="preserve"> Interreg VA Program Południowy Bałtyk - wydatki</t>
  </si>
  <si>
    <t>IW INTERREG VA Pomoc Tech. (WWT Poludniowy Bałtyk; Regionalny Punkt Kontaktowy) - wydatki</t>
  </si>
  <si>
    <t>IW  INTERREG VA Pomoc Tech.  ((WWT Poludniowy Bałtyk; Regionalny Punkt Kontaktowy) ) - dochody</t>
  </si>
  <si>
    <t xml:space="preserve"> Interreg VA Program Południowy Bałtyk    - dochody</t>
  </si>
  <si>
    <t>Przebudowa odcinków szlakowych dróg wojewódzkich (2017-2019)</t>
  </si>
  <si>
    <t>rozdz. 63003/75018</t>
  </si>
  <si>
    <t>WTIG</t>
  </si>
  <si>
    <t>Modernizacja sieci komputerowej logicznej i elektrycznej w Książnicy Pomorskiej (2017-2018)</t>
  </si>
  <si>
    <t>Decyzja podpisana - po 5 czerwca</t>
  </si>
  <si>
    <t>rozdz. 
60013</t>
  </si>
  <si>
    <t>umowa</t>
  </si>
  <si>
    <r>
      <t xml:space="preserve">D. </t>
    </r>
    <r>
      <rPr>
        <b/>
        <sz val="9"/>
        <rFont val="Arial CE"/>
        <charset val="238"/>
      </rPr>
      <t xml:space="preserve">Wydatki majątkowe </t>
    </r>
    <r>
      <rPr>
        <b/>
        <sz val="10"/>
        <rFont val="Arial CE"/>
        <charset val="238"/>
      </rPr>
      <t xml:space="preserve">NOWE - UJĘTE W WPF </t>
    </r>
    <r>
      <rPr>
        <b/>
        <sz val="9"/>
        <rFont val="Arial CE"/>
        <charset val="238"/>
      </rPr>
      <t xml:space="preserve">
</t>
    </r>
    <r>
      <rPr>
        <sz val="9"/>
        <rFont val="Arial CE"/>
        <charset val="238"/>
      </rPr>
      <t>Do</t>
    </r>
    <r>
      <rPr>
        <sz val="8"/>
        <rFont val="Arial CE"/>
        <charset val="238"/>
      </rPr>
      <t xml:space="preserve"> nowych przedsięwzięć inwestycyjnych zaliczamy zadania, których realizacja rozpoczyna się od danego roku budżetowego i posiadające plan wydatków od tego roku. </t>
    </r>
    <r>
      <rPr>
        <b/>
        <sz val="8"/>
        <rFont val="Arial CE"/>
        <charset val="238"/>
      </rPr>
      <t xml:space="preserve">
</t>
    </r>
    <r>
      <rPr>
        <b/>
        <i/>
        <sz val="8"/>
        <rFont val="Arial CE"/>
        <charset val="238"/>
      </rPr>
      <t xml:space="preserve">Uwaga: </t>
    </r>
    <r>
      <rPr>
        <i/>
        <sz val="8"/>
        <rFont val="Arial CE"/>
        <charset val="238"/>
      </rPr>
      <t xml:space="preserve">
W przypadku wprowadzenia do WPF w danym roku budżetowym nowego zadania, na które nie zostały poniesione żadne nakłady finansowe, a także nie podpisano umów z wykonawcami i zachodzi konieczność przesunięcia nakładów  na lata następne,  zadanie to traktowane jest  dopiero w roku następnym jako nowe.
Zakupy inwestycyjne  wynikające z wyodrębnienia planu z projektu bieżącego (m.in. projekty pomocy technicznej różnych programów operacyjnych) okres realizacji mają taki sam jak przedsięwzięcie główne. 
Przy projektowaniu budżetu na rok kolejny inwestycje, które rozpoczęły się w roku poprzedzającym rok budżetowy traktowane są jako kontynuowane, natowmiast w latach prognozowanych, przeliczanych wskaźnikiem wszystkie zadania inwestycyjne traktowane są jako nowe. </t>
    </r>
  </si>
  <si>
    <t>kontynuowane</t>
  </si>
  <si>
    <t>CZĘŚĆ II - BIEŻĄCA - bez umów</t>
  </si>
  <si>
    <t>CZĘŚĆ II - MAJĄTKOWA - bez umów</t>
  </si>
  <si>
    <t>CZĘŚĆ I  - BIEŻĄCA - umowy</t>
  </si>
  <si>
    <t>CZĘŚĆ I  - MAJĄTKOWA - umowy</t>
  </si>
  <si>
    <t>Realizator</t>
  </si>
  <si>
    <t xml:space="preserve">Nr zadania </t>
  </si>
  <si>
    <t xml:space="preserve">Umowa zawarta (Tak -  podać nr umowy i datę zawarcia)
/ Brak Umowy </t>
  </si>
  <si>
    <t>Bałtyckie trasy dziedzictwa w ramach Programu Interreg Południowy Bałtyk (2017-2020)</t>
  </si>
  <si>
    <t>Regionalny Punkt Kontaktowy - Pomoc Techniczna w ramach Programu Współpracy INTERREG VA - wydatki majątkowe  (2016-2020)</t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</si>
  <si>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</si>
  <si>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</si>
  <si>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</si>
  <si>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t>Poręczenie kredytu konsolidacyjnego dla Samodzielnego Publicznego Wojewódzkiego Szpitala Zespolonego  w Szczecinie (2017-2032)**</t>
  </si>
  <si>
    <t>dotacje celowe / płatności z UE**</t>
  </si>
  <si>
    <t>Wsparcie techniczne Interreg VA Południowy Bałtyk - wydatki bieżące (2015-2020)</t>
  </si>
  <si>
    <t>Poręczenie kredytu dla Szpitala w Szczecinie Zdunowie - następca prawny SPWSZ w Szczecinie  (2014-2022)</t>
  </si>
  <si>
    <t>do 2016 r.</t>
  </si>
  <si>
    <t>do 2016</t>
  </si>
  <si>
    <t>WYDATKI</t>
  </si>
  <si>
    <t>DOCHODY</t>
  </si>
  <si>
    <t>8a</t>
  </si>
  <si>
    <t>8b</t>
  </si>
  <si>
    <t>Wielkość nakładów poniesiona do końca 2016 r.</t>
  </si>
  <si>
    <t>Decyzja Nr RPZP.05.01.00-32.0001/17/00 z 26 czerwca 2017 r.</t>
  </si>
  <si>
    <r>
      <rPr>
        <b/>
        <sz val="9"/>
        <rFont val="Calibri"/>
        <family val="2"/>
        <charset val="238"/>
      </rPr>
      <t>↓</t>
    </r>
    <r>
      <rPr>
        <b/>
        <i/>
        <sz val="12.6"/>
        <rFont val="Arial CE"/>
        <charset val="238"/>
      </rPr>
      <t xml:space="preserve"> </t>
    </r>
    <r>
      <rPr>
        <i/>
        <sz val="8"/>
        <rFont val="Arial CE"/>
        <charset val="238"/>
      </rPr>
      <t>drogi realizowane w ramach perspektywy finansowej 2007-2014, zakończone (wypłata odszkodowań)</t>
    </r>
  </si>
  <si>
    <t>Wymiana i rozbudowa parku maszyn i urządzeń ZZDW w Koszalinie (2016-2018)</t>
  </si>
  <si>
    <r>
      <t xml:space="preserve">Kontrakt Terytorialny dla WZ z dnia 12 listopada 2014 r. Aneks do KT z sierpnia 2016 r. </t>
    </r>
    <r>
      <rPr>
        <sz val="9"/>
        <rFont val="Arial CE"/>
        <charset val="238"/>
      </rPr>
      <t>oraz</t>
    </r>
    <r>
      <rPr>
        <b/>
        <sz val="9"/>
        <rFont val="Arial CE"/>
        <family val="2"/>
        <charset val="238"/>
      </rPr>
      <t xml:space="preserve"> zawiadomienie MR o kwotach ujętych w budżecie państwa.</t>
    </r>
  </si>
  <si>
    <t>decyzja z 25.09.17</t>
  </si>
  <si>
    <t>Decyzja o dofinansowaniu projektu Nr RPZP.05.01.00-32.0004/17/00</t>
  </si>
  <si>
    <t xml:space="preserve">Decyzja o dofinansowanie projektu Nr RPZP.05.01.00-32-0005/17-01 z dnia 2 października 2017 r. </t>
  </si>
  <si>
    <t xml:space="preserve">* kwota wykonania 2016 r. (250 844 zł) jednak nie jest zgodna ze sprawozdaniem RB, wynika z faktycznie poniesionych przez jednostkę wydatków </t>
  </si>
  <si>
    <t>Prognozowane nakłady inwestycyjne /dochody 
w latach 2018 - 2023</t>
  </si>
  <si>
    <r>
      <t>Limit zobowiązań na lata 2018-20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</si>
  <si>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Prognozowane nakłady inwestycyjne / dochody z tytułu realizacji projektów  w latach 2018-2023</t>
  </si>
  <si>
    <t>Limity zobowiązań 2018-2023 i lata następne</t>
  </si>
  <si>
    <t>GM/COIiE/WWT, WTiG/WOiRZL</t>
  </si>
  <si>
    <t>Zrealizowane nakłady/ 
uzyskane dochody do 2016 r.</t>
  </si>
  <si>
    <t>Zrealizowane nakłady/
uzyskane dochody w 2016 r.</t>
  </si>
  <si>
    <t>Limity zobowiązań 2018-2023  i lata następne</t>
  </si>
  <si>
    <t>Limit zobowiązań 
w latach 
2018-2023</t>
  </si>
  <si>
    <r>
      <t xml:space="preserve">Tabela Nr 6F </t>
    </r>
    <r>
      <rPr>
        <i/>
        <sz val="12"/>
        <rFont val="Arial CE"/>
        <charset val="238"/>
      </rPr>
      <t xml:space="preserve"> do Załącznika Nr 3</t>
    </r>
  </si>
  <si>
    <t>WUP 
w Szczecinie 
pod nadzorem COIiE</t>
  </si>
  <si>
    <t>WUP
 w Szczecinie 
pod nadzorem COIiE</t>
  </si>
  <si>
    <t>Specjalistyczny Szpital im. A. Sokołowskiego 
w Szczecinie - Zdunowo - następca prawny SPWSZ 
w Szczecinie   
pod nadzorem WZ</t>
  </si>
  <si>
    <t>ZZMiUW w Szczecinie
w likwidacji 
pod nadzorem WRiR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</si>
  <si>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</si>
  <si>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6H </t>
    </r>
    <r>
      <rPr>
        <i/>
        <sz val="12"/>
        <rFont val="Arial CE"/>
        <charset val="238"/>
      </rPr>
      <t>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</si>
  <si>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</si>
  <si>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Limity zobowiązań 2017-2023 i lata następne</t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</si>
  <si>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</si>
  <si>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Limity zobowiązań 2017-2023  i lata następne</t>
  </si>
  <si>
    <t>Limit zobowiązań 
w latach 
2017-2023</t>
  </si>
  <si>
    <t>25.</t>
  </si>
  <si>
    <t>Wzmocnienie pozycji regionalnej gospodarki, Pomorze Zachodnie - Ster na innowacje w ramach osi I RPO WZ - wydatki bieżące (2017-2020)</t>
  </si>
  <si>
    <t>Wzmocnienie pozycji regionalnej gospodarki, Pomorze Zachodnie - Ster na innowacje w ramach osi I RPO WZ - wydatki majątkowe (2017-2020)</t>
  </si>
  <si>
    <t>Wzmacnianie ochrony bociana białego i nietoperzy oraz realizacja zadań czynnej ochrony w rezerwatach przyrody na obszarach parków krajobrazowych województwa zachodniopomorskiego - majątkowe" w ramach RPO (2017-2020)</t>
  </si>
  <si>
    <t>Budowa Morskiego Centrum Nauki w Szczecinie w ramach osi IX RPO WZ 2014-2020 (2011-2022)</t>
  </si>
  <si>
    <t>Morskie Centrum Nauki w Szczecinie i Muzeum Narodowe w Szczecinie - nadzór WKNiDN</t>
  </si>
  <si>
    <t>dotacje celowe z budżetu państwa (poza budzetem)</t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</si>
  <si>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</si>
  <si>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środki z budżetu krajowego</t>
  </si>
  <si>
    <t xml:space="preserve"> Muzeum Narodowe w Szczecinie - nadzór WKNiDN</t>
  </si>
  <si>
    <t>Wypłata odszkodowań za nieruchomości pod planowane inwestycje drogowe  (2012-2018)</t>
  </si>
  <si>
    <t>Decyzja Nr RPZP.05.01.00-32-0002/17  z dnia 17 października 2017 r.</t>
  </si>
  <si>
    <t>decyzja z listopada 2017</t>
  </si>
  <si>
    <t xml:space="preserve">Decyzja o dofinansowanie projektu Nr RPZP.05.01.00-32-0007/17 z dnia 22 listopada 2017 r. </t>
  </si>
  <si>
    <t>CZĘŚĆ II</t>
  </si>
  <si>
    <t xml:space="preserve"> Interreg VA Meklemburgia-Pomorze Przednie/ Brandenburgia/ Polska - wydatki</t>
  </si>
  <si>
    <t xml:space="preserve"> Interreg VA Meklemburgia-Pomorze Przednie/ Brandenburgia/ Polska - dochody</t>
  </si>
  <si>
    <t>dotacje celowe / płatności z UE ***</t>
  </si>
  <si>
    <t>Umowa partnerska 
z dnia 3 sierpnia 2016 r.</t>
  </si>
  <si>
    <t xml:space="preserve">rozdz. 
75018
85295
</t>
  </si>
  <si>
    <t>Dobre Wsparcie - system lokalnych usług społecznych w ramach działania 7.6 RPO WZ - wydatki bieżące (2018-2019)</t>
  </si>
  <si>
    <t>Dobre Wsparcie - system lokalnych usług społecznych w ramach działania 7.6 RPO WZ - wydatki majątkowe (2018-2019)</t>
  </si>
  <si>
    <t xml:space="preserve">rozdz. 
85295
</t>
  </si>
  <si>
    <t>Limit` 18</t>
  </si>
  <si>
    <t>Ekonomia społeczna kluczem do sukcesu - II w ramach działania 7.5 RPO WZ (2018-2019)</t>
  </si>
  <si>
    <t>Decyzja nr RPZP.01.14.00-32-0001/17-01 z dn. 11.12.2017 r. zm. Decyzję nr RPZP.01.14.00-32-0001/17-00 z dn. 11.12.2017 r.</t>
  </si>
  <si>
    <t>Wsparcie techniczne Interreg VA Południowy Bałtyk - wydatki majątkowe (2015-2020)</t>
  </si>
  <si>
    <t>środki z budżetu krajowego (WW i RW)</t>
  </si>
  <si>
    <t>Umowa leasingu samochodu osobowego (2016-2019)</t>
  </si>
  <si>
    <t>Nazwa zadania</t>
  </si>
  <si>
    <t xml:space="preserve">Kwota wydatków </t>
  </si>
  <si>
    <t>Kwota dochodów</t>
  </si>
  <si>
    <t>Nr umowy STHB.02.01.00-32-0082/16-00 
z dnia 25 września 2017 r.</t>
  </si>
  <si>
    <t xml:space="preserve">Umowa partnerska 
z dnia 19 maja 2017 r. 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</si>
  <si>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(2008-2017)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</si>
  <si>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</si>
  <si>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</si>
  <si>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</si>
  <si>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</si>
  <si>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</si>
  <si>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</si>
  <si>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t>Wykonanie 
2017 r.</t>
  </si>
  <si>
    <t>Wykonanie
2017 r.</t>
  </si>
  <si>
    <t>ROPS
WZS</t>
  </si>
  <si>
    <t xml:space="preserve">rozdz. 
75018
85595
</t>
  </si>
  <si>
    <t>rozdz. 
85395</t>
  </si>
  <si>
    <t>PO WER, w tym Pomoc Techniczna - dochody</t>
  </si>
  <si>
    <t>PO WER, w tym Pomoc Techniczna - wydatki</t>
  </si>
  <si>
    <t>Rozbudowa drogi wojewódzkiej nr 114 na szlakowym odcinku Brzózki - Trzebież oraz przebudowa przejścia przez miejscowości Warnołęka i Brzózki w ramach Osi V RPO WZ (2018-2020)</t>
  </si>
  <si>
    <t>Rozbudowa Teatru Polskiego w Szczecinie w ramach RPO WZ (2018-2021)</t>
  </si>
  <si>
    <t xml:space="preserve">ROPS
</t>
  </si>
  <si>
    <t xml:space="preserve">rozdz. 
85595
</t>
  </si>
  <si>
    <t xml:space="preserve">Kompleksowe zagospodarowanie tarasów Zamku Książąt Pomorskich w Szczecinie (2015-2020) </t>
  </si>
  <si>
    <t>Decyzje 
Nr RPZP.05.06.00-32-0002/16-00 z dnia 20 grudnia 2016 r.</t>
  </si>
  <si>
    <t xml:space="preserve">Decyzja Nr RPZP.05.06.00.32-0001/17-00 (prawo opcji) z dnia 27 grudnia 2017 r. </t>
  </si>
  <si>
    <t>26.</t>
  </si>
  <si>
    <t>Decyzja o dofinansowaniu projektu 
z dnia 9.02.2018 
Nr POWER.02.08..00-00-0023/17-00</t>
  </si>
  <si>
    <t>Decyzja Nr RPZP.07.06.00-32-K111/17 
z dnia 7 marca 2018 r. 
(uchwała zatwierdzajaca Nr 383 ZWZ)</t>
  </si>
  <si>
    <t>27.</t>
  </si>
  <si>
    <t>Decyzja Nr RPZP.07.06.00-32-K112/17 
z dnia 27 marca 2018 r.</t>
  </si>
  <si>
    <t>28.</t>
  </si>
  <si>
    <t>Decyzja Nr RPZP.07.06.00-32-K.006/17-00 z dnia 27.02.2018</t>
  </si>
  <si>
    <t>Umowa partnerska STHB.02.01.00-22-0080/16-00 z 12.02.2018</t>
  </si>
  <si>
    <t>Oś Priorytetowa VI, Pomoc Techniczna w ramach  PO WER 2014 - 2020 (2015-2023)</t>
  </si>
  <si>
    <t>Azymut-Samodzielność w ramach, Osi II, działania 2.8 PO WER (2018-2022)</t>
  </si>
  <si>
    <t>Kurs na Rodzinę w ramach działania 7.6 RPO WZ (2018-2020)</t>
  </si>
  <si>
    <t>Akademia Rodzica Zastępczego w ramach działania 7.6 RPO WZ (2018-2019)</t>
  </si>
  <si>
    <t>Limity zobowiązań 2018-2032 i lata następne</t>
  </si>
  <si>
    <t>29.</t>
  </si>
  <si>
    <t>30.</t>
  </si>
  <si>
    <t>31.</t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</si>
  <si>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</si>
  <si>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rozdz. 92118/</t>
    </r>
    <r>
      <rPr>
        <sz val="8"/>
        <rFont val="Arial CE"/>
        <charset val="238"/>
      </rPr>
      <t xml:space="preserve"> od 2018 roku </t>
    </r>
    <r>
      <rPr>
        <b/>
        <sz val="8"/>
        <rFont val="Arial CE"/>
        <charset val="238"/>
      </rPr>
      <t>- 92114</t>
    </r>
  </si>
  <si>
    <r>
      <t xml:space="preserve">rozdz. 92118/ </t>
    </r>
    <r>
      <rPr>
        <sz val="8"/>
        <rFont val="Arial CE"/>
        <charset val="238"/>
      </rPr>
      <t>od 2018 roku</t>
    </r>
    <r>
      <rPr>
        <b/>
        <sz val="8"/>
        <rFont val="Arial CE"/>
        <charset val="238"/>
      </rPr>
      <t xml:space="preserve"> - 92114</t>
    </r>
  </si>
  <si>
    <t>Umowa o dofinansowanie z EFRR
Program Współpracy Interreg VA
nr akt INT 23 z dnia 11 stycznia 2018 r.</t>
  </si>
  <si>
    <t>Umowa partnerska 
z dnia 8 stycznia 2018 r.</t>
  </si>
  <si>
    <t xml:space="preserve">           </t>
  </si>
  <si>
    <t xml:space="preserve">          </t>
  </si>
  <si>
    <t xml:space="preserve">         </t>
  </si>
  <si>
    <t xml:space="preserve">Plan B projekty bieżące + majątkowe (na podstawie wydruku z planuB)                                                                                                       </t>
  </si>
  <si>
    <t>Różnica pomiędzy Planem B a powyższym zestawieniem dot. wydatkow</t>
  </si>
  <si>
    <t>wydatki nie ujmowane w zestawieniu (rezerwy, ben. zew.) - suma</t>
  </si>
  <si>
    <t>A.</t>
  </si>
  <si>
    <t>B.</t>
  </si>
  <si>
    <t>Przebudowa i rozbudowa przejścia drogi woj. nr 114 przez m. Brzózki w ramach IW INTERREG V A (2016-2017)</t>
  </si>
  <si>
    <t>ROPS/
WZS</t>
  </si>
  <si>
    <t>Gospodarowanie nieruchomościami należącymi do zasobu Województwa Zachodniopomorskiego (2010-2018)</t>
  </si>
  <si>
    <t>Konserwatorskie Niebo - zakup wyposażenia do Pracowni Działu Konserwacji Muzeum Narodowego w Szczecinie w ramach PO IiŚ 2014 - 2020 (2017-2019)</t>
  </si>
  <si>
    <t>rozdz. 60013, 75863</t>
  </si>
  <si>
    <t>rodz.  60013, 75863</t>
  </si>
  <si>
    <t>rozdz. 05011</t>
  </si>
  <si>
    <t xml:space="preserve">Umowa o dofinansowanie projektu Nr POWR.02.05.00-00-0207/17-00 z dnia 28 marca 2018 r. </t>
  </si>
  <si>
    <t>Pomoc Techniczna Programu Operacyjnego „Rybactwo i Morze 2014-2020” (2016-2023)</t>
  </si>
  <si>
    <t>Rozbudowa drogi wojewódzkiej nr 151 na odcinku Płotno-Pełczyce w ramach Osi V RPO WZ (2018-2019)</t>
  </si>
  <si>
    <t xml:space="preserve">Edukacja przyrodnicza w parkach krajobrazowych województwa zachodniopomorskiego w ramach działania 4.5 RPO WZ (2018-2020) </t>
  </si>
  <si>
    <t>Opracowanie projektów planów ochrony 5 parków krajobrazowych oraz aktualizacja planów ochrony 2 parków krajobrazowych w ramach działania 4.8 RPO WZ (2019-2023)</t>
  </si>
  <si>
    <t>Sieć współpracy Skuteczna edukacja w ramach PO WER 2014-2020 (2018-2019)</t>
  </si>
  <si>
    <r>
      <t xml:space="preserve">PRZEDSIĘWZIĘCIA </t>
    </r>
    <r>
      <rPr>
        <b/>
        <sz val="12"/>
        <rFont val="Arial Black"/>
        <family val="2"/>
        <charset val="238"/>
      </rPr>
      <t>BEZ  DECYZJI</t>
    </r>
    <r>
      <rPr>
        <b/>
        <sz val="12"/>
        <rFont val="Arial CE"/>
        <charset val="238"/>
      </rPr>
      <t xml:space="preserve"> /DOKUMENTU
O PRZYZNANYM DOFINANSOWANIU </t>
    </r>
  </si>
  <si>
    <r>
      <t>POZ. 12.6.1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-</t>
    </r>
    <r>
      <rPr>
        <b/>
        <sz val="9"/>
        <rFont val="Arial CE"/>
        <charset val="238"/>
      </rPr>
      <t xml:space="preserve"> Wydatki na wkład krajowy </t>
    </r>
    <r>
      <rPr>
        <sz val="9"/>
        <rFont val="Arial CE"/>
        <charset val="238"/>
      </rPr>
      <t xml:space="preserve">(na projekty z  min. 60% dofinansowania z UE) w </t>
    </r>
    <r>
      <rPr>
        <b/>
        <sz val="9"/>
        <rFont val="Arial CE"/>
        <charset val="238"/>
      </rPr>
      <t xml:space="preserve">związku z już zawartą umową </t>
    </r>
    <r>
      <rPr>
        <sz val="9"/>
        <rFont val="Arial CE"/>
        <charset val="238"/>
      </rPr>
      <t>na realizację danego programu, projektu lub zadania - umowy zawarte</t>
    </r>
    <r>
      <rPr>
        <b/>
        <sz val="9"/>
        <rFont val="Arial CE"/>
        <charset val="238"/>
      </rPr>
      <t xml:space="preserve"> (a - b)</t>
    </r>
  </si>
  <si>
    <r>
      <t>b) Wkład krajowy na projekty z dofinansowaniem min. 60%, na które</t>
    </r>
    <r>
      <rPr>
        <b/>
        <sz val="10"/>
        <rFont val="Arial CE"/>
        <charset val="238"/>
      </rPr>
      <t xml:space="preserve"> nie zostały zawarte umowy</t>
    </r>
    <r>
      <rPr>
        <sz val="10"/>
        <rFont val="Arial CE"/>
        <charset val="238"/>
      </rPr>
      <t xml:space="preserve"> -  formuła</t>
    </r>
  </si>
  <si>
    <t>Umowa Nr 1/IR/2018 z dnia 3 stycznia 2018 r. zawarta pomiędzy Wojewodą a WZ (rozporządzenie MGMiŻŚ z dnia 22 sierpnia 2017 r. )</t>
  </si>
  <si>
    <t>32.</t>
  </si>
  <si>
    <r>
      <t xml:space="preserve">POZ. 11.5. - Nowe wydatki inwestycyjne (§ 605 i 606):
</t>
    </r>
    <r>
      <rPr>
        <sz val="10"/>
        <rFont val="Arial CE"/>
        <charset val="238"/>
      </rPr>
      <t>Formuła: Suma wierszy B+C+D→</t>
    </r>
    <r>
      <rPr>
        <b/>
        <i/>
        <sz val="10"/>
        <rFont val="Arial CE"/>
        <charset val="238"/>
      </rPr>
      <t>tylko § 605</t>
    </r>
    <r>
      <rPr>
        <sz val="10"/>
        <rFont val="Arial CE"/>
        <charset val="238"/>
      </rPr>
      <t>). W latach 2022-2023 w poz. tej wprowadza się kwotę wydatków stanowiącą różnicę poz. 2.2. i poz. 11.4. W następnych latach 2024 -2046 dane wynikają z różnicy pomiędzy poz. 2.2 i 11.6. (liczonej wskaźnikiem)</t>
    </r>
  </si>
  <si>
    <t>Oś Priorytetowa VI, Pomoc Techniczna w ramach  PO WER 2014-2020 - wydatki majątkowe (2015-2023)</t>
  </si>
  <si>
    <t>Rozbudowa drogi wojewódzkiej nr 114 na szlakowym odcinku Brzózki - Trzebież oraz przebudowa przejścia przez miejscowości Warnołęka i Brzózki w ramach Osi V RPO WZ (2016-2020)</t>
  </si>
  <si>
    <t>WIiT / WZS</t>
  </si>
  <si>
    <t>WUP
 w Szczecinie
pod nadzorem COIiE</t>
  </si>
  <si>
    <t>COIiE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</si>
  <si>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(2013-2020)</t>
    </r>
  </si>
  <si>
    <r>
      <t>Bałtyckie Obszary Energii - Perspektywa Planistyczna BEA-APP</t>
    </r>
    <r>
      <rPr>
        <sz val="9"/>
        <rFont val="Arial CE"/>
        <family val="2"/>
        <charset val="238"/>
      </rPr>
      <t xml:space="preserve"> w ramach programu EWT Region Morza Bałtyckiego (2016-2019)</t>
    </r>
  </si>
  <si>
    <r>
      <t xml:space="preserve">Zrównoważona mobilność na obszarze ostatniej mili w regionach turystycznych (LAST MILE) </t>
    </r>
    <r>
      <rPr>
        <sz val="9"/>
        <rFont val="Arial CE"/>
        <family val="2"/>
        <charset val="238"/>
      </rPr>
      <t>w ramach programu EWT Region Morza Bałtyckiego (2016-2020)</t>
    </r>
  </si>
  <si>
    <t>SUMA PARAGRAFÓW (606)</t>
  </si>
  <si>
    <t>SUMA PARAGRAFÓW (605)</t>
  </si>
  <si>
    <t>Suma paragrafów 605 i 606 (A+B) - dane pomocnicze z systemu PlanB</t>
  </si>
  <si>
    <t>Kooperacja - efektywna i skuteczna w ramach działania 2.5. PO WER (2018-2021)</t>
  </si>
  <si>
    <t>Nawigator Samodzielności w ramach działania 7.6 RPO WZ (2018-2020)</t>
  </si>
  <si>
    <t>Nawigator Samodzielności w ramach działania 7.6 RPO WZ - wydatki majątkowe (2018 - 2020)</t>
  </si>
  <si>
    <t>"Zachodniopomorskie Małe Skarby" w ramach działania 6.6 RPO WZ 2014-2020 (2018-2020)</t>
  </si>
  <si>
    <t>wkład własny (poza budżetem)</t>
  </si>
  <si>
    <t>Remont instalacji elektrycznej skrzydła Menniczego budynku Zamku Książąt Pomorskich w Szczecinie (2018-2019)</t>
  </si>
  <si>
    <t>Decyzja Nr RPZP.04.05.00-32-A003/17 
z dnia 22 maja 2018 r.</t>
  </si>
  <si>
    <t>Decyzja o dofinansowanie projektu Nr RPZP.04.04.00-32-A001/16-00 z 15 maja 2018 (wersja pierwotna RPZP.04.04.00-32-A001/17-00 z dnia 11 września 2017 r. )</t>
  </si>
  <si>
    <t>33.</t>
  </si>
  <si>
    <t>34.</t>
  </si>
  <si>
    <t>35.</t>
  </si>
  <si>
    <t>do końca 2016 r.</t>
  </si>
  <si>
    <t>Zakup instrumentów muzycznych na potrzeby działalności kulturalnej Opery na Zamku w Szczecinie (2018-2019)</t>
  </si>
  <si>
    <t>Opera na Zamku w Szczecinie - nadzór WKNiDN</t>
  </si>
  <si>
    <t xml:space="preserve">
WWT</t>
  </si>
  <si>
    <r>
      <t xml:space="preserve">POZ. 11.4. - Wydatki inwestycyjne kontynuowane (§ 605 i 606):
</t>
    </r>
    <r>
      <rPr>
        <sz val="10"/>
        <rFont val="Arial CE"/>
        <charset val="238"/>
      </rPr>
      <t>Formuła: Suma paragrafów 605 i 606 minus poz. 11.5 - nowe wydatki inwestycyjne. W latach 2022-2023 w poz. tej wprowadza się kwotę wydatków majątkowych wyszczególnionych w tabeli Nr 6 - cz. I i cz. II - formuła</t>
    </r>
  </si>
  <si>
    <t>Wyposażenie w nowoczesny sprzęt Zachodniopomorskiej Książnicy Cyfrowej w Szczecinie w ramach Osi VIII PO IiŚ (2016-2018)</t>
  </si>
  <si>
    <t>PROJEKTY  REALIZOWANE  W  RAMACH  PW  INTERREG</t>
  </si>
  <si>
    <t>Przebudowa i rozbudowa przejścia drogi wojewódzkiej nr 120 przez m. Wełtyń w ramach PW INTERREG V A (2016-2018)</t>
  </si>
  <si>
    <t>Przebudowa i rozbudowa przejścia drogowego przez m. Tanowo na drodze woj. Nr 115 w ramach PW INTERREG V A (2010-2019)</t>
  </si>
  <si>
    <t>Przebudowa i rozbudowa przejścia drogi woj. nr 122 przez m. Krzywin (etap II) w ramach PW INTERREG V A (2019-2020)</t>
  </si>
  <si>
    <t>Przebudowa i rozbudowa przejścia drogi woj. nr 125 przez m. Moryń i m. Bielin w ramach PW INTERREG V A (2019-2020)</t>
  </si>
  <si>
    <t>TENTacle – wykorzystanie korytarzy sieci bazowej TEN-T w ramach PW INTERREG VB (2016-2019)</t>
  </si>
  <si>
    <t>TalkNET - Sieć zainteresowanych podmiotów z sektora transportu i logistyki w ramach PW INTERREG VB (2017-2020)</t>
  </si>
  <si>
    <r>
      <t xml:space="preserve">Tabela Nr 6C </t>
    </r>
    <r>
      <rPr>
        <sz val="10"/>
        <rFont val="Arial"/>
        <family val="2"/>
        <charset val="238"/>
      </rPr>
      <t xml:space="preserve"> do Załącznika Nr 3</t>
    </r>
  </si>
  <si>
    <r>
      <t>POZ. 2.1.1.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WYDATKI BIEŻĄCE z tytułu poręczeń i gwarancji</t>
    </r>
    <r>
      <rPr>
        <sz val="10"/>
        <rFont val="Arial CE"/>
        <charset val="238"/>
      </rPr>
      <t xml:space="preserve">
Kwoty pobierane są z arkusza Tab 6C - Ochrona zdrowia - formuła.
Do prognozy w PlanieB do 2021 r. kwoty pobierane są automatycznie z systemu natomiast od roku 2022 do 2028 kwoty należy wpisywać ręcznie. </t>
    </r>
  </si>
  <si>
    <r>
      <t>POZ. 12.2.1.1.</t>
    </r>
    <r>
      <rPr>
        <sz val="10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DOCHODY MAJĄTKOWE</t>
    </r>
    <r>
      <rPr>
        <sz val="9"/>
        <rFont val="Arial CE"/>
        <charset val="238"/>
      </rPr>
      <t xml:space="preserve">  ( z grupy paragrafów z czwartą cyf. </t>
    </r>
    <r>
      <rPr>
        <sz val="9"/>
        <rFont val="Arial Black"/>
        <family val="2"/>
        <charset val="238"/>
      </rPr>
      <t>1, 7, 8</t>
    </r>
    <r>
      <rPr>
        <sz val="9"/>
        <rFont val="Arial CE"/>
        <charset val="238"/>
      </rPr>
      <t xml:space="preserve">) obejmujące środki określone w art. 5 ust 1 pkt 2 ustawy wynikające </t>
    </r>
    <r>
      <rPr>
        <b/>
        <sz val="9"/>
        <rFont val="Arial CE"/>
        <charset val="238"/>
      </rPr>
      <t xml:space="preserve">wyłącznie z zawartych umów </t>
    </r>
    <r>
      <rPr>
        <sz val="9"/>
        <rFont val="Arial CE"/>
        <charset val="238"/>
      </rPr>
      <t>na realizację programu, projektu lub zadania (a - b)</t>
    </r>
  </si>
  <si>
    <r>
      <t>POZ. 12.3.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BIEŻĄCE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>( z grupy paragrafów z czwartą cyf.</t>
    </r>
    <r>
      <rPr>
        <sz val="9"/>
        <rFont val="Arial Black"/>
        <family val="2"/>
        <charset val="238"/>
      </rPr>
      <t xml:space="preserve"> 1, 2, 5, 6,7,8,9</t>
    </r>
    <r>
      <rPr>
        <sz val="9"/>
        <rFont val="Arial CE"/>
        <charset val="238"/>
      </rPr>
      <t>)</t>
    </r>
    <r>
      <rPr>
        <b/>
        <sz val="9"/>
        <rFont val="Arial CE"/>
        <charset val="238"/>
      </rPr>
      <t xml:space="preserve"> na programy, projekty lub zadania finansowane z udziałem środków, o których mowa w art. 5 ust. 1 pkt 2 i 3</t>
    </r>
    <r>
      <rPr>
        <sz val="9"/>
        <rFont val="Arial CE"/>
        <charset val="238"/>
      </rPr>
      <t xml:space="preserve">  (a  + b)</t>
    </r>
  </si>
  <si>
    <r>
      <t xml:space="preserve">b) Wkład własny na PT RPO Oś X zaplanowany przez WOiRZL zakwalifikowany z czwartą cyfrą 0 (patrz arkusz administracja)
</t>
    </r>
    <r>
      <rPr>
        <b/>
        <sz val="9"/>
        <rFont val="Arial CE"/>
        <charset val="238"/>
      </rPr>
      <t>Uwaga od 2017 r. dane pobierane automatycznie do poz. 12.3. (w związku z wprowadzeniem rezerwy celowej na § z czwartą cyfrą 9).</t>
    </r>
  </si>
  <si>
    <r>
      <t>POZ. 12.6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-</t>
    </r>
    <r>
      <rPr>
        <b/>
        <sz val="9"/>
        <rFont val="Arial CE"/>
        <charset val="238"/>
      </rPr>
      <t xml:space="preserve"> Wydatki na wkład krajowy </t>
    </r>
    <r>
      <rPr>
        <sz val="9"/>
        <rFont val="Arial CE"/>
        <charset val="238"/>
      </rPr>
      <t xml:space="preserve">w związku z </t>
    </r>
    <r>
      <rPr>
        <b/>
        <sz val="9"/>
        <rFont val="Arial CE"/>
        <charset val="238"/>
      </rPr>
      <t>zawartą po dniu 1</t>
    </r>
    <r>
      <rPr>
        <sz val="9"/>
        <rFont val="Arial CE"/>
        <charset val="238"/>
      </rPr>
      <t xml:space="preserve"> </t>
    </r>
    <r>
      <rPr>
        <b/>
        <sz val="9"/>
        <rFont val="Arial CE"/>
        <charset val="238"/>
      </rPr>
      <t>stycznia</t>
    </r>
    <r>
      <rPr>
        <sz val="9"/>
        <rFont val="Arial CE"/>
        <charset val="238"/>
      </rPr>
      <t xml:space="preserve"> 2013 r. umową na realizację programu, projektu lub zadania finansowanego </t>
    </r>
    <r>
      <rPr>
        <b/>
        <sz val="9"/>
        <rFont val="Arial CE"/>
        <charset val="238"/>
      </rPr>
      <t>co najmniej 60%</t>
    </r>
    <r>
      <rPr>
        <sz val="9"/>
        <rFont val="Arial CE"/>
        <charset val="238"/>
      </rPr>
      <t xml:space="preserve"> środkami, o których mowa w art. 5 ust 1 pkt 2 ustawy  </t>
    </r>
    <r>
      <rPr>
        <b/>
        <sz val="9"/>
        <rFont val="Arial CE"/>
        <charset val="238"/>
      </rPr>
      <t xml:space="preserve"> (a - b)</t>
    </r>
  </si>
  <si>
    <r>
      <rPr>
        <b/>
        <sz val="11"/>
        <rFont val="Arial CE"/>
        <charset val="238"/>
      </rPr>
      <t>B</t>
    </r>
    <r>
      <rPr>
        <sz val="10"/>
        <rFont val="Arial CE"/>
        <charset val="238"/>
      </rPr>
      <t>. Suma paragrafów 606 z systemu PlanB (zadania finansowane w ramach tego paragrafu traktowane są jako</t>
    </r>
    <r>
      <rPr>
        <b/>
        <sz val="10"/>
        <rFont val="Arial CE"/>
        <charset val="238"/>
      </rPr>
      <t xml:space="preserve"> NOWE </t>
    </r>
    <r>
      <rPr>
        <sz val="10"/>
        <rFont val="Arial CE"/>
        <charset val="238"/>
      </rPr>
      <t>z wyjątkiem zadań ujętych w WPF wyszczególnionych poniżej</t>
    </r>
  </si>
  <si>
    <r>
      <rPr>
        <b/>
        <sz val="11"/>
        <rFont val="Arial CE"/>
        <charset val="238"/>
      </rPr>
      <t>C.</t>
    </r>
    <r>
      <rPr>
        <sz val="10"/>
        <rFont val="Arial CE"/>
        <charset val="238"/>
      </rPr>
      <t xml:space="preserve"> Suma paragrafów 605 - wydatki inwestycyjne JEDNOROCZNE nie ujęte w WPF (traktowane jako zadania </t>
    </r>
    <r>
      <rPr>
        <b/>
        <sz val="10"/>
        <rFont val="Arial CE"/>
        <charset val="238"/>
      </rPr>
      <t>NOWE</t>
    </r>
    <r>
      <rPr>
        <sz val="10"/>
        <rFont val="Arial CE"/>
        <charset val="238"/>
      </rPr>
      <t>) - dane z systemu PlanB</t>
    </r>
  </si>
  <si>
    <t>PW INTERREG VA 2014 - 2020</t>
  </si>
  <si>
    <t>RPO WZ  2014-2020</t>
  </si>
  <si>
    <t>RPO WZ 2007-2013</t>
  </si>
  <si>
    <t>Przystosowanie mostu europejskiego Siekierki-Neurudnitz do ruchu turystycznego w ramach PW INTERREG VA - wydatki majątkowe (2016-2020)</t>
  </si>
  <si>
    <t>Przystosowanie mostu europejskiego Siekierki-Neurudnitz do ruchu turystycznego w ramach PW INTERREG VA (2016-2020)</t>
  </si>
  <si>
    <t>Zrównoważona turystyka wodna w unikalnej Dolinie Dolnej Odry w ramach PW INTERREG VA - wydatki majątkowe (2016-2020)</t>
  </si>
  <si>
    <t>Zrównoważona turystyka wodna w unikalnej Dolinie Dolnej Odry w ramach PW INTERREG VA (2016-2020)</t>
  </si>
  <si>
    <t>Bałtyckie trasy dziedzictwa w ramach PW INTERREG Południowy Bałtyk (2017-2020)</t>
  </si>
  <si>
    <t>BALTIC STORIES - Rozwój turystyki poprzez profesjonalizację wydarzeń w regionie południowego bałtyku w ramach PW INTERREG Południowy Bałtyk (2017-2020)</t>
  </si>
  <si>
    <t>Fish Markets - dziedzictwo rybołówstwa przybrzeżnego jako potencjał rozwoju turystyki w ramach PW INTERREG Południowy Bałtyk 2014-2020 (2017-2019)</t>
  </si>
  <si>
    <t>Biking South Baltic! Promocja i rozwój Trasy Rowerowej Morza Bałtyckiego (EuroVelo 10) w Danii, Niemczech, Litwie, Polsce i Szwecji w ramach PW INTERREG Południowy Bałtyk (2017-2019) - zakupy inwestycyjne</t>
  </si>
  <si>
    <t>Biking South Baltic! Promocja i rozwój Trasy Rowerowej Morza Bałtyckiego (EuroVelo 10) w Danii, Niemczech, Litwie, Polsce i Szwecji w ramach PW INTERREG Południowy Bałtyk (2017-2019)</t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</si>
  <si>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(2016-2018)</t>
    </r>
  </si>
  <si>
    <t>Pomoc Techniczna  w ramach PROW 2014-2020 (2015-2023)</t>
  </si>
  <si>
    <t>Wzmacnianie ochrony bociana białego i nietoperzy oraz realizacja zadań czynnej ochrony w rezerwatach przyrody na obszarach parków krajobrazowych województwa zachodniopomorskiego - majątkowe w ramach Osi IV RPO WZ (2016-2020)</t>
  </si>
  <si>
    <t xml:space="preserve">Wzmacnianie ochrony bociana białego i nietoperzy oraz realizacja zadań czynnej ochrony w rezerwatach przyrody na obszarach parków krajobrazowych województwa zachodniopomorskiego- bieżące" w ramach Osi IV RPO WZ (2016-2020) </t>
  </si>
  <si>
    <t>Wspólne dziedzictwo wspólna przyszłość w ramach PW INTERREG VA (2014-2020)</t>
  </si>
  <si>
    <t>Wspólne dziedzictwo wspólna przyszłość w ramach PW INTERREG VA - wydatki majątkowe (2014-2020)</t>
  </si>
  <si>
    <t>DOCHODY ŁĄCZNIE - 
stan na 26 WRZEŚNIA 2018 r.</t>
  </si>
  <si>
    <t>podać nr umowy do arkusza dane do wpf</t>
  </si>
  <si>
    <t>umowa do uzupełnienia w arkuszu dane do wpf</t>
  </si>
  <si>
    <t>II. POZOSTAŁE  PRZEDSIĘWZIĘCIA  W ZAKRESIE OŚWIATY I EDUKACYJNEJ OPIEKI WYCHOWAWCZEJ</t>
  </si>
  <si>
    <t>rozdz. 80395</t>
  </si>
  <si>
    <t xml:space="preserve">Stypendia dla młodzieży rozpoczynającej naukę na uczelniach wyższych na obszarze województwa zachodniopomorskiego (2018-2023) </t>
  </si>
  <si>
    <t>Rozbudowa drogi wojewódzkiej nr 111 na odcinku Recław - Stepnica w ramach Osi V RPO WZ (2018-2021)</t>
  </si>
  <si>
    <t>Decyzja Nr RPZP.04.08.00-32-A006/17 z dnia 12 lipca 2018 r.</t>
  </si>
  <si>
    <t>ZZMiUW w Szczecinie
w likwidacji   
pod nadzorem WRiR/
WTiG</t>
  </si>
  <si>
    <t>ZZMiUW</t>
  </si>
  <si>
    <t>Modernizacja i remont dziedzińców Zamku Książąt Pomorskich w Szczecinie (2017-2020)</t>
  </si>
  <si>
    <t>rozdz. 85141</t>
  </si>
  <si>
    <t>Wojewódzka Stacja Pogotowia Ratunkowego w Szczecinie
pod nadzorem WZ</t>
  </si>
  <si>
    <t>Wsparcie budowy nowych siedzib Wojewódzkiej Stacji Pogotowia Ratunkowego w Szczecinie (2019-2021)</t>
  </si>
  <si>
    <t>rozdz. 85195</t>
  </si>
  <si>
    <t>dotacje celowe z budżetu państwa (kontrakt wojewódzki)</t>
  </si>
  <si>
    <t>Wydział 
Zdrowia</t>
  </si>
  <si>
    <t xml:space="preserve">dotacje celowe / płatności z UE </t>
  </si>
  <si>
    <t>Decyzje  
Nr RPZP.04.09.00-32-P001/16-00
 z dnia 20 grudnia 2016 r.</t>
  </si>
  <si>
    <t>Decyzje  
 Nr RPZP.04.09.00-32-P002/16-00
z dnia 20 grudnia 2016 r.</t>
  </si>
  <si>
    <t xml:space="preserve">I. PRZEDSIĘWZIĘCIA FINANSOWANE PRZY WSPÓŁUDZIALE ŚRODKÓW, O KTÓRYCH MOWA W ART. 5 UST. 1 PKT 2 I 3 UFP  W ZAKRESIE OCHRONY ZDROWIA </t>
  </si>
  <si>
    <t>Szlaki rowerowe na wybranych odcinkach wałów przeciwpowodziowych w województwie zachodniopomorskim w ramach Osi IV RPO - suma nowych nazw zadania (2017-2019)</t>
  </si>
  <si>
    <t>Wydział 
Zdrowia, Wydział Zarządzania Strategicznego</t>
  </si>
  <si>
    <t xml:space="preserve">Wydział Organizacji i Rozwoju Zasobów Ludzkich </t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</si>
  <si>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32.586.323 zł</t>
    </r>
    <r>
      <rPr>
        <i/>
        <sz val="8"/>
        <rFont val="Arial CE"/>
        <charset val="238"/>
      </rPr>
      <t>.</t>
    </r>
  </si>
  <si>
    <t>Wspólny Sekretariat - Pomoc Techniczna w ramach  Programu Współpracy INTERREG VA (2016-2022)</t>
  </si>
  <si>
    <r>
      <t xml:space="preserve">Zachodniopomorskie e-zdrowie (2018-2021) w ramach Osi IX RPO WZ - </t>
    </r>
    <r>
      <rPr>
        <sz val="9"/>
        <rFont val="Arial CE"/>
        <charset val="238"/>
      </rPr>
      <t>wydatki majątkowe</t>
    </r>
  </si>
  <si>
    <r>
      <t xml:space="preserve">Zachodniopomorskie e-zdrowie (2018-2021) w ramach Osi IX RPO WZ - </t>
    </r>
    <r>
      <rPr>
        <sz val="9"/>
        <rFont val="Arial CE"/>
        <charset val="238"/>
      </rPr>
      <t>wydatki bieżące</t>
    </r>
  </si>
  <si>
    <r>
      <t xml:space="preserve">Przebudowa drogi wojewódzkiej nr 102 na odcinku Międzywodzie -Dziwnów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</si>
  <si>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109 na odcinku Trzebiatów - Płoty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</si>
  <si>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b/>
        <sz val="9"/>
        <rFont val="Arial CE"/>
        <family val="2"/>
        <charset val="238"/>
      </rPr>
      <t xml:space="preserve"> (2016-2018)</t>
    </r>
    <r>
      <rPr>
        <b/>
        <sz val="9"/>
        <rFont val="Arial CE"/>
        <charset val="238"/>
      </rPr>
      <t>*</t>
    </r>
  </si>
  <si>
    <t>Budowa Regionalnej Infrastruktury Informacji Przestrzennej Województwa Zachodniopomorskiego w ramach działania 9.10 RPO WZ - wydatki bieżące (2019 - 2021)</t>
  </si>
  <si>
    <t>rodz. 75863</t>
  </si>
  <si>
    <t xml:space="preserve">rozdz. </t>
  </si>
  <si>
    <t>BP</t>
  </si>
  <si>
    <t>BG</t>
  </si>
  <si>
    <t>BG
WZS</t>
  </si>
  <si>
    <t>rodz. 
75863</t>
  </si>
  <si>
    <t>Budowa Regionalnej Infrastruktury Informacji Przestrzennej Województwa Zachodniopomorskiego w ramach działania 9.10 RPO WZ (2019 - 2021)</t>
  </si>
  <si>
    <t>Zaprojektowanie i wykonanie szlaku rowerowego na wale przeciwpowodziowym nad rzeką Iną, wale Skoszewo i Skoszewo - Czarnocin w ramach Osi IV RPO WZ (2017-2019)</t>
  </si>
  <si>
    <t>Zaprojektowanie i wykonanie szlaku rowerowego na wale przeciwpowodziowym wzdłuż rzeki Chełszcząca i jeziora Dąbie w ramach Osi IV RPO WZ (2017-2019)</t>
  </si>
  <si>
    <t>Teatr Polski 
w Szczecinie - nadzór WKNiDN</t>
  </si>
  <si>
    <t>Strategia Rozwoju Województwa Zachodniopomorskiego do roku 2030 - badania, analizy i oceny eksperckie (2017-2019)</t>
  </si>
  <si>
    <t xml:space="preserve">Numer umowy szczegółowej Europe Direct na 2018 to: ED/US/2018/17
Numer umowy całościowej na lata 2018-2020 to: ED/UR/2018/17
</t>
  </si>
  <si>
    <t>*** W kolumnie 4 uwzględniono dochody w kwocie 50.000 zł, których wpływ zaplanowano na 2024 r.</t>
  </si>
  <si>
    <t>** W kolumnie 4 uwzględniono dochody w kwocie 13.416.714 zł, których wpływ zaplanowano na 2024 r.</t>
  </si>
  <si>
    <t>WYDATKI ŁĄCZNIE - 
stan na GRUDZIEŃ  2018 r.</t>
  </si>
  <si>
    <t>DOCHODY ŁĄCZNIE - 
stan na GRUDZIEŃ 2018 r.</t>
  </si>
  <si>
    <t>WYDATKI ŁĄCZNIE - 
stan na 26 WRZEŚNIA  2018 r.</t>
  </si>
  <si>
    <t>Utrzymanie i naprawy pojazdów szynowych Województwa (2015 -2022)</t>
  </si>
  <si>
    <t>Ubezpieczenie taboru kolejowego Województwa (2011-2022)</t>
  </si>
  <si>
    <t xml:space="preserve">Usługi telekomunikacyjne dla pojazdów szynowych Województwa (2015-2022) </t>
  </si>
  <si>
    <t>Bieżąca obsługa projektów dla tras rowerowych na wałach przeciwpowodziowych w ramach RPO WZ (2018-2019)</t>
  </si>
  <si>
    <t>WSiI</t>
  </si>
  <si>
    <t>WA</t>
  </si>
  <si>
    <t>Dezyzja Nr RPZP.09.10.00-32-0002/18-00 
z dnia listopada 2018 r.</t>
  </si>
  <si>
    <t>Decyzja Nr RPZP.09.10.00-32-0001/18-00 
z dnia 16 października 2018 r. (ze zm)</t>
  </si>
  <si>
    <t>Zakup kolejowego taboru pasażerskiego w ramach Osi V RPO (2020)</t>
  </si>
  <si>
    <t>Wykonanie  2017</t>
  </si>
  <si>
    <t xml:space="preserve">Prognozowane nakłady inwestycyjne 2018-2032
</t>
  </si>
  <si>
    <t>36.</t>
  </si>
  <si>
    <t>- zwrot podatku VAT</t>
  </si>
  <si>
    <t>- odszkodowanie z tyt. katastrofy budowlanej</t>
  </si>
  <si>
    <t>środki budżetu województwa, w tym:</t>
  </si>
  <si>
    <t>Likwidacja skutków katastrofy budowlanej w skrzydle północnym Zamku Książąt Pomorskich w Szczecinie (2017-2019)</t>
  </si>
  <si>
    <t>001-004-205</t>
  </si>
  <si>
    <t>WOiRZL/WTiG</t>
  </si>
  <si>
    <t>TAK - Nr RPZP.04.09.00-32-P001/16-00
 z dnia 20 grudnia 2016 r. + aneksy
Decyzja Nr RPZP.04.06.00-32-0003/16-00 z dnia 20 grudnia 2016 r. + aneksy</t>
  </si>
  <si>
    <t>Budowa sieci tras rowerowych Pomorza Zachodniego - Trasa Nadmorska odc. Pleśna - Mielno w ramach Osi IV RPO WZ (2018-2019)</t>
  </si>
  <si>
    <t>Wieloletnie umowy zapewniające ciągłość działania Urzędu (2012 - 2023)</t>
  </si>
  <si>
    <t>Polsko - niemiecka sieć teatralna (theater-po.net) w ramach programu INTERREG VA (2017-2021)</t>
  </si>
  <si>
    <t>Polsko - niemiecka sieć teatralna (theater-po.net) w ramach programu INTERREG VA - wydatki majątkowe (2017-2021)</t>
  </si>
  <si>
    <t>b) Wkład własny na projekcie pn "Konsolidacja UMWZ" zakwalifikowany z czwartą cyfrą 0 (patrz arkusz: administracja)</t>
  </si>
  <si>
    <r>
      <t xml:space="preserve">Budowa sieci tras rowerowych Pomorza Zachodniego - Trasa Pojezierna </t>
    </r>
    <r>
      <rPr>
        <b/>
        <sz val="9"/>
        <rFont val="Arial CE"/>
        <charset val="238"/>
      </rPr>
      <t>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</si>
  <si>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b/>
        <sz val="9"/>
        <rFont val="Arial CE"/>
        <charset val="238"/>
      </rPr>
      <t>w ramach Osi IV RPO</t>
    </r>
    <r>
      <rPr>
        <b/>
        <sz val="9"/>
        <rFont val="Arial CE"/>
        <family val="2"/>
        <charset val="238"/>
      </rPr>
      <t xml:space="preserve"> WZ (2016-2018)</t>
    </r>
  </si>
  <si>
    <r>
      <t xml:space="preserve">Budowa sieci tras rowerowych Pomorza Zachodniego - Trasa Zielonego Pogranicza odc. Gryfino - Trzcińsko Zdrój </t>
    </r>
    <r>
      <rPr>
        <b/>
        <sz val="9"/>
        <rFont val="Arial CE"/>
        <charset val="238"/>
      </rPr>
      <t>w ramach Osi IV RPO WZ (</t>
    </r>
    <r>
      <rPr>
        <b/>
        <sz val="9"/>
        <rFont val="Arial CE"/>
        <family val="2"/>
        <charset val="238"/>
      </rPr>
      <t>2017-2018)</t>
    </r>
  </si>
  <si>
    <r>
      <t xml:space="preserve">Tabela Nr 6E  </t>
    </r>
    <r>
      <rPr>
        <sz val="10"/>
        <rFont val="Arial"/>
        <family val="2"/>
        <charset val="238"/>
      </rPr>
      <t>do Załącznika Nr 3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</si>
  <si>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</si>
  <si>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</si>
  <si>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Wolontariat europejski EVS, wymiana międzynarodowa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(2016-2019)</t>
    </r>
  </si>
  <si>
    <r>
      <t xml:space="preserve">Tabela Nr 6B  </t>
    </r>
    <r>
      <rPr>
        <sz val="10"/>
        <rFont val="Arial"/>
        <family val="2"/>
        <charset val="238"/>
      </rPr>
      <t>do Załącznika Nr 3</t>
    </r>
  </si>
  <si>
    <r>
      <t xml:space="preserve">PYTAĆ O KOSZTY </t>
    </r>
    <r>
      <rPr>
        <sz val="10"/>
        <rFont val="Arial Black"/>
        <family val="2"/>
        <charset val="238"/>
      </rPr>
      <t xml:space="preserve">POŚREDNIE </t>
    </r>
    <r>
      <rPr>
        <sz val="10"/>
        <rFont val="Arial"/>
        <family val="2"/>
        <charset val="238"/>
      </rPr>
      <t>DO WPROWADZNYCH PROJEKTÓW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</si>
  <si>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(2009-2018)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</si>
  <si>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(2007-2019)</t>
    </r>
  </si>
  <si>
    <r>
      <t>Przebudowa drogi wojewódzkiej nr 142 na odcinku Szczecin - Krzywnica</t>
    </r>
    <r>
      <rPr>
        <sz val="9"/>
        <rFont val="Arial CE"/>
        <family val="2"/>
        <charset val="238"/>
      </rPr>
      <t xml:space="preserve"> w ramach Osi V RPO</t>
    </r>
    <r>
      <rPr>
        <b/>
        <sz val="9"/>
        <rFont val="Arial CE"/>
        <family val="2"/>
        <charset val="238"/>
      </rPr>
      <t xml:space="preserve"> (2016-2018)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</si>
  <si>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(2017-2019)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</si>
  <si>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(2010-2019)</t>
    </r>
  </si>
  <si>
    <r>
      <t xml:space="preserve">Przebudowa ul. Jagiełły w ciągu drogi wojewódzkiej nr 160 i ul. Drawieńskiej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(2016-2019)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</si>
  <si>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</si>
  <si>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</si>
  <si>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(2017-2020)</t>
    </r>
  </si>
  <si>
    <r>
      <t xml:space="preserve">Zakup kolejowego taboru pasażerskiego o napędzie elektrycznym  - prawo opcji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</si>
  <si>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Dokumentacje techniczne na budowę sieci tras rowerowych Pomorza Zachodniego</t>
    </r>
    <r>
      <rPr>
        <b/>
        <sz val="9"/>
        <rFont val="Arial CE"/>
        <charset val="238"/>
      </rPr>
      <t xml:space="preserve"> w ramach Osi IV RPO WZ </t>
    </r>
    <r>
      <rPr>
        <b/>
        <sz val="9"/>
        <rFont val="Arial CE"/>
        <family val="2"/>
        <charset val="238"/>
      </rPr>
      <t xml:space="preserve"> (2018-2020)</t>
    </r>
  </si>
  <si>
    <t>rozdział 75863,
75864</t>
  </si>
  <si>
    <t>RPZP.05.01.00.32-0006/18
z dnia 11 września 2018</t>
  </si>
  <si>
    <t>RPZP.05.01.00.32-0002/18
z dnia 3 października 2018</t>
  </si>
  <si>
    <t>RPZP.05.01.00.32-0001/18
z dnia 3 października 2018</t>
  </si>
  <si>
    <t>Decyzja Nr RPZP.07.05.00-32-P001/17 z dnia 19 lutego 2018 r.</t>
  </si>
  <si>
    <t>Umowa dotacji Nr DZF/BDG-III-POWER-8/10 z dnia 9 lipca 2018 r.</t>
  </si>
  <si>
    <t>Decyzja Nr RPZP.06.06.00-32-P001/18 
z dnia 22 czerwca 2018 r.</t>
  </si>
  <si>
    <t>Budowa obejścia Gryfic - połączenie dróg woj. nr 110 (ul. Niechorska) i nr 105 (ul. Piastów) w ramach Osi V RPO WZ (2019-2021)</t>
  </si>
  <si>
    <t>Budowa obejścia m. Trzebiatów - połączenie drogi woj. nr 103 i nr 102 w ramach Osi V RPO WZ (2019-2020)</t>
  </si>
  <si>
    <t>ZZDW</t>
  </si>
  <si>
    <r>
      <t>POZ. 12.1.1.1.</t>
    </r>
    <r>
      <rPr>
        <sz val="10"/>
        <rFont val="Arial Black"/>
        <family val="2"/>
        <charset val="238"/>
      </rPr>
      <t xml:space="preserve"> </t>
    </r>
    <r>
      <rPr>
        <b/>
        <sz val="9"/>
        <rFont val="Arial Black"/>
        <family val="2"/>
        <charset val="238"/>
      </rPr>
      <t>DOCHODY BIEŻĄCE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 xml:space="preserve">(z grupy paragrafów z czwartą cyf. </t>
    </r>
    <r>
      <rPr>
        <b/>
        <sz val="9"/>
        <rFont val="Arial Black"/>
        <family val="2"/>
        <charset val="238"/>
      </rPr>
      <t>1, 7, 8</t>
    </r>
    <r>
      <rPr>
        <sz val="9"/>
        <rFont val="Arial CE"/>
        <charset val="238"/>
      </rPr>
      <t>)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>obejmujące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 xml:space="preserve">środki określone w art. 5 ust 1 pkt 2 ustawy </t>
    </r>
    <r>
      <rPr>
        <b/>
        <sz val="9"/>
        <rFont val="Arial CE"/>
        <charset val="238"/>
      </rPr>
      <t xml:space="preserve">wynikające wyłącznie z zawartych umów </t>
    </r>
    <r>
      <rPr>
        <sz val="9"/>
        <rFont val="Arial CE"/>
        <charset val="238"/>
      </rPr>
      <t>na realizację programu, projektu lub zadania (a - b)</t>
    </r>
  </si>
  <si>
    <r>
      <t xml:space="preserve">b) </t>
    </r>
    <r>
      <rPr>
        <b/>
        <sz val="9"/>
        <rFont val="Arial CE"/>
        <charset val="238"/>
      </rPr>
      <t>Dochody bieżące</t>
    </r>
    <r>
      <rPr>
        <sz val="9"/>
        <rFont val="Arial CE"/>
        <charset val="238"/>
      </rPr>
      <t xml:space="preserve"> wynikające z projektów, </t>
    </r>
    <r>
      <rPr>
        <b/>
        <sz val="9"/>
        <rFont val="Arial CE"/>
        <charset val="238"/>
      </rPr>
      <t>na które nie podpisano umów</t>
    </r>
    <r>
      <rPr>
        <sz val="9"/>
        <rFont val="Arial CE"/>
        <charset val="238"/>
      </rPr>
      <t xml:space="preserve"> (cz. II, projekty bieżące powyższego zestawienia, wiersz BD) - formuła do 2021 r.
</t>
    </r>
    <r>
      <rPr>
        <b/>
        <sz val="9"/>
        <rFont val="Arial CE"/>
        <charset val="238"/>
      </rPr>
      <t>Uwaga!</t>
    </r>
    <r>
      <rPr>
        <sz val="9"/>
        <rFont val="Arial CE"/>
        <charset val="238"/>
      </rPr>
      <t xml:space="preserve"> Obecnie występują projekty bieżące ujęte w budżecie realizowane bez  zawartych umów.</t>
    </r>
  </si>
  <si>
    <r>
      <t xml:space="preserve">b) </t>
    </r>
    <r>
      <rPr>
        <b/>
        <sz val="9"/>
        <rFont val="Arial CE"/>
        <charset val="238"/>
      </rPr>
      <t>Dochody majątkowe</t>
    </r>
    <r>
      <rPr>
        <sz val="9"/>
        <rFont val="Arial CE"/>
        <charset val="238"/>
      </rPr>
      <t xml:space="preserve"> wynikające z projektów, </t>
    </r>
    <r>
      <rPr>
        <b/>
        <sz val="9"/>
        <rFont val="Arial CE"/>
        <charset val="238"/>
      </rPr>
      <t>na które nie podpisano umów</t>
    </r>
    <r>
      <rPr>
        <sz val="9"/>
        <rFont val="Arial CE"/>
        <charset val="238"/>
      </rPr>
      <t xml:space="preserve"> (cz. II, - projekty majątkowe wyszczególnione w powyższym zestawieniu).</t>
    </r>
  </si>
  <si>
    <r>
      <t>b) Kwota wydatków zaplanowanych na PT RPO Oś X przez WOiRZL (czwarta cyfra 0), obejmująca wkład krajowy i wkład unijny  - formuła Tab. 6E -</t>
    </r>
    <r>
      <rPr>
        <b/>
        <sz val="9"/>
        <rFont val="Arial CE"/>
        <charset val="238"/>
      </rPr>
      <t xml:space="preserve"> do 2023 r..</t>
    </r>
  </si>
  <si>
    <r>
      <t>POZ. 12.3.1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BIEŻĄCE</t>
    </r>
    <r>
      <rPr>
        <b/>
        <sz val="9"/>
        <rFont val="Arial CE"/>
        <charset val="238"/>
      </rPr>
      <t xml:space="preserve"> (</t>
    </r>
    <r>
      <rPr>
        <sz val="9"/>
        <rFont val="Arial CE"/>
        <charset val="238"/>
      </rPr>
      <t>z grupy paragrafów z czwartą cyf</t>
    </r>
    <r>
      <rPr>
        <b/>
        <sz val="9"/>
        <rFont val="Arial CE"/>
        <charset val="238"/>
      </rPr>
      <t xml:space="preserve">. 1, 7, 8) na projekty  </t>
    </r>
    <r>
      <rPr>
        <sz val="9"/>
        <rFont val="Arial CE"/>
        <charset val="238"/>
      </rPr>
      <t xml:space="preserve">finansowane środkami określonymi w art. 5 ust 1 pkt 2 ustawy </t>
    </r>
    <r>
      <rPr>
        <b/>
        <sz val="9"/>
        <rFont val="Arial CE"/>
        <charset val="238"/>
      </rPr>
      <t xml:space="preserve">- </t>
    </r>
    <r>
      <rPr>
        <b/>
        <i/>
        <sz val="9"/>
        <rFont val="Arial CE"/>
        <charset val="238"/>
      </rPr>
      <t>wkład unijny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 xml:space="preserve"> (a  + b)</t>
    </r>
  </si>
  <si>
    <r>
      <t>POZ. 12.3.2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BIEŻĄCE</t>
    </r>
    <r>
      <rPr>
        <b/>
        <sz val="9"/>
        <rFont val="Arial CE"/>
        <charset val="238"/>
      </rPr>
      <t xml:space="preserve"> (</t>
    </r>
    <r>
      <rPr>
        <sz val="9"/>
        <rFont val="Arial CE"/>
        <charset val="238"/>
      </rPr>
      <t>z grupy paragrafów z czwartą cyf</t>
    </r>
    <r>
      <rPr>
        <b/>
        <sz val="9"/>
        <rFont val="Arial CE"/>
        <charset val="238"/>
      </rPr>
      <t xml:space="preserve">. 1, 7, 8) na projekty  </t>
    </r>
    <r>
      <rPr>
        <sz val="9"/>
        <rFont val="Arial CE"/>
        <charset val="238"/>
      </rPr>
      <t xml:space="preserve">finansowane środkami określonymi w art. 5 ust 1 pkt 2 ustawy </t>
    </r>
    <r>
      <rPr>
        <b/>
        <sz val="9"/>
        <rFont val="Arial CE"/>
        <charset val="238"/>
      </rPr>
      <t xml:space="preserve">- </t>
    </r>
    <r>
      <rPr>
        <b/>
        <i/>
        <sz val="9"/>
        <rFont val="Arial CE"/>
        <charset val="238"/>
      </rPr>
      <t xml:space="preserve">wkład unijny - </t>
    </r>
    <r>
      <rPr>
        <b/>
        <sz val="9"/>
        <rFont val="Arial CE"/>
        <charset val="238"/>
      </rPr>
      <t xml:space="preserve">wynikające wyłącznie z zawartych umów.
Kwota z poz. 12.3.1 </t>
    </r>
    <r>
      <rPr>
        <sz val="9"/>
        <rFont val="Arial CE"/>
        <charset val="238"/>
      </rPr>
      <t>pomniejszona o kwotę wydatków bieżących na projektach bez zawartych umów wykazanych w cz. II - bieżącej powyższego zestawienia - formuła.
W przypadku gdy wszystkie projekty bieżące mają podpisane umowy kwota z poz. 12.3.2. odpowiada kwocie z poz. 12.3.1.</t>
    </r>
  </si>
  <si>
    <r>
      <t>POZ. 12.4.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MAJĄTKOWE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>(z grupy paragrafów z czwartą cyf.</t>
    </r>
    <r>
      <rPr>
        <b/>
        <sz val="9"/>
        <rFont val="Arial CE"/>
        <charset val="238"/>
      </rPr>
      <t xml:space="preserve"> 1, 2, 5, 6,7,8,9</t>
    </r>
    <r>
      <rPr>
        <sz val="9"/>
        <rFont val="Arial CE"/>
        <charset val="238"/>
      </rPr>
      <t>)</t>
    </r>
    <r>
      <rPr>
        <b/>
        <sz val="9"/>
        <rFont val="Arial CE"/>
        <charset val="238"/>
      </rPr>
      <t xml:space="preserve"> na programy, projekty lub zadania finansowane z udziałem środków, o których mowa w art. 5 ust. 1 pkt 2 i 3</t>
    </r>
    <r>
      <rPr>
        <sz val="9"/>
        <rFont val="Arial CE"/>
        <charset val="238"/>
      </rPr>
      <t xml:space="preserve">  </t>
    </r>
    <r>
      <rPr>
        <b/>
        <sz val="9"/>
        <rFont val="Arial CE"/>
        <charset val="238"/>
      </rPr>
      <t>-</t>
    </r>
    <r>
      <rPr>
        <b/>
        <i/>
        <sz val="9"/>
        <rFont val="Arial CE"/>
        <charset val="238"/>
      </rPr>
      <t xml:space="preserve"> wkład krajowy i wkład unijny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 xml:space="preserve"> (a  + b) </t>
    </r>
  </si>
  <si>
    <r>
      <t>POZ. 12.4.2.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MAJĄTKOWE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 xml:space="preserve">na realizację programu, projektu lub zadania wynikające wyłącznie z zawartych umów z podmiotem dysponującym środkami, o których mowa w art. 5 ust 1 pkt 2 ustawy  (b - a)
</t>
    </r>
    <r>
      <rPr>
        <b/>
        <sz val="9"/>
        <rFont val="Arial CE"/>
        <charset val="238"/>
      </rPr>
      <t>ZAPYTAĆ SIĘ CZY ZOSTAŁY ZAWARTE UMOWY O DOFINANSOWANIE</t>
    </r>
  </si>
  <si>
    <r>
      <t xml:space="preserve">a) Wydatki majątkowe ( z grupy paragrafów z czwartą cyf. </t>
    </r>
    <r>
      <rPr>
        <b/>
        <sz val="9"/>
        <rFont val="Arial Black"/>
        <family val="2"/>
        <charset val="238"/>
      </rPr>
      <t>1, 7, 8</t>
    </r>
    <r>
      <rPr>
        <sz val="9"/>
        <rFont val="Arial CE"/>
        <charset val="238"/>
      </rPr>
      <t xml:space="preserve">) wynikajace z projektów, </t>
    </r>
    <r>
      <rPr>
        <b/>
        <sz val="9"/>
        <rFont val="Arial CE"/>
        <charset val="238"/>
      </rPr>
      <t>na które nie podpisano umów</t>
    </r>
    <r>
      <rPr>
        <sz val="9"/>
        <rFont val="Arial CE"/>
        <charset val="238"/>
      </rPr>
      <t xml:space="preserve"> (cz. II powyższego zestawienia) - formuła</t>
    </r>
  </si>
  <si>
    <r>
      <t>POZ. 12.5.</t>
    </r>
    <r>
      <rPr>
        <sz val="10"/>
        <rFont val="Arial CE"/>
        <charset val="238"/>
      </rPr>
      <t xml:space="preserve"> -</t>
    </r>
    <r>
      <rPr>
        <b/>
        <sz val="9"/>
        <rFont val="Arial CE"/>
        <charset val="238"/>
      </rPr>
      <t xml:space="preserve"> </t>
    </r>
    <r>
      <rPr>
        <b/>
        <u/>
        <sz val="9"/>
        <rFont val="Arial Black"/>
        <family val="2"/>
        <charset val="238"/>
      </rPr>
      <t xml:space="preserve">Wydatki na wkład krajowy 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 xml:space="preserve">w związku z umową na realizację programu, projektu lub zadania finansowanego z udziałem środków, o których mowa w art. 5 ust 1 pkt 2 ustawy bez względu na stopień finansowania tymi środkami 
</t>
    </r>
    <r>
      <rPr>
        <b/>
        <sz val="9"/>
        <rFont val="Arial CE"/>
        <charset val="238"/>
      </rPr>
      <t>Zadania bieżące i majątkowe - razem (a + b)</t>
    </r>
  </si>
  <si>
    <r>
      <t>POZ. 12.5.1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-</t>
    </r>
    <r>
      <rPr>
        <b/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na wkład krajowy</t>
    </r>
    <r>
      <rPr>
        <sz val="9"/>
        <rFont val="Arial CE"/>
        <charset val="238"/>
      </rPr>
      <t xml:space="preserve"> finansujący </t>
    </r>
    <r>
      <rPr>
        <b/>
        <sz val="9"/>
        <rFont val="Arial CE"/>
        <charset val="238"/>
      </rPr>
      <t>zadania bieżące i majątkowe</t>
    </r>
    <r>
      <rPr>
        <sz val="9"/>
        <rFont val="Arial CE"/>
        <charset val="238"/>
      </rPr>
      <t xml:space="preserve"> </t>
    </r>
    <r>
      <rPr>
        <b/>
        <sz val="9"/>
        <rFont val="Arial CE"/>
        <charset val="238"/>
      </rPr>
      <t>w związku z już zawartą umową</t>
    </r>
    <r>
      <rPr>
        <sz val="9"/>
        <rFont val="Arial CE"/>
        <charset val="238"/>
      </rPr>
      <t xml:space="preserve"> na realizację projektu  </t>
    </r>
    <r>
      <rPr>
        <b/>
        <sz val="9"/>
        <rFont val="Arial CE"/>
        <charset val="238"/>
      </rPr>
      <t>(a - b)</t>
    </r>
    <r>
      <rPr>
        <sz val="9"/>
        <rFont val="Arial CE"/>
        <charset val="238"/>
      </rPr>
      <t>.
Od kwot wyszczególnionych w poz. 12.5. należy odjąć kwoty zaplanowane na projekty, które nie mają jeszcze podpisanej umowy (patrz powyższe zestawienie - część II)</t>
    </r>
  </si>
  <si>
    <r>
      <t>b) Wkład krajowy zaplanowany na projekty</t>
    </r>
    <r>
      <rPr>
        <b/>
        <sz val="10"/>
        <rFont val="Arial CE"/>
        <charset val="238"/>
      </rPr>
      <t xml:space="preserve"> bez decyzji / dokumentu o przyznanym dofinansowaniu</t>
    </r>
    <r>
      <rPr>
        <sz val="10"/>
        <rFont val="Arial CE"/>
        <charset val="238"/>
      </rPr>
      <t xml:space="preserve"> (część II zestawienia)  - formuła</t>
    </r>
  </si>
  <si>
    <r>
      <rPr>
        <b/>
        <sz val="10"/>
        <rFont val="Arial CE"/>
        <charset val="238"/>
      </rPr>
      <t>POZ. 11.6.</t>
    </r>
    <r>
      <rPr>
        <sz val="10"/>
        <rFont val="Arial CE"/>
        <charset val="238"/>
      </rPr>
      <t xml:space="preserve"> Dane pobierane automatycznie z systemu PlanB do przepisania z aktualizowanej prognozy (przeliczane wskaźnikiem)  </t>
    </r>
    <r>
      <rPr>
        <b/>
        <sz val="10"/>
        <rFont val="Arial CE"/>
        <charset val="238"/>
      </rPr>
      <t>WIERSZ POMOCNICZY (</t>
    </r>
    <r>
      <rPr>
        <sz val="10"/>
        <rFont val="Arial CE"/>
        <charset val="238"/>
      </rPr>
      <t>do obliczenia poz. 11.5 w latach 2023 - 2023)</t>
    </r>
  </si>
  <si>
    <r>
      <rPr>
        <b/>
        <sz val="12"/>
        <color rgb="FF0000CC"/>
        <rFont val="Arial CE"/>
        <charset val="238"/>
      </rPr>
      <t>A</t>
    </r>
    <r>
      <rPr>
        <b/>
        <sz val="11"/>
        <color rgb="FF0000CC"/>
        <rFont val="Arial CE"/>
        <charset val="238"/>
      </rPr>
      <t xml:space="preserve">. </t>
    </r>
    <r>
      <rPr>
        <sz val="10"/>
        <color rgb="FF0000CC"/>
        <rFont val="Arial CE"/>
        <charset val="238"/>
      </rPr>
      <t>Suma paragrafów 605 z systemu PlanB</t>
    </r>
  </si>
  <si>
    <r>
      <t xml:space="preserve">a) </t>
    </r>
    <r>
      <rPr>
        <b/>
        <sz val="9"/>
        <color rgb="FF0000CC"/>
        <rFont val="Arial CE"/>
        <charset val="238"/>
      </rPr>
      <t>Suma</t>
    </r>
    <r>
      <rPr>
        <sz val="9"/>
        <color rgb="FF0000CC"/>
        <rFont val="Arial CE"/>
        <charset val="238"/>
      </rPr>
      <t xml:space="preserve"> kwot wyfiltrowanych z systemu PlanB  na zadaniach 001-004 oraz 002-004 z czwartą cyfrą 2 i 9. Dane pobierane automatycznie z systemu PlanB  do przepisania z aktualizowanej prognozy - </t>
    </r>
    <r>
      <rPr>
        <b/>
        <sz val="9"/>
        <color rgb="FF0000CC"/>
        <rFont val="Arial CE"/>
        <charset val="238"/>
      </rPr>
      <t xml:space="preserve">do 2022 r.
Od 23 roku dane pobierane z Tab. 6  </t>
    </r>
    <r>
      <rPr>
        <b/>
        <i/>
        <sz val="9"/>
        <color rgb="FF0000CC"/>
        <rFont val="Arial CE"/>
        <charset val="238"/>
      </rPr>
      <t xml:space="preserve">wiersz: środki z budżetu krajowego </t>
    </r>
    <r>
      <rPr>
        <b/>
        <sz val="9"/>
        <color rgb="FF0000CC"/>
        <rFont val="Arial CE"/>
        <charset val="238"/>
      </rPr>
      <t>- formuła</t>
    </r>
  </si>
  <si>
    <r>
      <t>a) Dane z poz.</t>
    </r>
    <r>
      <rPr>
        <b/>
        <sz val="9"/>
        <color rgb="FF0000FF"/>
        <rFont val="Arial CE"/>
        <charset val="238"/>
      </rPr>
      <t xml:space="preserve"> 12.1.1.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 </t>
    </r>
    <r>
      <rPr>
        <b/>
        <sz val="9"/>
        <color rgb="FF0000FF"/>
        <rFont val="Arial CE"/>
        <charset val="238"/>
      </rPr>
      <t>do roku 2022
Od  2023 roku dane pobierane z powyższego zestawienia (cz. I  B, wiersz BD) - formuła</t>
    </r>
  </si>
  <si>
    <r>
      <t>a) Dane z poz.</t>
    </r>
    <r>
      <rPr>
        <b/>
        <sz val="9"/>
        <color rgb="FF0000FF"/>
        <rFont val="Arial CE"/>
        <charset val="238"/>
      </rPr>
      <t xml:space="preserve"> 12.2.1.</t>
    </r>
    <r>
      <rPr>
        <sz val="9"/>
        <color rgb="FF0000FF"/>
        <rFont val="Arial CE"/>
        <charset val="238"/>
      </rPr>
      <t xml:space="preserve"> (pobierane automatycznie z systemu PlanB - do przepisania z aktualnej prognozy) </t>
    </r>
    <r>
      <rPr>
        <b/>
        <sz val="9"/>
        <color rgb="FF0000FF"/>
        <rFont val="Arial CE"/>
        <charset val="238"/>
      </rPr>
      <t>do roku 2022
Od  2023 roku dane pobierane z powyższego zestawienia (cz. I  M, wiersz MD) - formuła</t>
    </r>
  </si>
  <si>
    <r>
      <t>a) Dane z poz.</t>
    </r>
    <r>
      <rPr>
        <b/>
        <sz val="9"/>
        <color rgb="FF0000FF"/>
        <rFont val="Arial CE"/>
        <charset val="238"/>
      </rPr>
      <t xml:space="preserve"> 12.3.</t>
    </r>
    <r>
      <rPr>
        <sz val="9"/>
        <color rgb="FF0000FF"/>
        <rFont val="Arial CE"/>
        <charset val="238"/>
      </rPr>
      <t xml:space="preserve"> pobierane automatycznie z systemu PlanB d</t>
    </r>
    <r>
      <rPr>
        <b/>
        <sz val="9"/>
        <color rgb="FF0000FF"/>
        <rFont val="Arial CE"/>
        <charset val="238"/>
      </rPr>
      <t>o przepisania z aktualizowanej prognozy</t>
    </r>
    <r>
      <rPr>
        <sz val="9"/>
        <color rgb="FF0000FF"/>
        <rFont val="Arial CE"/>
        <charset val="238"/>
      </rPr>
      <t xml:space="preserve"> (przed zwiększeniem o kwoty wydatków zaplanowane na: PT  Oś X przez WOiRZL - </t>
    </r>
    <r>
      <rPr>
        <b/>
        <sz val="9"/>
        <color rgb="FF0000FF"/>
        <rFont val="Arial CE"/>
        <charset val="238"/>
      </rPr>
      <t>do 2022 roku
Od 2023 roku dane pobierane z powyższego zestawienia (cz. I  wiersz BW  i cz. II  wiersze B) - formuła</t>
    </r>
  </si>
  <si>
    <r>
      <t>a) Dane z poz.</t>
    </r>
    <r>
      <rPr>
        <b/>
        <sz val="9"/>
        <color rgb="FF0000FF"/>
        <rFont val="Arial CE"/>
        <charset val="238"/>
      </rPr>
      <t xml:space="preserve"> 12.3.1</t>
    </r>
    <r>
      <rPr>
        <sz val="9"/>
        <color rgb="FF0000FF"/>
        <rFont val="Arial CE"/>
        <charset val="238"/>
      </rPr>
      <t xml:space="preserve"> (pobierane automatycznie z systemu PlanB - do przepisania z aktualizowanej prognozy), przed zwiększeniem o wydatki zaplanowane na PT Oś X przez WOiRZL - </t>
    </r>
    <r>
      <rPr>
        <b/>
        <sz val="9"/>
        <color rgb="FF0000FF"/>
        <rFont val="Arial CE"/>
        <charset val="238"/>
      </rPr>
      <t>do 2022 r.
Od  2023 roku dane pobierane z powyższego zestawienia (cz. I  wiersz BU  i cz. II  wiersz BU) - formuła</t>
    </r>
  </si>
  <si>
    <r>
      <t>a) Dane z poz.</t>
    </r>
    <r>
      <rPr>
        <b/>
        <sz val="9"/>
        <color rgb="FF0000FF"/>
        <rFont val="Arial CE"/>
        <charset val="238"/>
      </rPr>
      <t xml:space="preserve"> 12.4. </t>
    </r>
    <r>
      <rPr>
        <sz val="9"/>
        <color rgb="FF0000FF"/>
        <rFont val="Arial CE"/>
        <charset val="238"/>
      </rPr>
      <t xml:space="preserve">(pobierane automatycznie z systemu PlanB - do przepisania z aktualizowanej prognozy) - </t>
    </r>
    <r>
      <rPr>
        <b/>
        <sz val="9"/>
        <color rgb="FF0000FF"/>
        <rFont val="Arial CE"/>
        <charset val="238"/>
      </rPr>
      <t>do 2022 roku
Od 2023 roku dane pobierane z powyższego zestawienia (cz. I  wiersz MW  i cz. II  wiersz MW ) - formuła</t>
    </r>
  </si>
  <si>
    <r>
      <t>b) Dane z poz.</t>
    </r>
    <r>
      <rPr>
        <b/>
        <sz val="9"/>
        <color rgb="FF0000FF"/>
        <rFont val="Arial CE"/>
        <charset val="238"/>
      </rPr>
      <t xml:space="preserve"> 12.4.1.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 - </t>
    </r>
    <r>
      <rPr>
        <b/>
        <sz val="9"/>
        <color rgb="FF0000FF"/>
        <rFont val="Arial CE"/>
        <charset val="238"/>
      </rPr>
      <t>do 2022 r.
Od  2023 roku dane pobierane z powyższego zestawienia (cz. I  wiersz WU) - formuła</t>
    </r>
  </si>
  <si>
    <r>
      <rPr>
        <b/>
        <sz val="10"/>
        <color rgb="FF0000FF"/>
        <rFont val="Arial CE"/>
        <charset val="238"/>
      </rPr>
      <t xml:space="preserve">POZ. 2.2. </t>
    </r>
    <r>
      <rPr>
        <sz val="10"/>
        <color rgb="FF0000FF"/>
        <rFont val="Arial CE"/>
        <charset val="238"/>
      </rPr>
      <t xml:space="preserve">Dane  pobierane automatycznie z systemu PlanB do przepisania z aktualizowanej prognozy  </t>
    </r>
    <r>
      <rPr>
        <b/>
        <sz val="10"/>
        <color rgb="FF0000FF"/>
        <rFont val="Arial CE"/>
        <charset val="238"/>
      </rPr>
      <t xml:space="preserve">WIERSZ POMOCNICZY </t>
    </r>
    <r>
      <rPr>
        <sz val="10"/>
        <color rgb="FF0000FF"/>
        <rFont val="Arial CE"/>
        <charset val="238"/>
      </rPr>
      <t xml:space="preserve"> (do obliczenia poz. 11.5 w latach 2023 - 2023)</t>
    </r>
  </si>
  <si>
    <t>BRAK  - wniosek na ZWZ
 na dzień 18.12.18 r. z decyzją</t>
  </si>
</sst>
</file>

<file path=xl/styles.xml><?xml version="1.0" encoding="utf-8"?>
<styleSheet xmlns="http://schemas.openxmlformats.org/spreadsheetml/2006/main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"/>
    <numFmt numFmtId="165" formatCode="0.0"/>
    <numFmt numFmtId="166" formatCode="#,##0_ ;\-#,##0\ "/>
    <numFmt numFmtId="167" formatCode="0.0%"/>
  </numFmts>
  <fonts count="13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i/>
      <sz val="10"/>
      <name val="Arial CE"/>
      <family val="2"/>
      <charset val="238"/>
    </font>
    <font>
      <b/>
      <sz val="9"/>
      <name val="Arial Black"/>
      <family val="2"/>
      <charset val="238"/>
    </font>
    <font>
      <b/>
      <sz val="10"/>
      <name val="Arial Black"/>
      <family val="2"/>
      <charset val="238"/>
    </font>
    <font>
      <b/>
      <sz val="11"/>
      <name val="Arial Black"/>
      <family val="2"/>
      <charset val="238"/>
    </font>
    <font>
      <b/>
      <i/>
      <sz val="10"/>
      <name val="Arial CE"/>
      <charset val="238"/>
    </font>
    <font>
      <b/>
      <sz val="11"/>
      <name val="Arial CE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2"/>
      <name val="Arial CE"/>
      <charset val="238"/>
    </font>
    <font>
      <sz val="16"/>
      <name val="Bookman Old Style"/>
      <family val="1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6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4"/>
      <name val="Arial Black"/>
      <family val="2"/>
      <charset val="238"/>
    </font>
    <font>
      <b/>
      <i/>
      <sz val="16"/>
      <name val="Arial CE"/>
      <charset val="238"/>
    </font>
    <font>
      <b/>
      <sz val="16"/>
      <name val="Arial"/>
      <family val="2"/>
      <charset val="238"/>
    </font>
    <font>
      <sz val="10"/>
      <color rgb="FF0000FF"/>
      <name val="Arial"/>
      <family val="2"/>
      <charset val="238"/>
    </font>
    <font>
      <sz val="10"/>
      <color rgb="FF0000CC"/>
      <name val="Arial"/>
      <family val="2"/>
      <charset val="238"/>
    </font>
    <font>
      <b/>
      <sz val="9"/>
      <name val="Calibri"/>
      <family val="2"/>
      <charset val="238"/>
    </font>
    <font>
      <b/>
      <i/>
      <sz val="12.6"/>
      <name val="Arial CE"/>
      <charset val="238"/>
    </font>
    <font>
      <sz val="16"/>
      <color rgb="FF0000FF"/>
      <name val="Bookman Old Style"/>
      <family val="1"/>
      <charset val="238"/>
    </font>
    <font>
      <i/>
      <sz val="10"/>
      <color rgb="FF0000FF"/>
      <name val="Arial CE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00FF"/>
      <name val="Arial CE"/>
      <charset val="238"/>
    </font>
    <font>
      <b/>
      <i/>
      <sz val="10"/>
      <color rgb="FF0000FF"/>
      <name val="Arial CE"/>
      <charset val="238"/>
    </font>
    <font>
      <sz val="10"/>
      <color rgb="FF6600FF"/>
      <name val="Arial"/>
      <family val="2"/>
      <charset val="238"/>
    </font>
    <font>
      <sz val="8"/>
      <color rgb="FF0000FF"/>
      <name val="Arial"/>
      <family val="2"/>
      <charset val="238"/>
    </font>
    <font>
      <b/>
      <sz val="12"/>
      <name val="Arial Black"/>
      <family val="2"/>
      <charset val="238"/>
    </font>
    <font>
      <sz val="10"/>
      <name val="Arial Black"/>
      <family val="2"/>
      <charset val="238"/>
    </font>
    <font>
      <sz val="9"/>
      <name val="Arial Black"/>
      <family val="2"/>
      <charset val="238"/>
    </font>
    <font>
      <b/>
      <sz val="9"/>
      <color rgb="FF0000FF"/>
      <name val="Arial CE"/>
      <charset val="238"/>
    </font>
    <font>
      <sz val="9"/>
      <color rgb="FF0000FF"/>
      <name val="Arial CE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family val="2"/>
      <charset val="238"/>
    </font>
    <font>
      <b/>
      <i/>
      <sz val="9"/>
      <color rgb="FF0000FF"/>
      <name val="Arial CE"/>
      <charset val="238"/>
    </font>
    <font>
      <sz val="9"/>
      <color rgb="FF0000FF"/>
      <name val="Arial"/>
      <family val="2"/>
      <charset val="238"/>
    </font>
    <font>
      <sz val="8"/>
      <color rgb="FF0000FF"/>
      <name val="Arial CE"/>
      <charset val="238"/>
    </font>
    <font>
      <b/>
      <sz val="9"/>
      <color rgb="FF0000FF"/>
      <name val="Arial Black"/>
      <family val="2"/>
      <charset val="238"/>
    </font>
    <font>
      <b/>
      <u/>
      <sz val="9"/>
      <name val="Arial CE"/>
      <charset val="238"/>
    </font>
    <font>
      <sz val="7.5"/>
      <name val="Arial"/>
      <family val="2"/>
      <charset val="238"/>
    </font>
    <font>
      <sz val="14"/>
      <name val="Arial Black"/>
      <family val="2"/>
      <charset val="238"/>
    </font>
    <font>
      <sz val="10"/>
      <color rgb="FF0000FF"/>
      <name val="Arial CE"/>
      <charset val="238"/>
    </font>
    <font>
      <sz val="10"/>
      <color rgb="FFFF0000"/>
      <name val="Arial"/>
      <family val="2"/>
      <charset val="238"/>
    </font>
    <font>
      <b/>
      <sz val="8"/>
      <color rgb="FF0000FF"/>
      <name val="Arial CE"/>
      <family val="2"/>
      <charset val="238"/>
    </font>
    <font>
      <b/>
      <i/>
      <sz val="9"/>
      <color rgb="FFFF0000"/>
      <name val="Arial Black"/>
      <family val="2"/>
      <charset val="238"/>
    </font>
    <font>
      <b/>
      <i/>
      <sz val="8"/>
      <color rgb="FFFF0000"/>
      <name val="Arial Black"/>
      <family val="2"/>
      <charset val="238"/>
    </font>
    <font>
      <b/>
      <u/>
      <sz val="9"/>
      <name val="Arial Black"/>
      <family val="2"/>
      <charset val="238"/>
    </font>
    <font>
      <b/>
      <i/>
      <sz val="10"/>
      <color rgb="FFFF0000"/>
      <name val="Arial Black"/>
      <family val="2"/>
      <charset val="238"/>
    </font>
    <font>
      <b/>
      <sz val="10"/>
      <color rgb="FF0000CC"/>
      <name val="Arial CE"/>
      <charset val="238"/>
    </font>
    <font>
      <sz val="10"/>
      <color rgb="FF0000CC"/>
      <name val="Arial CE"/>
      <charset val="238"/>
    </font>
    <font>
      <b/>
      <sz val="12"/>
      <color rgb="FF0000CC"/>
      <name val="Arial CE"/>
      <charset val="238"/>
    </font>
    <font>
      <b/>
      <sz val="11"/>
      <color rgb="FF0000CC"/>
      <name val="Arial CE"/>
      <charset val="238"/>
    </font>
    <font>
      <sz val="9"/>
      <color rgb="FF0000CC"/>
      <name val="Arial CE"/>
      <charset val="238"/>
    </font>
    <font>
      <b/>
      <sz val="9"/>
      <color rgb="FF0000CC"/>
      <name val="Arial CE"/>
      <charset val="238"/>
    </font>
    <font>
      <b/>
      <i/>
      <sz val="9"/>
      <color rgb="FF0000CC"/>
      <name val="Arial CE"/>
      <charset val="238"/>
    </font>
    <font>
      <b/>
      <sz val="10"/>
      <color rgb="FF0000FF"/>
      <name val="Arial CE"/>
      <charset val="238"/>
    </font>
    <font>
      <b/>
      <sz val="9"/>
      <color rgb="FFFF0000"/>
      <name val="Arial CE"/>
      <family val="2"/>
      <charset val="238"/>
    </font>
  </fonts>
  <fills count="8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5" tint="0.59999389629810485"/>
        <bgColor indexed="64"/>
      </patternFill>
    </fill>
  </fills>
  <borders count="29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 diagonalUp="1">
      <left/>
      <right/>
      <top/>
      <bottom/>
      <diagonal style="thin">
        <color auto="1"/>
      </diagonal>
    </border>
    <border diagonalUp="1">
      <left/>
      <right/>
      <top/>
      <bottom style="thin">
        <color indexed="64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/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/>
      <top/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/>
      <diagonal style="thin">
        <color auto="1"/>
      </diagonal>
    </border>
    <border diagonalUp="1">
      <left/>
      <right style="thin">
        <color indexed="64"/>
      </right>
      <top/>
      <bottom/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/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/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/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/>
      <right/>
      <top style="medium">
        <color indexed="64"/>
      </top>
      <bottom/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 style="thin">
        <color indexed="64"/>
      </left>
      <right/>
      <top/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double">
        <color indexed="64"/>
      </bottom>
      <diagonal style="thin">
        <color auto="1"/>
      </diagonal>
    </border>
    <border diagonalUp="1">
      <left/>
      <right/>
      <top/>
      <bottom style="double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 style="double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/>
      <top/>
      <bottom style="double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double">
        <color indexed="64"/>
      </bottom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 style="double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 style="thin">
        <color auto="1"/>
      </diagonal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2" fillId="0" borderId="0"/>
    <xf numFmtId="0" fontId="4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4" fillId="42" borderId="0">
      <alignment horizontal="left" vertical="top"/>
    </xf>
    <xf numFmtId="0" fontId="45" fillId="42" borderId="0">
      <alignment horizontal="center" vertical="top"/>
    </xf>
    <xf numFmtId="0" fontId="44" fillId="42" borderId="0">
      <alignment horizontal="left" vertical="top"/>
    </xf>
    <xf numFmtId="0" fontId="44" fillId="42" borderId="0">
      <alignment horizontal="left" vertical="top"/>
    </xf>
    <xf numFmtId="0" fontId="44" fillId="42" borderId="0">
      <alignment horizontal="right" vertical="top"/>
    </xf>
    <xf numFmtId="0" fontId="45" fillId="43" borderId="0">
      <alignment horizontal="left" vertical="top"/>
    </xf>
    <xf numFmtId="0" fontId="45" fillId="43" borderId="0">
      <alignment horizontal="right" vertical="top"/>
    </xf>
    <xf numFmtId="0" fontId="45" fillId="43" borderId="0">
      <alignment horizontal="right" vertical="top"/>
    </xf>
    <xf numFmtId="0" fontId="45" fillId="43" borderId="0">
      <alignment horizontal="right" vertical="top"/>
    </xf>
    <xf numFmtId="0" fontId="45" fillId="44" borderId="0">
      <alignment horizontal="left" vertical="top"/>
    </xf>
    <xf numFmtId="0" fontId="45" fillId="44" borderId="0">
      <alignment horizontal="right" vertical="top"/>
    </xf>
    <xf numFmtId="0" fontId="45" fillId="44" borderId="0">
      <alignment horizontal="right" vertical="top"/>
    </xf>
    <xf numFmtId="0" fontId="46" fillId="42" borderId="0">
      <alignment horizontal="center" vertical="top"/>
    </xf>
    <xf numFmtId="0" fontId="45" fillId="44" borderId="0">
      <alignment horizontal="right" vertical="top"/>
    </xf>
    <xf numFmtId="0" fontId="44" fillId="45" borderId="0">
      <alignment horizontal="left" vertical="top"/>
    </xf>
    <xf numFmtId="0" fontId="44" fillId="45" borderId="0">
      <alignment horizontal="right" vertical="top"/>
    </xf>
    <xf numFmtId="0" fontId="44" fillId="45" borderId="0">
      <alignment horizontal="right" vertical="top"/>
    </xf>
    <xf numFmtId="0" fontId="44" fillId="45" borderId="0">
      <alignment horizontal="right" vertical="top"/>
    </xf>
    <xf numFmtId="0" fontId="44" fillId="42" borderId="0">
      <alignment horizontal="left" vertical="top"/>
    </xf>
    <xf numFmtId="0" fontId="44" fillId="42" borderId="0">
      <alignment horizontal="right" vertical="top"/>
    </xf>
    <xf numFmtId="0" fontId="44" fillId="42" borderId="0">
      <alignment horizontal="right" vertical="top"/>
    </xf>
    <xf numFmtId="0" fontId="44" fillId="42" borderId="0">
      <alignment horizontal="right" vertical="top"/>
    </xf>
    <xf numFmtId="0" fontId="47" fillId="46" borderId="0">
      <alignment horizontal="left" vertical="top"/>
    </xf>
    <xf numFmtId="0" fontId="48" fillId="42" borderId="0">
      <alignment horizontal="left" vertical="top"/>
    </xf>
    <xf numFmtId="0" fontId="49" fillId="42" borderId="0">
      <alignment horizontal="left" vertical="top"/>
    </xf>
    <xf numFmtId="0" fontId="45" fillId="42" borderId="0">
      <alignment horizontal="right" vertical="top"/>
    </xf>
    <xf numFmtId="0" fontId="45" fillId="42" borderId="0">
      <alignment horizontal="right" vertical="top"/>
    </xf>
    <xf numFmtId="0" fontId="49" fillId="47" borderId="0">
      <alignment horizontal="left"/>
    </xf>
    <xf numFmtId="0" fontId="49" fillId="47" borderId="0">
      <alignment horizontal="left"/>
    </xf>
    <xf numFmtId="0" fontId="49" fillId="47" borderId="0">
      <alignment horizontal="right"/>
    </xf>
    <xf numFmtId="0" fontId="50" fillId="47" borderId="0">
      <alignment horizontal="right"/>
    </xf>
    <xf numFmtId="0" fontId="49" fillId="46" borderId="0">
      <alignment horizontal="left" vertical="top"/>
    </xf>
    <xf numFmtId="0" fontId="45" fillId="46" borderId="0">
      <alignment horizontal="right" vertical="top"/>
    </xf>
    <xf numFmtId="0" fontId="45" fillId="46" borderId="0">
      <alignment horizontal="right" vertical="top"/>
    </xf>
    <xf numFmtId="0" fontId="44" fillId="42" borderId="0">
      <alignment horizontal="left" vertical="center"/>
    </xf>
    <xf numFmtId="0" fontId="47" fillId="47" borderId="0">
      <alignment horizontal="left" vertical="top"/>
    </xf>
    <xf numFmtId="0" fontId="47" fillId="47" borderId="0">
      <alignment horizontal="left" vertical="top"/>
    </xf>
    <xf numFmtId="0" fontId="47" fillId="46" borderId="0">
      <alignment horizontal="left" vertical="top"/>
    </xf>
    <xf numFmtId="0" fontId="47" fillId="46" borderId="0">
      <alignment horizontal="left" vertical="top"/>
    </xf>
    <xf numFmtId="0" fontId="47" fillId="46" borderId="0">
      <alignment horizontal="left" vertical="top"/>
    </xf>
    <xf numFmtId="0" fontId="47" fillId="47" borderId="0">
      <alignment horizontal="left" vertical="top"/>
    </xf>
    <xf numFmtId="0" fontId="49" fillId="42" borderId="0">
      <alignment horizontal="left"/>
    </xf>
    <xf numFmtId="0" fontId="49" fillId="42" borderId="0">
      <alignment horizontal="left"/>
    </xf>
    <xf numFmtId="0" fontId="49" fillId="42" borderId="0">
      <alignment horizontal="right"/>
    </xf>
    <xf numFmtId="0" fontId="50" fillId="42" borderId="0">
      <alignment horizontal="right"/>
    </xf>
    <xf numFmtId="4" fontId="51" fillId="13" borderId="85" applyNumberFormat="0" applyProtection="0">
      <alignment vertical="center"/>
    </xf>
    <xf numFmtId="4" fontId="52" fillId="13" borderId="85" applyNumberFormat="0" applyProtection="0">
      <alignment vertical="center"/>
    </xf>
    <xf numFmtId="4" fontId="51" fillId="13" borderId="85" applyNumberFormat="0" applyProtection="0">
      <alignment horizontal="left" vertical="center" indent="1"/>
    </xf>
    <xf numFmtId="4" fontId="51" fillId="13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1" fillId="35" borderId="85" applyNumberFormat="0" applyProtection="0">
      <alignment horizontal="right" vertical="center"/>
    </xf>
    <xf numFmtId="4" fontId="51" fillId="48" borderId="85" applyNumberFormat="0" applyProtection="0">
      <alignment horizontal="right" vertical="center"/>
    </xf>
    <xf numFmtId="4" fontId="51" fillId="49" borderId="85" applyNumberFormat="0" applyProtection="0">
      <alignment horizontal="right" vertical="center"/>
    </xf>
    <xf numFmtId="4" fontId="51" fillId="12" borderId="85" applyNumberFormat="0" applyProtection="0">
      <alignment horizontal="right" vertical="center"/>
    </xf>
    <xf numFmtId="4" fontId="51" fillId="50" borderId="85" applyNumberFormat="0" applyProtection="0">
      <alignment horizontal="right" vertical="center"/>
    </xf>
    <xf numFmtId="4" fontId="51" fillId="15" borderId="85" applyNumberFormat="0" applyProtection="0">
      <alignment horizontal="right" vertical="center"/>
    </xf>
    <xf numFmtId="4" fontId="51" fillId="17" borderId="85" applyNumberFormat="0" applyProtection="0">
      <alignment horizontal="right" vertical="center"/>
    </xf>
    <xf numFmtId="4" fontId="51" fillId="16" borderId="85" applyNumberFormat="0" applyProtection="0">
      <alignment horizontal="right" vertical="center"/>
    </xf>
    <xf numFmtId="4" fontId="51" fillId="19" borderId="85" applyNumberFormat="0" applyProtection="0">
      <alignment horizontal="right" vertical="center"/>
    </xf>
    <xf numFmtId="4" fontId="53" fillId="51" borderId="85" applyNumberFormat="0" applyProtection="0">
      <alignment horizontal="left" vertical="center" indent="1"/>
    </xf>
    <xf numFmtId="4" fontId="51" fillId="52" borderId="86" applyNumberFormat="0" applyProtection="0">
      <alignment horizontal="left" vertical="center" indent="1"/>
    </xf>
    <xf numFmtId="4" fontId="54" fillId="53" borderId="0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" fillId="52" borderId="85" applyNumberFormat="0" applyProtection="0">
      <alignment horizontal="left" vertical="center" indent="1"/>
    </xf>
    <xf numFmtId="4" fontId="5" fillId="54" borderId="85" applyNumberFormat="0" applyProtection="0">
      <alignment horizontal="left" vertical="center" indent="1"/>
    </xf>
    <xf numFmtId="0" fontId="4" fillId="54" borderId="85" applyNumberFormat="0" applyProtection="0">
      <alignment horizontal="left" vertical="center" indent="1"/>
    </xf>
    <xf numFmtId="0" fontId="4" fillId="54" borderId="85" applyNumberFormat="0" applyProtection="0">
      <alignment horizontal="left" vertical="center" indent="1"/>
    </xf>
    <xf numFmtId="0" fontId="4" fillId="30" borderId="85" applyNumberFormat="0" applyProtection="0">
      <alignment horizontal="left" vertical="center" indent="1"/>
    </xf>
    <xf numFmtId="0" fontId="4" fillId="30" borderId="85" applyNumberFormat="0" applyProtection="0">
      <alignment horizontal="left" vertical="center" indent="1"/>
    </xf>
    <xf numFmtId="0" fontId="4" fillId="33" borderId="85" applyNumberFormat="0" applyProtection="0">
      <alignment horizontal="left" vertical="center" indent="1"/>
    </xf>
    <xf numFmtId="0" fontId="4" fillId="33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1" fillId="20" borderId="85" applyNumberFormat="0" applyProtection="0">
      <alignment vertical="center"/>
    </xf>
    <xf numFmtId="4" fontId="52" fillId="20" borderId="85" applyNumberFormat="0" applyProtection="0">
      <alignment vertical="center"/>
    </xf>
    <xf numFmtId="4" fontId="51" fillId="20" borderId="85" applyNumberFormat="0" applyProtection="0">
      <alignment horizontal="left" vertical="center" indent="1"/>
    </xf>
    <xf numFmtId="4" fontId="51" fillId="20" borderId="85" applyNumberFormat="0" applyProtection="0">
      <alignment horizontal="left" vertical="center" indent="1"/>
    </xf>
    <xf numFmtId="4" fontId="51" fillId="52" borderId="85" applyNumberFormat="0" applyProtection="0">
      <alignment horizontal="right" vertical="center"/>
    </xf>
    <xf numFmtId="4" fontId="52" fillId="52" borderId="85" applyNumberFormat="0" applyProtection="0">
      <alignment horizontal="right" vertical="center"/>
    </xf>
    <xf numFmtId="0" fontId="4" fillId="11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0" fontId="55" fillId="0" borderId="0"/>
    <xf numFmtId="4" fontId="56" fillId="52" borderId="85" applyNumberFormat="0" applyProtection="0">
      <alignment horizontal="right" vertical="center"/>
    </xf>
    <xf numFmtId="44" fontId="43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6" fillId="0" borderId="0"/>
    <xf numFmtId="4" fontId="51" fillId="13" borderId="94" applyNumberFormat="0" applyProtection="0">
      <alignment vertical="center"/>
    </xf>
    <xf numFmtId="4" fontId="52" fillId="13" borderId="94" applyNumberFormat="0" applyProtection="0">
      <alignment vertical="center"/>
    </xf>
    <xf numFmtId="4" fontId="51" fillId="13" borderId="94" applyNumberFormat="0" applyProtection="0">
      <alignment horizontal="left" vertical="center" indent="1"/>
    </xf>
    <xf numFmtId="4" fontId="51" fillId="1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1" fillId="35" borderId="94" applyNumberFormat="0" applyProtection="0">
      <alignment horizontal="right" vertical="center"/>
    </xf>
    <xf numFmtId="4" fontId="51" fillId="48" borderId="94" applyNumberFormat="0" applyProtection="0">
      <alignment horizontal="right" vertical="center"/>
    </xf>
    <xf numFmtId="4" fontId="51" fillId="49" borderId="94" applyNumberFormat="0" applyProtection="0">
      <alignment horizontal="right" vertical="center"/>
    </xf>
    <xf numFmtId="4" fontId="51" fillId="12" borderId="94" applyNumberFormat="0" applyProtection="0">
      <alignment horizontal="right" vertical="center"/>
    </xf>
    <xf numFmtId="4" fontId="51" fillId="50" borderId="94" applyNumberFormat="0" applyProtection="0">
      <alignment horizontal="right" vertical="center"/>
    </xf>
    <xf numFmtId="4" fontId="51" fillId="15" borderId="94" applyNumberFormat="0" applyProtection="0">
      <alignment horizontal="right" vertical="center"/>
    </xf>
    <xf numFmtId="4" fontId="51" fillId="17" borderId="94" applyNumberFormat="0" applyProtection="0">
      <alignment horizontal="right" vertical="center"/>
    </xf>
    <xf numFmtId="4" fontId="51" fillId="16" borderId="94" applyNumberFormat="0" applyProtection="0">
      <alignment horizontal="right" vertical="center"/>
    </xf>
    <xf numFmtId="4" fontId="51" fillId="19" borderId="94" applyNumberFormat="0" applyProtection="0">
      <alignment horizontal="right" vertical="center"/>
    </xf>
    <xf numFmtId="4" fontId="53" fillId="51" borderId="94" applyNumberFormat="0" applyProtection="0">
      <alignment horizontal="left" vertical="center" indent="1"/>
    </xf>
    <xf numFmtId="4" fontId="51" fillId="52" borderId="95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" fillId="52" borderId="94" applyNumberFormat="0" applyProtection="0">
      <alignment horizontal="left" vertical="center" indent="1"/>
    </xf>
    <xf numFmtId="4" fontId="5" fillId="54" borderId="94" applyNumberFormat="0" applyProtection="0">
      <alignment horizontal="left" vertical="center" indent="1"/>
    </xf>
    <xf numFmtId="0" fontId="4" fillId="54" borderId="94" applyNumberFormat="0" applyProtection="0">
      <alignment horizontal="left" vertical="center" indent="1"/>
    </xf>
    <xf numFmtId="0" fontId="4" fillId="54" borderId="94" applyNumberFormat="0" applyProtection="0">
      <alignment horizontal="left" vertical="center" indent="1"/>
    </xf>
    <xf numFmtId="0" fontId="4" fillId="30" borderId="94" applyNumberFormat="0" applyProtection="0">
      <alignment horizontal="left" vertical="center" indent="1"/>
    </xf>
    <xf numFmtId="0" fontId="4" fillId="30" borderId="94" applyNumberFormat="0" applyProtection="0">
      <alignment horizontal="left" vertical="center" indent="1"/>
    </xf>
    <xf numFmtId="0" fontId="4" fillId="33" borderId="94" applyNumberFormat="0" applyProtection="0">
      <alignment horizontal="left" vertical="center" indent="1"/>
    </xf>
    <xf numFmtId="0" fontId="4" fillId="3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1" fillId="20" borderId="94" applyNumberFormat="0" applyProtection="0">
      <alignment vertical="center"/>
    </xf>
    <xf numFmtId="4" fontId="52" fillId="20" borderId="94" applyNumberFormat="0" applyProtection="0">
      <alignment vertical="center"/>
    </xf>
    <xf numFmtId="4" fontId="51" fillId="20" borderId="94" applyNumberFormat="0" applyProtection="0">
      <alignment horizontal="left" vertical="center" indent="1"/>
    </xf>
    <xf numFmtId="4" fontId="51" fillId="20" borderId="94" applyNumberFormat="0" applyProtection="0">
      <alignment horizontal="left" vertical="center" indent="1"/>
    </xf>
    <xf numFmtId="4" fontId="51" fillId="52" borderId="94" applyNumberFormat="0" applyProtection="0">
      <alignment horizontal="right" vertical="center"/>
    </xf>
    <xf numFmtId="4" fontId="52" fillId="52" borderId="94" applyNumberFormat="0" applyProtection="0">
      <alignment horizontal="right" vertical="center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6" fillId="52" borderId="94" applyNumberFormat="0" applyProtection="0">
      <alignment horizontal="right" vertical="center"/>
    </xf>
    <xf numFmtId="0" fontId="4" fillId="0" borderId="0"/>
    <xf numFmtId="4" fontId="51" fillId="13" borderId="138" applyNumberFormat="0" applyProtection="0">
      <alignment horizontal="left" vertical="center" indent="1"/>
    </xf>
    <xf numFmtId="4" fontId="51" fillId="12" borderId="147" applyNumberFormat="0" applyProtection="0">
      <alignment horizontal="right" vertical="center"/>
    </xf>
    <xf numFmtId="4" fontId="51" fillId="13" borderId="138" applyNumberFormat="0" applyProtection="0">
      <alignment horizontal="left" vertical="center" indent="1"/>
    </xf>
    <xf numFmtId="4" fontId="52" fillId="13" borderId="138" applyNumberFormat="0" applyProtection="0">
      <alignment vertical="center"/>
    </xf>
    <xf numFmtId="4" fontId="51" fillId="13" borderId="138" applyNumberFormat="0" applyProtection="0">
      <alignment vertical="center"/>
    </xf>
    <xf numFmtId="4" fontId="51" fillId="17" borderId="147" applyNumberFormat="0" applyProtection="0">
      <alignment horizontal="right" vertical="center"/>
    </xf>
    <xf numFmtId="4" fontId="53" fillId="51" borderId="147" applyNumberFormat="0" applyProtection="0">
      <alignment horizontal="left" vertical="center" indent="1"/>
    </xf>
    <xf numFmtId="0" fontId="2" fillId="0" borderId="0"/>
    <xf numFmtId="4" fontId="51" fillId="13" borderId="146" applyNumberFormat="0" applyProtection="0">
      <alignment vertical="center"/>
    </xf>
    <xf numFmtId="4" fontId="52" fillId="13" borderId="146" applyNumberFormat="0" applyProtection="0">
      <alignment vertical="center"/>
    </xf>
    <xf numFmtId="4" fontId="51" fillId="13" borderId="146" applyNumberFormat="0" applyProtection="0">
      <alignment horizontal="left" vertical="center" indent="1"/>
    </xf>
    <xf numFmtId="4" fontId="51" fillId="13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35" borderId="146" applyNumberFormat="0" applyProtection="0">
      <alignment horizontal="right" vertical="center"/>
    </xf>
    <xf numFmtId="4" fontId="51" fillId="48" borderId="146" applyNumberFormat="0" applyProtection="0">
      <alignment horizontal="right" vertical="center"/>
    </xf>
    <xf numFmtId="4" fontId="51" fillId="49" borderId="146" applyNumberFormat="0" applyProtection="0">
      <alignment horizontal="right" vertical="center"/>
    </xf>
    <xf numFmtId="4" fontId="51" fillId="12" borderId="146" applyNumberFormat="0" applyProtection="0">
      <alignment horizontal="right" vertical="center"/>
    </xf>
    <xf numFmtId="4" fontId="51" fillId="50" borderId="146" applyNumberFormat="0" applyProtection="0">
      <alignment horizontal="right" vertical="center"/>
    </xf>
    <xf numFmtId="4" fontId="51" fillId="15" borderId="146" applyNumberFormat="0" applyProtection="0">
      <alignment horizontal="right" vertical="center"/>
    </xf>
    <xf numFmtId="4" fontId="51" fillId="17" borderId="146" applyNumberFormat="0" applyProtection="0">
      <alignment horizontal="right" vertical="center"/>
    </xf>
    <xf numFmtId="4" fontId="51" fillId="16" borderId="146" applyNumberFormat="0" applyProtection="0">
      <alignment horizontal="right" vertical="center"/>
    </xf>
    <xf numFmtId="4" fontId="51" fillId="19" borderId="146" applyNumberFormat="0" applyProtection="0">
      <alignment horizontal="right" vertical="center"/>
    </xf>
    <xf numFmtId="4" fontId="53" fillId="51" borderId="146" applyNumberFormat="0" applyProtection="0">
      <alignment horizontal="left" vertical="center" indent="1"/>
    </xf>
    <xf numFmtId="0" fontId="4" fillId="30" borderId="146" applyNumberFormat="0" applyProtection="0">
      <alignment horizontal="left" vertical="center" indent="1"/>
    </xf>
    <xf numFmtId="0" fontId="4" fillId="33" borderId="146" applyNumberFormat="0" applyProtection="0">
      <alignment horizontal="left" vertical="center" indent="1"/>
    </xf>
    <xf numFmtId="0" fontId="4" fillId="33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20" borderId="146" applyNumberFormat="0" applyProtection="0">
      <alignment vertical="center"/>
    </xf>
    <xf numFmtId="4" fontId="52" fillId="20" borderId="146" applyNumberFormat="0" applyProtection="0">
      <alignment vertical="center"/>
    </xf>
    <xf numFmtId="4" fontId="51" fillId="20" borderId="146" applyNumberFormat="0" applyProtection="0">
      <alignment horizontal="left" vertical="center" indent="1"/>
    </xf>
    <xf numFmtId="4" fontId="51" fillId="20" borderId="146" applyNumberFormat="0" applyProtection="0">
      <alignment horizontal="left" vertical="center" indent="1"/>
    </xf>
    <xf numFmtId="4" fontId="51" fillId="52" borderId="146" applyNumberFormat="0" applyProtection="0">
      <alignment horizontal="right" vertical="center"/>
    </xf>
    <xf numFmtId="4" fontId="52" fillId="52" borderId="146" applyNumberFormat="0" applyProtection="0">
      <alignment horizontal="right" vertical="center"/>
    </xf>
    <xf numFmtId="4" fontId="51" fillId="13" borderId="152" applyNumberFormat="0" applyProtection="0">
      <alignment vertical="center"/>
    </xf>
    <xf numFmtId="4" fontId="56" fillId="52" borderId="146" applyNumberFormat="0" applyProtection="0">
      <alignment horizontal="right" vertical="center"/>
    </xf>
    <xf numFmtId="0" fontId="4" fillId="11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" fillId="52" borderId="146" applyNumberFormat="0" applyProtection="0">
      <alignment horizontal="left" vertical="center" indent="1"/>
    </xf>
    <xf numFmtId="0" fontId="4" fillId="54" borderId="146" applyNumberFormat="0" applyProtection="0">
      <alignment horizontal="left" vertical="center" indent="1"/>
    </xf>
    <xf numFmtId="4" fontId="51" fillId="13" borderId="134" applyNumberFormat="0" applyProtection="0">
      <alignment vertical="center"/>
    </xf>
    <xf numFmtId="4" fontId="52" fillId="13" borderId="134" applyNumberFormat="0" applyProtection="0">
      <alignment vertical="center"/>
    </xf>
    <xf numFmtId="4" fontId="51" fillId="13" borderId="134" applyNumberFormat="0" applyProtection="0">
      <alignment horizontal="left" vertical="center" indent="1"/>
    </xf>
    <xf numFmtId="4" fontId="51" fillId="13" borderId="134" applyNumberFormat="0" applyProtection="0">
      <alignment horizontal="left" vertical="center" indent="1"/>
    </xf>
    <xf numFmtId="0" fontId="4" fillId="11" borderId="134" applyNumberFormat="0" applyProtection="0">
      <alignment horizontal="left" vertical="center" indent="1"/>
    </xf>
    <xf numFmtId="4" fontId="51" fillId="35" borderId="134" applyNumberFormat="0" applyProtection="0">
      <alignment horizontal="right" vertical="center"/>
    </xf>
    <xf numFmtId="4" fontId="51" fillId="48" borderId="134" applyNumberFormat="0" applyProtection="0">
      <alignment horizontal="right" vertical="center"/>
    </xf>
    <xf numFmtId="4" fontId="51" fillId="49" borderId="134" applyNumberFormat="0" applyProtection="0">
      <alignment horizontal="right" vertical="center"/>
    </xf>
    <xf numFmtId="4" fontId="51" fillId="12" borderId="134" applyNumberFormat="0" applyProtection="0">
      <alignment horizontal="right" vertical="center"/>
    </xf>
    <xf numFmtId="4" fontId="51" fillId="50" borderId="134" applyNumberFormat="0" applyProtection="0">
      <alignment horizontal="right" vertical="center"/>
    </xf>
    <xf numFmtId="4" fontId="51" fillId="15" borderId="134" applyNumberFormat="0" applyProtection="0">
      <alignment horizontal="right" vertical="center"/>
    </xf>
    <xf numFmtId="4" fontId="51" fillId="17" borderId="134" applyNumberFormat="0" applyProtection="0">
      <alignment horizontal="right" vertical="center"/>
    </xf>
    <xf numFmtId="4" fontId="51" fillId="16" borderId="134" applyNumberFormat="0" applyProtection="0">
      <alignment horizontal="right" vertical="center"/>
    </xf>
    <xf numFmtId="4" fontId="51" fillId="19" borderId="134" applyNumberFormat="0" applyProtection="0">
      <alignment horizontal="right" vertical="center"/>
    </xf>
    <xf numFmtId="4" fontId="53" fillId="51" borderId="134" applyNumberFormat="0" applyProtection="0">
      <alignment horizontal="left" vertical="center" indent="1"/>
    </xf>
    <xf numFmtId="4" fontId="51" fillId="52" borderId="135" applyNumberFormat="0" applyProtection="0">
      <alignment horizontal="left" vertical="center" indent="1"/>
    </xf>
    <xf numFmtId="0" fontId="4" fillId="11" borderId="134" applyNumberFormat="0" applyProtection="0">
      <alignment horizontal="left" vertical="center" indent="1"/>
    </xf>
    <xf numFmtId="4" fontId="5" fillId="52" borderId="134" applyNumberFormat="0" applyProtection="0">
      <alignment horizontal="left" vertical="center" indent="1"/>
    </xf>
    <xf numFmtId="4" fontId="5" fillId="54" borderId="134" applyNumberFormat="0" applyProtection="0">
      <alignment horizontal="left" vertical="center" indent="1"/>
    </xf>
    <xf numFmtId="0" fontId="4" fillId="54" borderId="134" applyNumberFormat="0" applyProtection="0">
      <alignment horizontal="left" vertical="center" indent="1"/>
    </xf>
    <xf numFmtId="0" fontId="4" fillId="54" borderId="134" applyNumberFormat="0" applyProtection="0">
      <alignment horizontal="left" vertical="center" indent="1"/>
    </xf>
    <xf numFmtId="0" fontId="4" fillId="30" borderId="134" applyNumberFormat="0" applyProtection="0">
      <alignment horizontal="left" vertical="center" indent="1"/>
    </xf>
    <xf numFmtId="0" fontId="4" fillId="30" borderId="134" applyNumberFormat="0" applyProtection="0">
      <alignment horizontal="left" vertical="center" indent="1"/>
    </xf>
    <xf numFmtId="0" fontId="4" fillId="33" borderId="134" applyNumberFormat="0" applyProtection="0">
      <alignment horizontal="left" vertical="center" indent="1"/>
    </xf>
    <xf numFmtId="0" fontId="4" fillId="33" borderId="134" applyNumberFormat="0" applyProtection="0">
      <alignment horizontal="left" vertical="center" indent="1"/>
    </xf>
    <xf numFmtId="0" fontId="4" fillId="11" borderId="134" applyNumberFormat="0" applyProtection="0">
      <alignment horizontal="left" vertical="center" indent="1"/>
    </xf>
    <xf numFmtId="0" fontId="4" fillId="11" borderId="134" applyNumberFormat="0" applyProtection="0">
      <alignment horizontal="left" vertical="center" indent="1"/>
    </xf>
    <xf numFmtId="4" fontId="51" fillId="20" borderId="134" applyNumberFormat="0" applyProtection="0">
      <alignment vertical="center"/>
    </xf>
    <xf numFmtId="4" fontId="52" fillId="20" borderId="134" applyNumberFormat="0" applyProtection="0">
      <alignment vertical="center"/>
    </xf>
    <xf numFmtId="4" fontId="51" fillId="20" borderId="134" applyNumberFormat="0" applyProtection="0">
      <alignment horizontal="left" vertical="center" indent="1"/>
    </xf>
    <xf numFmtId="4" fontId="51" fillId="20" borderId="134" applyNumberFormat="0" applyProtection="0">
      <alignment horizontal="left" vertical="center" indent="1"/>
    </xf>
    <xf numFmtId="4" fontId="51" fillId="52" borderId="134" applyNumberFormat="0" applyProtection="0">
      <alignment horizontal="right" vertical="center"/>
    </xf>
    <xf numFmtId="4" fontId="52" fillId="52" borderId="134" applyNumberFormat="0" applyProtection="0">
      <alignment horizontal="right" vertical="center"/>
    </xf>
    <xf numFmtId="0" fontId="4" fillId="11" borderId="134" applyNumberFormat="0" applyProtection="0">
      <alignment horizontal="left" vertical="center" indent="1"/>
    </xf>
    <xf numFmtId="0" fontId="4" fillId="11" borderId="134" applyNumberFormat="0" applyProtection="0">
      <alignment horizontal="left" vertical="center" indent="1"/>
    </xf>
    <xf numFmtId="4" fontId="56" fillId="52" borderId="134" applyNumberFormat="0" applyProtection="0">
      <alignment horizontal="right" vertical="center"/>
    </xf>
    <xf numFmtId="0" fontId="4" fillId="11" borderId="146" applyNumberFormat="0" applyProtection="0">
      <alignment horizontal="left" vertical="center" indent="1"/>
    </xf>
    <xf numFmtId="0" fontId="4" fillId="0" borderId="0"/>
    <xf numFmtId="4" fontId="51" fillId="13" borderId="136" applyNumberFormat="0" applyProtection="0">
      <alignment vertical="center"/>
    </xf>
    <xf numFmtId="4" fontId="52" fillId="13" borderId="136" applyNumberFormat="0" applyProtection="0">
      <alignment vertical="center"/>
    </xf>
    <xf numFmtId="4" fontId="51" fillId="13" borderId="136" applyNumberFormat="0" applyProtection="0">
      <alignment horizontal="left" vertical="center" indent="1"/>
    </xf>
    <xf numFmtId="4" fontId="51" fillId="13" borderId="136" applyNumberFormat="0" applyProtection="0">
      <alignment horizontal="left" vertical="center" indent="1"/>
    </xf>
    <xf numFmtId="0" fontId="4" fillId="11" borderId="136" applyNumberFormat="0" applyProtection="0">
      <alignment horizontal="left" vertical="center" indent="1"/>
    </xf>
    <xf numFmtId="4" fontId="51" fillId="35" borderId="136" applyNumberFormat="0" applyProtection="0">
      <alignment horizontal="right" vertical="center"/>
    </xf>
    <xf numFmtId="4" fontId="51" fillId="48" borderId="136" applyNumberFormat="0" applyProtection="0">
      <alignment horizontal="right" vertical="center"/>
    </xf>
    <xf numFmtId="4" fontId="51" fillId="49" borderId="136" applyNumberFormat="0" applyProtection="0">
      <alignment horizontal="right" vertical="center"/>
    </xf>
    <xf numFmtId="4" fontId="51" fillId="12" borderId="136" applyNumberFormat="0" applyProtection="0">
      <alignment horizontal="right" vertical="center"/>
    </xf>
    <xf numFmtId="4" fontId="51" fillId="50" borderId="136" applyNumberFormat="0" applyProtection="0">
      <alignment horizontal="right" vertical="center"/>
    </xf>
    <xf numFmtId="4" fontId="51" fillId="15" borderId="136" applyNumberFormat="0" applyProtection="0">
      <alignment horizontal="right" vertical="center"/>
    </xf>
    <xf numFmtId="4" fontId="51" fillId="17" borderId="136" applyNumberFormat="0" applyProtection="0">
      <alignment horizontal="right" vertical="center"/>
    </xf>
    <xf numFmtId="4" fontId="51" fillId="16" borderId="136" applyNumberFormat="0" applyProtection="0">
      <alignment horizontal="right" vertical="center"/>
    </xf>
    <xf numFmtId="4" fontId="51" fillId="19" borderId="136" applyNumberFormat="0" applyProtection="0">
      <alignment horizontal="right" vertical="center"/>
    </xf>
    <xf numFmtId="4" fontId="53" fillId="51" borderId="136" applyNumberFormat="0" applyProtection="0">
      <alignment horizontal="left" vertical="center" indent="1"/>
    </xf>
    <xf numFmtId="4" fontId="51" fillId="52" borderId="137" applyNumberFormat="0" applyProtection="0">
      <alignment horizontal="left" vertical="center" indent="1"/>
    </xf>
    <xf numFmtId="0" fontId="4" fillId="11" borderId="136" applyNumberFormat="0" applyProtection="0">
      <alignment horizontal="left" vertical="center" indent="1"/>
    </xf>
    <xf numFmtId="4" fontId="5" fillId="52" borderId="136" applyNumberFormat="0" applyProtection="0">
      <alignment horizontal="left" vertical="center" indent="1"/>
    </xf>
    <xf numFmtId="4" fontId="5" fillId="54" borderId="136" applyNumberFormat="0" applyProtection="0">
      <alignment horizontal="left" vertical="center" indent="1"/>
    </xf>
    <xf numFmtId="0" fontId="4" fillId="54" borderId="136" applyNumberFormat="0" applyProtection="0">
      <alignment horizontal="left" vertical="center" indent="1"/>
    </xf>
    <xf numFmtId="0" fontId="4" fillId="54" borderId="136" applyNumberFormat="0" applyProtection="0">
      <alignment horizontal="left" vertical="center" indent="1"/>
    </xf>
    <xf numFmtId="0" fontId="4" fillId="30" borderId="136" applyNumberFormat="0" applyProtection="0">
      <alignment horizontal="left" vertical="center" indent="1"/>
    </xf>
    <xf numFmtId="0" fontId="4" fillId="30" borderId="136" applyNumberFormat="0" applyProtection="0">
      <alignment horizontal="left" vertical="center" indent="1"/>
    </xf>
    <xf numFmtId="0" fontId="4" fillId="33" borderId="136" applyNumberFormat="0" applyProtection="0">
      <alignment horizontal="left" vertical="center" indent="1"/>
    </xf>
    <xf numFmtId="0" fontId="4" fillId="33" borderId="136" applyNumberFormat="0" applyProtection="0">
      <alignment horizontal="left" vertical="center" indent="1"/>
    </xf>
    <xf numFmtId="0" fontId="4" fillId="11" borderId="136" applyNumberFormat="0" applyProtection="0">
      <alignment horizontal="left" vertical="center" indent="1"/>
    </xf>
    <xf numFmtId="0" fontId="4" fillId="11" borderId="136" applyNumberFormat="0" applyProtection="0">
      <alignment horizontal="left" vertical="center" indent="1"/>
    </xf>
    <xf numFmtId="4" fontId="51" fillId="20" borderId="136" applyNumberFormat="0" applyProtection="0">
      <alignment vertical="center"/>
    </xf>
    <xf numFmtId="4" fontId="52" fillId="20" borderId="136" applyNumberFormat="0" applyProtection="0">
      <alignment vertical="center"/>
    </xf>
    <xf numFmtId="4" fontId="51" fillId="20" borderId="136" applyNumberFormat="0" applyProtection="0">
      <alignment horizontal="left" vertical="center" indent="1"/>
    </xf>
    <xf numFmtId="4" fontId="51" fillId="20" borderId="136" applyNumberFormat="0" applyProtection="0">
      <alignment horizontal="left" vertical="center" indent="1"/>
    </xf>
    <xf numFmtId="4" fontId="51" fillId="52" borderId="136" applyNumberFormat="0" applyProtection="0">
      <alignment horizontal="right" vertical="center"/>
    </xf>
    <xf numFmtId="4" fontId="52" fillId="52" borderId="136" applyNumberFormat="0" applyProtection="0">
      <alignment horizontal="right" vertical="center"/>
    </xf>
    <xf numFmtId="0" fontId="4" fillId="11" borderId="136" applyNumberFormat="0" applyProtection="0">
      <alignment horizontal="left" vertical="center" indent="1"/>
    </xf>
    <xf numFmtId="0" fontId="4" fillId="11" borderId="136" applyNumberFormat="0" applyProtection="0">
      <alignment horizontal="left" vertical="center" indent="1"/>
    </xf>
    <xf numFmtId="4" fontId="56" fillId="52" borderId="136" applyNumberFormat="0" applyProtection="0">
      <alignment horizontal="right" vertical="center"/>
    </xf>
    <xf numFmtId="0" fontId="4" fillId="11" borderId="138" applyNumberFormat="0" applyProtection="0">
      <alignment horizontal="left" vertical="center" indent="1"/>
    </xf>
    <xf numFmtId="4" fontId="51" fillId="35" borderId="138" applyNumberFormat="0" applyProtection="0">
      <alignment horizontal="right" vertical="center"/>
    </xf>
    <xf numFmtId="4" fontId="51" fillId="48" borderId="138" applyNumberFormat="0" applyProtection="0">
      <alignment horizontal="right" vertical="center"/>
    </xf>
    <xf numFmtId="4" fontId="51" fillId="49" borderId="138" applyNumberFormat="0" applyProtection="0">
      <alignment horizontal="right" vertical="center"/>
    </xf>
    <xf numFmtId="4" fontId="51" fillId="12" borderId="138" applyNumberFormat="0" applyProtection="0">
      <alignment horizontal="right" vertical="center"/>
    </xf>
    <xf numFmtId="4" fontId="51" fillId="50" borderId="138" applyNumberFormat="0" applyProtection="0">
      <alignment horizontal="right" vertical="center"/>
    </xf>
    <xf numFmtId="4" fontId="51" fillId="15" borderId="138" applyNumberFormat="0" applyProtection="0">
      <alignment horizontal="right" vertical="center"/>
    </xf>
    <xf numFmtId="4" fontId="51" fillId="17" borderId="138" applyNumberFormat="0" applyProtection="0">
      <alignment horizontal="right" vertical="center"/>
    </xf>
    <xf numFmtId="4" fontId="51" fillId="16" borderId="138" applyNumberFormat="0" applyProtection="0">
      <alignment horizontal="right" vertical="center"/>
    </xf>
    <xf numFmtId="4" fontId="51" fillId="19" borderId="138" applyNumberFormat="0" applyProtection="0">
      <alignment horizontal="right" vertical="center"/>
    </xf>
    <xf numFmtId="4" fontId="53" fillId="51" borderId="138" applyNumberFormat="0" applyProtection="0">
      <alignment horizontal="left" vertical="center" indent="1"/>
    </xf>
    <xf numFmtId="4" fontId="51" fillId="52" borderId="139" applyNumberFormat="0" applyProtection="0">
      <alignment horizontal="left" vertical="center" indent="1"/>
    </xf>
    <xf numFmtId="4" fontId="51" fillId="52" borderId="144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" fillId="52" borderId="138" applyNumberFormat="0" applyProtection="0">
      <alignment horizontal="left" vertical="center" indent="1"/>
    </xf>
    <xf numFmtId="4" fontId="5" fillId="54" borderId="138" applyNumberFormat="0" applyProtection="0">
      <alignment horizontal="left" vertical="center" indent="1"/>
    </xf>
    <xf numFmtId="0" fontId="4" fillId="54" borderId="138" applyNumberFormat="0" applyProtection="0">
      <alignment horizontal="left" vertical="center" indent="1"/>
    </xf>
    <xf numFmtId="0" fontId="4" fillId="54" borderId="138" applyNumberFormat="0" applyProtection="0">
      <alignment horizontal="left" vertical="center" indent="1"/>
    </xf>
    <xf numFmtId="0" fontId="4" fillId="30" borderId="138" applyNumberFormat="0" applyProtection="0">
      <alignment horizontal="left" vertical="center" indent="1"/>
    </xf>
    <xf numFmtId="0" fontId="4" fillId="30" borderId="138" applyNumberFormat="0" applyProtection="0">
      <alignment horizontal="left" vertical="center" indent="1"/>
    </xf>
    <xf numFmtId="0" fontId="4" fillId="33" borderId="138" applyNumberFormat="0" applyProtection="0">
      <alignment horizontal="left" vertical="center" indent="1"/>
    </xf>
    <xf numFmtId="0" fontId="4" fillId="33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1" fillId="20" borderId="138" applyNumberFormat="0" applyProtection="0">
      <alignment vertical="center"/>
    </xf>
    <xf numFmtId="4" fontId="52" fillId="20" borderId="138" applyNumberFormat="0" applyProtection="0">
      <alignment vertical="center"/>
    </xf>
    <xf numFmtId="4" fontId="51" fillId="20" borderId="138" applyNumberFormat="0" applyProtection="0">
      <alignment horizontal="left" vertical="center" indent="1"/>
    </xf>
    <xf numFmtId="4" fontId="51" fillId="20" borderId="138" applyNumberFormat="0" applyProtection="0">
      <alignment horizontal="left" vertical="center" indent="1"/>
    </xf>
    <xf numFmtId="4" fontId="51" fillId="52" borderId="138" applyNumberFormat="0" applyProtection="0">
      <alignment horizontal="right" vertical="center"/>
    </xf>
    <xf numFmtId="4" fontId="52" fillId="52" borderId="138" applyNumberFormat="0" applyProtection="0">
      <alignment horizontal="right" vertical="center"/>
    </xf>
    <xf numFmtId="0" fontId="4" fillId="11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" fillId="54" borderId="147" applyNumberFormat="0" applyProtection="0">
      <alignment horizontal="left" vertical="center" indent="1"/>
    </xf>
    <xf numFmtId="4" fontId="56" fillId="52" borderId="138" applyNumberFormat="0" applyProtection="0">
      <alignment horizontal="right" vertical="center"/>
    </xf>
    <xf numFmtId="0" fontId="4" fillId="30" borderId="146" applyNumberFormat="0" applyProtection="0">
      <alignment horizontal="left" vertical="center" indent="1"/>
    </xf>
    <xf numFmtId="4" fontId="5" fillId="54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13" borderId="138" applyNumberFormat="0" applyProtection="0">
      <alignment vertical="center"/>
    </xf>
    <xf numFmtId="4" fontId="52" fillId="13" borderId="138" applyNumberFormat="0" applyProtection="0">
      <alignment vertical="center"/>
    </xf>
    <xf numFmtId="4" fontId="51" fillId="13" borderId="138" applyNumberFormat="0" applyProtection="0">
      <alignment horizontal="left" vertical="center" indent="1"/>
    </xf>
    <xf numFmtId="4" fontId="51" fillId="13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1" fillId="35" borderId="138" applyNumberFormat="0" applyProtection="0">
      <alignment horizontal="right" vertical="center"/>
    </xf>
    <xf numFmtId="4" fontId="51" fillId="48" borderId="138" applyNumberFormat="0" applyProtection="0">
      <alignment horizontal="right" vertical="center"/>
    </xf>
    <xf numFmtId="4" fontId="51" fillId="49" borderId="138" applyNumberFormat="0" applyProtection="0">
      <alignment horizontal="right" vertical="center"/>
    </xf>
    <xf numFmtId="4" fontId="51" fillId="12" borderId="138" applyNumberFormat="0" applyProtection="0">
      <alignment horizontal="right" vertical="center"/>
    </xf>
    <xf numFmtId="4" fontId="51" fillId="50" borderId="138" applyNumberFormat="0" applyProtection="0">
      <alignment horizontal="right" vertical="center"/>
    </xf>
    <xf numFmtId="4" fontId="51" fillId="15" borderId="138" applyNumberFormat="0" applyProtection="0">
      <alignment horizontal="right" vertical="center"/>
    </xf>
    <xf numFmtId="4" fontId="51" fillId="17" borderId="138" applyNumberFormat="0" applyProtection="0">
      <alignment horizontal="right" vertical="center"/>
    </xf>
    <xf numFmtId="4" fontId="51" fillId="16" borderId="138" applyNumberFormat="0" applyProtection="0">
      <alignment horizontal="right" vertical="center"/>
    </xf>
    <xf numFmtId="4" fontId="51" fillId="19" borderId="138" applyNumberFormat="0" applyProtection="0">
      <alignment horizontal="right" vertical="center"/>
    </xf>
    <xf numFmtId="4" fontId="53" fillId="51" borderId="138" applyNumberFormat="0" applyProtection="0">
      <alignment horizontal="left" vertical="center" indent="1"/>
    </xf>
    <xf numFmtId="4" fontId="51" fillId="52" borderId="140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" fillId="52" borderId="138" applyNumberFormat="0" applyProtection="0">
      <alignment horizontal="left" vertical="center" indent="1"/>
    </xf>
    <xf numFmtId="4" fontId="5" fillId="54" borderId="138" applyNumberFormat="0" applyProtection="0">
      <alignment horizontal="left" vertical="center" indent="1"/>
    </xf>
    <xf numFmtId="0" fontId="4" fillId="54" borderId="138" applyNumberFormat="0" applyProtection="0">
      <alignment horizontal="left" vertical="center" indent="1"/>
    </xf>
    <xf numFmtId="0" fontId="4" fillId="54" borderId="138" applyNumberFormat="0" applyProtection="0">
      <alignment horizontal="left" vertical="center" indent="1"/>
    </xf>
    <xf numFmtId="0" fontId="4" fillId="30" borderId="138" applyNumberFormat="0" applyProtection="0">
      <alignment horizontal="left" vertical="center" indent="1"/>
    </xf>
    <xf numFmtId="0" fontId="4" fillId="30" borderId="138" applyNumberFormat="0" applyProtection="0">
      <alignment horizontal="left" vertical="center" indent="1"/>
    </xf>
    <xf numFmtId="0" fontId="4" fillId="33" borderId="138" applyNumberFormat="0" applyProtection="0">
      <alignment horizontal="left" vertical="center" indent="1"/>
    </xf>
    <xf numFmtId="0" fontId="4" fillId="33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1" fillId="20" borderId="138" applyNumberFormat="0" applyProtection="0">
      <alignment vertical="center"/>
    </xf>
    <xf numFmtId="4" fontId="52" fillId="20" borderId="138" applyNumberFormat="0" applyProtection="0">
      <alignment vertical="center"/>
    </xf>
    <xf numFmtId="4" fontId="51" fillId="20" borderId="138" applyNumberFormat="0" applyProtection="0">
      <alignment horizontal="left" vertical="center" indent="1"/>
    </xf>
    <xf numFmtId="4" fontId="51" fillId="20" borderId="138" applyNumberFormat="0" applyProtection="0">
      <alignment horizontal="left" vertical="center" indent="1"/>
    </xf>
    <xf numFmtId="4" fontId="51" fillId="52" borderId="138" applyNumberFormat="0" applyProtection="0">
      <alignment horizontal="right" vertical="center"/>
    </xf>
    <xf numFmtId="4" fontId="52" fillId="52" borderId="138" applyNumberFormat="0" applyProtection="0">
      <alignment horizontal="right" vertical="center"/>
    </xf>
    <xf numFmtId="0" fontId="4" fillId="11" borderId="138" applyNumberFormat="0" applyProtection="0">
      <alignment horizontal="left" vertical="center" indent="1"/>
    </xf>
    <xf numFmtId="0" fontId="4" fillId="11" borderId="138" applyNumberFormat="0" applyProtection="0">
      <alignment horizontal="left" vertical="center" indent="1"/>
    </xf>
    <xf numFmtId="4" fontId="56" fillId="52" borderId="138" applyNumberFormat="0" applyProtection="0">
      <alignment horizontal="right" vertical="center"/>
    </xf>
    <xf numFmtId="0" fontId="4" fillId="54" borderId="146" applyNumberFormat="0" applyProtection="0">
      <alignment horizontal="left" vertical="center" indent="1"/>
    </xf>
    <xf numFmtId="4" fontId="51" fillId="13" borderId="147" applyNumberFormat="0" applyProtection="0">
      <alignment vertical="center"/>
    </xf>
    <xf numFmtId="4" fontId="52" fillId="13" borderId="147" applyNumberFormat="0" applyProtection="0">
      <alignment vertical="center"/>
    </xf>
    <xf numFmtId="4" fontId="51" fillId="13" borderId="147" applyNumberFormat="0" applyProtection="0">
      <alignment horizontal="left" vertical="center" indent="1"/>
    </xf>
    <xf numFmtId="4" fontId="51" fillId="13" borderId="147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1" fillId="35" borderId="147" applyNumberFormat="0" applyProtection="0">
      <alignment horizontal="right" vertical="center"/>
    </xf>
    <xf numFmtId="4" fontId="51" fillId="48" borderId="147" applyNumberFormat="0" applyProtection="0">
      <alignment horizontal="right" vertical="center"/>
    </xf>
    <xf numFmtId="4" fontId="51" fillId="52" borderId="141" applyNumberFormat="0" applyProtection="0">
      <alignment horizontal="left" vertical="center" indent="1"/>
    </xf>
    <xf numFmtId="4" fontId="51" fillId="52" borderId="148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" fillId="52" borderId="147" applyNumberFormat="0" applyProtection="0">
      <alignment horizontal="left" vertical="center" indent="1"/>
    </xf>
    <xf numFmtId="0" fontId="4" fillId="54" borderId="147" applyNumberFormat="0" applyProtection="0">
      <alignment horizontal="left" vertical="center" indent="1"/>
    </xf>
    <xf numFmtId="0" fontId="4" fillId="54" borderId="147" applyNumberFormat="0" applyProtection="0">
      <alignment horizontal="left" vertical="center" indent="1"/>
    </xf>
    <xf numFmtId="0" fontId="4" fillId="30" borderId="147" applyNumberFormat="0" applyProtection="0">
      <alignment horizontal="left" vertical="center" indent="1"/>
    </xf>
    <xf numFmtId="0" fontId="4" fillId="30" borderId="147" applyNumberFormat="0" applyProtection="0">
      <alignment horizontal="left" vertical="center" indent="1"/>
    </xf>
    <xf numFmtId="0" fontId="4" fillId="33" borderId="147" applyNumberFormat="0" applyProtection="0">
      <alignment horizontal="left" vertical="center" indent="1"/>
    </xf>
    <xf numFmtId="0" fontId="4" fillId="33" borderId="147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2" fillId="20" borderId="147" applyNumberFormat="0" applyProtection="0">
      <alignment vertical="center"/>
    </xf>
    <xf numFmtId="4" fontId="51" fillId="20" borderId="147" applyNumberFormat="0" applyProtection="0">
      <alignment horizontal="left" vertical="center" indent="1"/>
    </xf>
    <xf numFmtId="4" fontId="51" fillId="20" borderId="147" applyNumberFormat="0" applyProtection="0">
      <alignment horizontal="left" vertical="center" indent="1"/>
    </xf>
    <xf numFmtId="4" fontId="51" fillId="52" borderId="147" applyNumberFormat="0" applyProtection="0">
      <alignment horizontal="right" vertical="center"/>
    </xf>
    <xf numFmtId="4" fontId="52" fillId="52" borderId="147" applyNumberFormat="0" applyProtection="0">
      <alignment horizontal="right" vertical="center"/>
    </xf>
    <xf numFmtId="0" fontId="4" fillId="11" borderId="147" applyNumberFormat="0" applyProtection="0">
      <alignment horizontal="left" vertical="center" indent="1"/>
    </xf>
    <xf numFmtId="4" fontId="51" fillId="50" borderId="147" applyNumberFormat="0" applyProtection="0">
      <alignment horizontal="right" vertical="center"/>
    </xf>
    <xf numFmtId="0" fontId="4" fillId="11" borderId="147" applyNumberFormat="0" applyProtection="0">
      <alignment horizontal="left" vertical="center" indent="1"/>
    </xf>
    <xf numFmtId="4" fontId="51" fillId="15" borderId="147" applyNumberFormat="0" applyProtection="0">
      <alignment horizontal="right" vertical="center"/>
    </xf>
    <xf numFmtId="4" fontId="51" fillId="16" borderId="147" applyNumberFormat="0" applyProtection="0">
      <alignment horizontal="right" vertical="center"/>
    </xf>
    <xf numFmtId="4" fontId="51" fillId="49" borderId="147" applyNumberFormat="0" applyProtection="0">
      <alignment horizontal="right" vertical="center"/>
    </xf>
    <xf numFmtId="0" fontId="4" fillId="11" borderId="147" applyNumberFormat="0" applyProtection="0">
      <alignment horizontal="left" vertical="center" indent="1"/>
    </xf>
    <xf numFmtId="4" fontId="51" fillId="20" borderId="147" applyNumberFormat="0" applyProtection="0">
      <alignment vertical="center"/>
    </xf>
    <xf numFmtId="4" fontId="51" fillId="13" borderId="142" applyNumberFormat="0" applyProtection="0">
      <alignment vertical="center"/>
    </xf>
    <xf numFmtId="4" fontId="52" fillId="13" borderId="142" applyNumberFormat="0" applyProtection="0">
      <alignment vertical="center"/>
    </xf>
    <xf numFmtId="4" fontId="51" fillId="13" borderId="142" applyNumberFormat="0" applyProtection="0">
      <alignment horizontal="left" vertical="center" indent="1"/>
    </xf>
    <xf numFmtId="4" fontId="51" fillId="13" borderId="142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1" fillId="35" borderId="142" applyNumberFormat="0" applyProtection="0">
      <alignment horizontal="right" vertical="center"/>
    </xf>
    <xf numFmtId="4" fontId="51" fillId="48" borderId="142" applyNumberFormat="0" applyProtection="0">
      <alignment horizontal="right" vertical="center"/>
    </xf>
    <xf numFmtId="4" fontId="51" fillId="49" borderId="142" applyNumberFormat="0" applyProtection="0">
      <alignment horizontal="right" vertical="center"/>
    </xf>
    <xf numFmtId="4" fontId="51" fillId="12" borderId="142" applyNumberFormat="0" applyProtection="0">
      <alignment horizontal="right" vertical="center"/>
    </xf>
    <xf numFmtId="4" fontId="51" fillId="50" borderId="142" applyNumberFormat="0" applyProtection="0">
      <alignment horizontal="right" vertical="center"/>
    </xf>
    <xf numFmtId="4" fontId="51" fillId="15" borderId="142" applyNumberFormat="0" applyProtection="0">
      <alignment horizontal="right" vertical="center"/>
    </xf>
    <xf numFmtId="4" fontId="51" fillId="17" borderId="142" applyNumberFormat="0" applyProtection="0">
      <alignment horizontal="right" vertical="center"/>
    </xf>
    <xf numFmtId="4" fontId="51" fillId="16" borderId="142" applyNumberFormat="0" applyProtection="0">
      <alignment horizontal="right" vertical="center"/>
    </xf>
    <xf numFmtId="4" fontId="51" fillId="19" borderId="142" applyNumberFormat="0" applyProtection="0">
      <alignment horizontal="right" vertical="center"/>
    </xf>
    <xf numFmtId="4" fontId="53" fillId="51" borderId="142" applyNumberFormat="0" applyProtection="0">
      <alignment horizontal="left" vertical="center" indent="1"/>
    </xf>
    <xf numFmtId="4" fontId="51" fillId="52" borderId="143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" fillId="52" borderId="142" applyNumberFormat="0" applyProtection="0">
      <alignment horizontal="left" vertical="center" indent="1"/>
    </xf>
    <xf numFmtId="4" fontId="5" fillId="54" borderId="142" applyNumberFormat="0" applyProtection="0">
      <alignment horizontal="left" vertical="center" indent="1"/>
    </xf>
    <xf numFmtId="0" fontId="4" fillId="54" borderId="142" applyNumberFormat="0" applyProtection="0">
      <alignment horizontal="left" vertical="center" indent="1"/>
    </xf>
    <xf numFmtId="0" fontId="4" fillId="54" borderId="142" applyNumberFormat="0" applyProtection="0">
      <alignment horizontal="left" vertical="center" indent="1"/>
    </xf>
    <xf numFmtId="0" fontId="4" fillId="30" borderId="142" applyNumberFormat="0" applyProtection="0">
      <alignment horizontal="left" vertical="center" indent="1"/>
    </xf>
    <xf numFmtId="0" fontId="4" fillId="30" borderId="142" applyNumberFormat="0" applyProtection="0">
      <alignment horizontal="left" vertical="center" indent="1"/>
    </xf>
    <xf numFmtId="0" fontId="4" fillId="33" borderId="142" applyNumberFormat="0" applyProtection="0">
      <alignment horizontal="left" vertical="center" indent="1"/>
    </xf>
    <xf numFmtId="0" fontId="4" fillId="33" borderId="142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1" fillId="20" borderId="142" applyNumberFormat="0" applyProtection="0">
      <alignment vertical="center"/>
    </xf>
    <xf numFmtId="4" fontId="52" fillId="20" borderId="142" applyNumberFormat="0" applyProtection="0">
      <alignment vertical="center"/>
    </xf>
    <xf numFmtId="4" fontId="51" fillId="20" borderId="142" applyNumberFormat="0" applyProtection="0">
      <alignment horizontal="left" vertical="center" indent="1"/>
    </xf>
    <xf numFmtId="4" fontId="51" fillId="20" borderId="142" applyNumberFormat="0" applyProtection="0">
      <alignment horizontal="left" vertical="center" indent="1"/>
    </xf>
    <xf numFmtId="4" fontId="51" fillId="52" borderId="142" applyNumberFormat="0" applyProtection="0">
      <alignment horizontal="right" vertical="center"/>
    </xf>
    <xf numFmtId="4" fontId="52" fillId="52" borderId="142" applyNumberFormat="0" applyProtection="0">
      <alignment horizontal="right" vertical="center"/>
    </xf>
    <xf numFmtId="0" fontId="4" fillId="11" borderId="142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6" fillId="52" borderId="142" applyNumberFormat="0" applyProtection="0">
      <alignment horizontal="right" vertical="center"/>
    </xf>
    <xf numFmtId="4" fontId="51" fillId="52" borderId="151" applyNumberFormat="0" applyProtection="0">
      <alignment horizontal="left" vertical="center" indent="1"/>
    </xf>
    <xf numFmtId="4" fontId="51" fillId="52" borderId="145" applyNumberFormat="0" applyProtection="0">
      <alignment horizontal="left" vertical="center" indent="1"/>
    </xf>
    <xf numFmtId="4" fontId="51" fillId="19" borderId="147" applyNumberFormat="0" applyProtection="0">
      <alignment horizontal="right" vertical="center"/>
    </xf>
    <xf numFmtId="4" fontId="56" fillId="52" borderId="147" applyNumberFormat="0" applyProtection="0">
      <alignment horizontal="right" vertical="center"/>
    </xf>
    <xf numFmtId="4" fontId="51" fillId="13" borderId="149" applyNumberFormat="0" applyProtection="0">
      <alignment vertical="center"/>
    </xf>
    <xf numFmtId="4" fontId="52" fillId="13" borderId="149" applyNumberFormat="0" applyProtection="0">
      <alignment vertical="center"/>
    </xf>
    <xf numFmtId="4" fontId="51" fillId="13" borderId="149" applyNumberFormat="0" applyProtection="0">
      <alignment horizontal="left" vertical="center" indent="1"/>
    </xf>
    <xf numFmtId="4" fontId="51" fillId="13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1" fillId="35" borderId="149" applyNumberFormat="0" applyProtection="0">
      <alignment horizontal="right" vertical="center"/>
    </xf>
    <xf numFmtId="4" fontId="51" fillId="48" borderId="149" applyNumberFormat="0" applyProtection="0">
      <alignment horizontal="right" vertical="center"/>
    </xf>
    <xf numFmtId="4" fontId="51" fillId="49" borderId="149" applyNumberFormat="0" applyProtection="0">
      <alignment horizontal="right" vertical="center"/>
    </xf>
    <xf numFmtId="4" fontId="51" fillId="12" borderId="149" applyNumberFormat="0" applyProtection="0">
      <alignment horizontal="right" vertical="center"/>
    </xf>
    <xf numFmtId="4" fontId="51" fillId="50" borderId="149" applyNumberFormat="0" applyProtection="0">
      <alignment horizontal="right" vertical="center"/>
    </xf>
    <xf numFmtId="4" fontId="51" fillId="15" borderId="149" applyNumberFormat="0" applyProtection="0">
      <alignment horizontal="right" vertical="center"/>
    </xf>
    <xf numFmtId="4" fontId="51" fillId="17" borderId="149" applyNumberFormat="0" applyProtection="0">
      <alignment horizontal="right" vertical="center"/>
    </xf>
    <xf numFmtId="4" fontId="51" fillId="16" borderId="149" applyNumberFormat="0" applyProtection="0">
      <alignment horizontal="right" vertical="center"/>
    </xf>
    <xf numFmtId="4" fontId="51" fillId="19" borderId="149" applyNumberFormat="0" applyProtection="0">
      <alignment horizontal="right" vertical="center"/>
    </xf>
    <xf numFmtId="4" fontId="53" fillId="51" borderId="149" applyNumberFormat="0" applyProtection="0">
      <alignment horizontal="left" vertical="center" indent="1"/>
    </xf>
    <xf numFmtId="4" fontId="51" fillId="52" borderId="150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" fillId="52" borderId="149" applyNumberFormat="0" applyProtection="0">
      <alignment horizontal="left" vertical="center" indent="1"/>
    </xf>
    <xf numFmtId="4" fontId="5" fillId="54" borderId="149" applyNumberFormat="0" applyProtection="0">
      <alignment horizontal="left" vertical="center" indent="1"/>
    </xf>
    <xf numFmtId="0" fontId="4" fillId="54" borderId="149" applyNumberFormat="0" applyProtection="0">
      <alignment horizontal="left" vertical="center" indent="1"/>
    </xf>
    <xf numFmtId="0" fontId="4" fillId="54" borderId="149" applyNumberFormat="0" applyProtection="0">
      <alignment horizontal="left" vertical="center" indent="1"/>
    </xf>
    <xf numFmtId="0" fontId="4" fillId="30" borderId="149" applyNumberFormat="0" applyProtection="0">
      <alignment horizontal="left" vertical="center" indent="1"/>
    </xf>
    <xf numFmtId="0" fontId="4" fillId="30" borderId="149" applyNumberFormat="0" applyProtection="0">
      <alignment horizontal="left" vertical="center" indent="1"/>
    </xf>
    <xf numFmtId="0" fontId="4" fillId="33" borderId="149" applyNumberFormat="0" applyProtection="0">
      <alignment horizontal="left" vertical="center" indent="1"/>
    </xf>
    <xf numFmtId="0" fontId="4" fillId="33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1" fillId="20" borderId="149" applyNumberFormat="0" applyProtection="0">
      <alignment vertical="center"/>
    </xf>
    <xf numFmtId="4" fontId="52" fillId="20" borderId="149" applyNumberFormat="0" applyProtection="0">
      <alignment vertical="center"/>
    </xf>
    <xf numFmtId="4" fontId="51" fillId="20" borderId="149" applyNumberFormat="0" applyProtection="0">
      <alignment horizontal="left" vertical="center" indent="1"/>
    </xf>
    <xf numFmtId="4" fontId="51" fillId="20" borderId="149" applyNumberFormat="0" applyProtection="0">
      <alignment horizontal="left" vertical="center" indent="1"/>
    </xf>
    <xf numFmtId="4" fontId="51" fillId="52" borderId="149" applyNumberFormat="0" applyProtection="0">
      <alignment horizontal="right" vertical="center"/>
    </xf>
    <xf numFmtId="4" fontId="52" fillId="52" borderId="149" applyNumberFormat="0" applyProtection="0">
      <alignment horizontal="right" vertical="center"/>
    </xf>
    <xf numFmtId="0" fontId="4" fillId="11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6" fillId="52" borderId="149" applyNumberFormat="0" applyProtection="0">
      <alignment horizontal="right" vertical="center"/>
    </xf>
    <xf numFmtId="4" fontId="52" fillId="13" borderId="152" applyNumberFormat="0" applyProtection="0">
      <alignment vertical="center"/>
    </xf>
    <xf numFmtId="4" fontId="51" fillId="13" borderId="152" applyNumberFormat="0" applyProtection="0">
      <alignment horizontal="left" vertical="center" indent="1"/>
    </xf>
    <xf numFmtId="4" fontId="51" fillId="13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1" fillId="35" borderId="152" applyNumberFormat="0" applyProtection="0">
      <alignment horizontal="right" vertical="center"/>
    </xf>
    <xf numFmtId="4" fontId="51" fillId="48" borderId="152" applyNumberFormat="0" applyProtection="0">
      <alignment horizontal="right" vertical="center"/>
    </xf>
    <xf numFmtId="4" fontId="51" fillId="49" borderId="152" applyNumberFormat="0" applyProtection="0">
      <alignment horizontal="right" vertical="center"/>
    </xf>
    <xf numFmtId="4" fontId="51" fillId="12" borderId="152" applyNumberFormat="0" applyProtection="0">
      <alignment horizontal="right" vertical="center"/>
    </xf>
    <xf numFmtId="4" fontId="51" fillId="50" borderId="152" applyNumberFormat="0" applyProtection="0">
      <alignment horizontal="right" vertical="center"/>
    </xf>
    <xf numFmtId="4" fontId="51" fillId="15" borderId="152" applyNumberFormat="0" applyProtection="0">
      <alignment horizontal="right" vertical="center"/>
    </xf>
    <xf numFmtId="4" fontId="51" fillId="17" borderId="152" applyNumberFormat="0" applyProtection="0">
      <alignment horizontal="right" vertical="center"/>
    </xf>
    <xf numFmtId="4" fontId="51" fillId="16" borderId="152" applyNumberFormat="0" applyProtection="0">
      <alignment horizontal="right" vertical="center"/>
    </xf>
    <xf numFmtId="4" fontId="51" fillId="19" borderId="152" applyNumberFormat="0" applyProtection="0">
      <alignment horizontal="right" vertical="center"/>
    </xf>
    <xf numFmtId="4" fontId="53" fillId="51" borderId="152" applyNumberFormat="0" applyProtection="0">
      <alignment horizontal="left" vertical="center" indent="1"/>
    </xf>
    <xf numFmtId="4" fontId="51" fillId="52" borderId="153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" fillId="52" borderId="152" applyNumberFormat="0" applyProtection="0">
      <alignment horizontal="left" vertical="center" indent="1"/>
    </xf>
    <xf numFmtId="4" fontId="5" fillId="54" borderId="152" applyNumberFormat="0" applyProtection="0">
      <alignment horizontal="left" vertical="center" indent="1"/>
    </xf>
    <xf numFmtId="0" fontId="4" fillId="54" borderId="152" applyNumberFormat="0" applyProtection="0">
      <alignment horizontal="left" vertical="center" indent="1"/>
    </xf>
    <xf numFmtId="0" fontId="4" fillId="54" borderId="152" applyNumberFormat="0" applyProtection="0">
      <alignment horizontal="left" vertical="center" indent="1"/>
    </xf>
    <xf numFmtId="0" fontId="4" fillId="30" borderId="152" applyNumberFormat="0" applyProtection="0">
      <alignment horizontal="left" vertical="center" indent="1"/>
    </xf>
    <xf numFmtId="0" fontId="4" fillId="30" borderId="152" applyNumberFormat="0" applyProtection="0">
      <alignment horizontal="left" vertical="center" indent="1"/>
    </xf>
    <xf numFmtId="0" fontId="4" fillId="33" borderId="152" applyNumberFormat="0" applyProtection="0">
      <alignment horizontal="left" vertical="center" indent="1"/>
    </xf>
    <xf numFmtId="0" fontId="4" fillId="33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1" fillId="20" borderId="152" applyNumberFormat="0" applyProtection="0">
      <alignment vertical="center"/>
    </xf>
    <xf numFmtId="4" fontId="52" fillId="20" borderId="152" applyNumberFormat="0" applyProtection="0">
      <alignment vertical="center"/>
    </xf>
    <xf numFmtId="4" fontId="51" fillId="20" borderId="152" applyNumberFormat="0" applyProtection="0">
      <alignment horizontal="left" vertical="center" indent="1"/>
    </xf>
    <xf numFmtId="4" fontId="51" fillId="20" borderId="152" applyNumberFormat="0" applyProtection="0">
      <alignment horizontal="left" vertical="center" indent="1"/>
    </xf>
    <xf numFmtId="4" fontId="51" fillId="52" borderId="152" applyNumberFormat="0" applyProtection="0">
      <alignment horizontal="right" vertical="center"/>
    </xf>
    <xf numFmtId="4" fontId="52" fillId="52" borderId="152" applyNumberFormat="0" applyProtection="0">
      <alignment horizontal="right" vertical="center"/>
    </xf>
    <xf numFmtId="0" fontId="4" fillId="11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6" fillId="52" borderId="152" applyNumberFormat="0" applyProtection="0">
      <alignment horizontal="right" vertical="center"/>
    </xf>
    <xf numFmtId="0" fontId="1" fillId="0" borderId="0"/>
    <xf numFmtId="4" fontId="51" fillId="13" borderId="166" applyNumberFormat="0" applyProtection="0">
      <alignment vertical="center"/>
    </xf>
    <xf numFmtId="4" fontId="52" fillId="13" borderId="166" applyNumberFormat="0" applyProtection="0">
      <alignment vertical="center"/>
    </xf>
    <xf numFmtId="4" fontId="51" fillId="13" borderId="166" applyNumberFormat="0" applyProtection="0">
      <alignment horizontal="left" vertical="center" indent="1"/>
    </xf>
    <xf numFmtId="4" fontId="51" fillId="1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1" fillId="35" borderId="166" applyNumberFormat="0" applyProtection="0">
      <alignment horizontal="right" vertical="center"/>
    </xf>
    <xf numFmtId="4" fontId="51" fillId="48" borderId="166" applyNumberFormat="0" applyProtection="0">
      <alignment horizontal="right" vertical="center"/>
    </xf>
    <xf numFmtId="4" fontId="51" fillId="49" borderId="166" applyNumberFormat="0" applyProtection="0">
      <alignment horizontal="right" vertical="center"/>
    </xf>
    <xf numFmtId="4" fontId="51" fillId="12" borderId="166" applyNumberFormat="0" applyProtection="0">
      <alignment horizontal="right" vertical="center"/>
    </xf>
    <xf numFmtId="4" fontId="51" fillId="50" borderId="166" applyNumberFormat="0" applyProtection="0">
      <alignment horizontal="right" vertical="center"/>
    </xf>
    <xf numFmtId="4" fontId="51" fillId="15" borderId="166" applyNumberFormat="0" applyProtection="0">
      <alignment horizontal="right" vertical="center"/>
    </xf>
    <xf numFmtId="4" fontId="51" fillId="17" borderId="166" applyNumberFormat="0" applyProtection="0">
      <alignment horizontal="right" vertical="center"/>
    </xf>
    <xf numFmtId="4" fontId="51" fillId="16" borderId="166" applyNumberFormat="0" applyProtection="0">
      <alignment horizontal="right" vertical="center"/>
    </xf>
    <xf numFmtId="4" fontId="51" fillId="19" borderId="166" applyNumberFormat="0" applyProtection="0">
      <alignment horizontal="right" vertical="center"/>
    </xf>
    <xf numFmtId="4" fontId="53" fillId="51" borderId="166" applyNumberFormat="0" applyProtection="0">
      <alignment horizontal="left" vertical="center" indent="1"/>
    </xf>
    <xf numFmtId="4" fontId="51" fillId="52" borderId="167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" fillId="52" borderId="166" applyNumberFormat="0" applyProtection="0">
      <alignment horizontal="left" vertical="center" indent="1"/>
    </xf>
    <xf numFmtId="4" fontId="5" fillId="54" borderId="166" applyNumberFormat="0" applyProtection="0">
      <alignment horizontal="left" vertical="center" indent="1"/>
    </xf>
    <xf numFmtId="0" fontId="4" fillId="54" borderId="166" applyNumberFormat="0" applyProtection="0">
      <alignment horizontal="left" vertical="center" indent="1"/>
    </xf>
    <xf numFmtId="0" fontId="4" fillId="54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1" fillId="20" borderId="166" applyNumberFormat="0" applyProtection="0">
      <alignment vertical="center"/>
    </xf>
    <xf numFmtId="4" fontId="52" fillId="20" borderId="166" applyNumberFormat="0" applyProtection="0">
      <alignment vertical="center"/>
    </xf>
    <xf numFmtId="4" fontId="51" fillId="20" borderId="166" applyNumberFormat="0" applyProtection="0">
      <alignment horizontal="left" vertical="center" indent="1"/>
    </xf>
    <xf numFmtId="4" fontId="51" fillId="20" borderId="166" applyNumberFormat="0" applyProtection="0">
      <alignment horizontal="left" vertical="center" indent="1"/>
    </xf>
    <xf numFmtId="4" fontId="51" fillId="52" borderId="166" applyNumberFormat="0" applyProtection="0">
      <alignment horizontal="right" vertical="center"/>
    </xf>
    <xf numFmtId="4" fontId="52" fillId="52" borderId="166" applyNumberFormat="0" applyProtection="0">
      <alignment horizontal="right" vertical="center"/>
    </xf>
    <xf numFmtId="0" fontId="4" fillId="11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6" fillId="52" borderId="166" applyNumberFormat="0" applyProtection="0">
      <alignment horizontal="right" vertical="center"/>
    </xf>
    <xf numFmtId="4" fontId="51" fillId="13" borderId="168" applyNumberFormat="0" applyProtection="0">
      <alignment horizontal="left" vertical="center" indent="1"/>
    </xf>
    <xf numFmtId="4" fontId="51" fillId="12" borderId="168" applyNumberFormat="0" applyProtection="0">
      <alignment horizontal="right" vertical="center"/>
    </xf>
    <xf numFmtId="4" fontId="51" fillId="13" borderId="168" applyNumberFormat="0" applyProtection="0">
      <alignment horizontal="left" vertical="center" indent="1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vertical="center"/>
    </xf>
    <xf numFmtId="4" fontId="51" fillId="17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0" fontId="1" fillId="0" borderId="0"/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4" fontId="51" fillId="13" borderId="168" applyNumberFormat="0" applyProtection="0">
      <alignment vertical="center"/>
    </xf>
    <xf numFmtId="4" fontId="56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  <xf numFmtId="0" fontId="4" fillId="30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  <xf numFmtId="0" fontId="4" fillId="54" borderId="168" applyNumberFormat="0" applyProtection="0">
      <alignment horizontal="left" vertical="center" indent="1"/>
    </xf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52" borderId="169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4" fontId="51" fillId="50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4" fontId="51" fillId="15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  <xf numFmtId="4" fontId="51" fillId="52" borderId="169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4" fontId="51" fillId="19" borderId="168" applyNumberFormat="0" applyProtection="0">
      <alignment horizontal="right" vertical="center"/>
    </xf>
    <xf numFmtId="4" fontId="56" fillId="52" borderId="168" applyNumberFormat="0" applyProtection="0">
      <alignment horizontal="right" vertical="center"/>
    </xf>
    <xf numFmtId="4" fontId="51" fillId="13" borderId="168" applyNumberFormat="0" applyProtection="0">
      <alignment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  <xf numFmtId="4" fontId="52" fillId="13" borderId="168" applyNumberFormat="0" applyProtection="0">
      <alignment vertical="center"/>
    </xf>
    <xf numFmtId="4" fontId="51" fillId="13" borderId="168" applyNumberFormat="0" applyProtection="0">
      <alignment horizontal="left" vertical="center" indent="1"/>
    </xf>
    <xf numFmtId="4" fontId="51" fillId="1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35" borderId="168" applyNumberFormat="0" applyProtection="0">
      <alignment horizontal="right" vertical="center"/>
    </xf>
    <xf numFmtId="4" fontId="51" fillId="48" borderId="168" applyNumberFormat="0" applyProtection="0">
      <alignment horizontal="right" vertical="center"/>
    </xf>
    <xf numFmtId="4" fontId="51" fillId="49" borderId="168" applyNumberFormat="0" applyProtection="0">
      <alignment horizontal="right" vertical="center"/>
    </xf>
    <xf numFmtId="4" fontId="51" fillId="12" borderId="168" applyNumberFormat="0" applyProtection="0">
      <alignment horizontal="right" vertical="center"/>
    </xf>
    <xf numFmtId="4" fontId="51" fillId="50" borderId="168" applyNumberFormat="0" applyProtection="0">
      <alignment horizontal="right" vertical="center"/>
    </xf>
    <xf numFmtId="4" fontId="51" fillId="15" borderId="168" applyNumberFormat="0" applyProtection="0">
      <alignment horizontal="right" vertical="center"/>
    </xf>
    <xf numFmtId="4" fontId="51" fillId="17" borderId="168" applyNumberFormat="0" applyProtection="0">
      <alignment horizontal="right" vertical="center"/>
    </xf>
    <xf numFmtId="4" fontId="51" fillId="16" borderId="168" applyNumberFormat="0" applyProtection="0">
      <alignment horizontal="right" vertical="center"/>
    </xf>
    <xf numFmtId="4" fontId="51" fillId="19" borderId="168" applyNumberFormat="0" applyProtection="0">
      <alignment horizontal="right" vertical="center"/>
    </xf>
    <xf numFmtId="4" fontId="53" fillId="51" borderId="168" applyNumberFormat="0" applyProtection="0">
      <alignment horizontal="left" vertical="center" indent="1"/>
    </xf>
    <xf numFmtId="4" fontId="51" fillId="52" borderId="169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" fillId="52" borderId="168" applyNumberFormat="0" applyProtection="0">
      <alignment horizontal="left" vertical="center" indent="1"/>
    </xf>
    <xf numFmtId="4" fontId="5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54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0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33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1" fillId="20" borderId="168" applyNumberFormat="0" applyProtection="0">
      <alignment vertical="center"/>
    </xf>
    <xf numFmtId="4" fontId="52" fillId="20" borderId="168" applyNumberFormat="0" applyProtection="0">
      <alignment vertical="center"/>
    </xf>
    <xf numFmtId="4" fontId="51" fillId="20" borderId="168" applyNumberFormat="0" applyProtection="0">
      <alignment horizontal="left" vertical="center" indent="1"/>
    </xf>
    <xf numFmtId="4" fontId="51" fillId="20" borderId="168" applyNumberFormat="0" applyProtection="0">
      <alignment horizontal="left" vertical="center" indent="1"/>
    </xf>
    <xf numFmtId="4" fontId="51" fillId="52" borderId="168" applyNumberFormat="0" applyProtection="0">
      <alignment horizontal="right" vertical="center"/>
    </xf>
    <xf numFmtId="4" fontId="52" fillId="52" borderId="168" applyNumberFormat="0" applyProtection="0">
      <alignment horizontal="right" vertical="center"/>
    </xf>
    <xf numFmtId="0" fontId="4" fillId="11" borderId="168" applyNumberFormat="0" applyProtection="0">
      <alignment horizontal="left" vertical="center" indent="1"/>
    </xf>
    <xf numFmtId="0" fontId="4" fillId="11" borderId="168" applyNumberFormat="0" applyProtection="0">
      <alignment horizontal="left" vertical="center" indent="1"/>
    </xf>
    <xf numFmtId="4" fontId="56" fillId="52" borderId="168" applyNumberFormat="0" applyProtection="0">
      <alignment horizontal="right" vertical="center"/>
    </xf>
  </cellStyleXfs>
  <cellXfs count="5167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68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18" fillId="0" borderId="52" xfId="4" applyFont="1" applyBorder="1" applyAlignment="1">
      <alignment horizontal="center" vertical="center"/>
    </xf>
    <xf numFmtId="0" fontId="18" fillId="0" borderId="77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77" xfId="4" applyFont="1" applyBorder="1" applyAlignment="1">
      <alignment horizontal="center" vertical="center" wrapText="1"/>
    </xf>
    <xf numFmtId="3" fontId="27" fillId="21" borderId="68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4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68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0" xfId="4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68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1" xfId="4" applyNumberFormat="1" applyFont="1" applyFill="1" applyBorder="1" applyAlignment="1">
      <alignment horizontal="right" vertical="center"/>
    </xf>
    <xf numFmtId="0" fontId="7" fillId="0" borderId="80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0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4" xfId="4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4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2" fillId="0" borderId="70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25" fillId="8" borderId="68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68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7" fillId="13" borderId="68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0" fontId="25" fillId="6" borderId="81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6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7" xfId="4" applyFont="1" applyFill="1" applyBorder="1" applyAlignment="1">
      <alignment horizontal="right" vertical="center" wrapText="1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5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68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1" xfId="4" applyNumberFormat="1" applyFont="1" applyFill="1" applyBorder="1" applyAlignment="1">
      <alignment vertical="center" wrapText="1"/>
    </xf>
    <xf numFmtId="0" fontId="31" fillId="0" borderId="82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horizontal="left" vertical="center" wrapText="1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3" fontId="7" fillId="8" borderId="76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0" fontId="30" fillId="8" borderId="11" xfId="0" applyFont="1" applyFill="1" applyBorder="1" applyAlignment="1">
      <alignment vertical="top"/>
    </xf>
    <xf numFmtId="3" fontId="24" fillId="22" borderId="68" xfId="0" applyNumberFormat="1" applyFont="1" applyFill="1" applyBorder="1" applyAlignment="1">
      <alignment vertical="center"/>
    </xf>
    <xf numFmtId="0" fontId="16" fillId="2" borderId="84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77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7" fillId="0" borderId="50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5" borderId="45" xfId="4" applyFont="1" applyFill="1" applyBorder="1" applyAlignment="1">
      <alignment horizontal="left" vertical="center"/>
    </xf>
    <xf numFmtId="0" fontId="27" fillId="55" borderId="16" xfId="4" applyFont="1" applyFill="1" applyBorder="1" applyAlignment="1">
      <alignment horizontal="left" vertical="center"/>
    </xf>
    <xf numFmtId="3" fontId="27" fillId="55" borderId="17" xfId="4" applyNumberFormat="1" applyFont="1" applyFill="1" applyBorder="1" applyAlignment="1">
      <alignment horizontal="right" vertical="center"/>
    </xf>
    <xf numFmtId="0" fontId="27" fillId="55" borderId="65" xfId="4" applyFont="1" applyFill="1" applyBorder="1" applyAlignment="1">
      <alignment horizontal="left" vertical="center"/>
    </xf>
    <xf numFmtId="0" fontId="27" fillId="55" borderId="6" xfId="4" applyFont="1" applyFill="1" applyBorder="1" applyAlignment="1">
      <alignment horizontal="left" vertical="center"/>
    </xf>
    <xf numFmtId="3" fontId="27" fillId="55" borderId="27" xfId="4" applyNumberFormat="1" applyFont="1" applyFill="1" applyBorder="1" applyAlignment="1">
      <alignment horizontal="right" vertical="center"/>
    </xf>
    <xf numFmtId="0" fontId="27" fillId="55" borderId="65" xfId="0" applyFont="1" applyFill="1" applyBorder="1" applyAlignment="1">
      <alignment horizontal="left" vertical="top"/>
    </xf>
    <xf numFmtId="0" fontId="28" fillId="55" borderId="6" xfId="0" quotePrefix="1" applyFont="1" applyFill="1" applyBorder="1" applyAlignment="1">
      <alignment horizontal="center" vertical="top"/>
    </xf>
    <xf numFmtId="3" fontId="27" fillId="55" borderId="27" xfId="0" quotePrefix="1" applyNumberFormat="1" applyFont="1" applyFill="1" applyBorder="1" applyAlignment="1">
      <alignment horizontal="right" vertical="top"/>
    </xf>
    <xf numFmtId="0" fontId="27" fillId="55" borderId="34" xfId="4" applyFont="1" applyFill="1" applyBorder="1" applyAlignment="1">
      <alignment horizontal="left" vertical="center"/>
    </xf>
    <xf numFmtId="3" fontId="27" fillId="55" borderId="29" xfId="4" applyNumberFormat="1" applyFont="1" applyFill="1" applyBorder="1" applyAlignment="1">
      <alignment horizontal="right" vertical="center"/>
    </xf>
    <xf numFmtId="0" fontId="27" fillId="55" borderId="36" xfId="4" applyFont="1" applyFill="1" applyBorder="1" applyAlignment="1">
      <alignment horizontal="left" vertical="center"/>
    </xf>
    <xf numFmtId="0" fontId="27" fillId="55" borderId="20" xfId="4" applyFont="1" applyFill="1" applyBorder="1" applyAlignment="1">
      <alignment horizontal="left" vertical="center"/>
    </xf>
    <xf numFmtId="3" fontId="27" fillId="55" borderId="9" xfId="4" applyNumberFormat="1" applyFont="1" applyFill="1" applyBorder="1" applyAlignment="1">
      <alignment horizontal="right" vertical="center"/>
    </xf>
    <xf numFmtId="0" fontId="27" fillId="55" borderId="46" xfId="0" applyFont="1" applyFill="1" applyBorder="1" applyAlignment="1">
      <alignment horizontal="left" vertical="top"/>
    </xf>
    <xf numFmtId="3" fontId="27" fillId="55" borderId="23" xfId="0" quotePrefix="1" applyNumberFormat="1" applyFont="1" applyFill="1" applyBorder="1" applyAlignment="1">
      <alignment horizontal="right" vertical="top"/>
    </xf>
    <xf numFmtId="0" fontId="27" fillId="55" borderId="11" xfId="4" applyFont="1" applyFill="1" applyBorder="1" applyAlignment="1">
      <alignment horizontal="left" vertical="center"/>
    </xf>
    <xf numFmtId="0" fontId="27" fillId="55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3" fontId="33" fillId="8" borderId="29" xfId="6" applyNumberFormat="1" applyFont="1" applyFill="1" applyBorder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0" fontId="27" fillId="55" borderId="19" xfId="4" applyFont="1" applyFill="1" applyBorder="1" applyAlignment="1">
      <alignment horizontal="lef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0" xfId="4" applyNumberFormat="1" applyFont="1" applyFill="1" applyBorder="1" applyAlignment="1">
      <alignment horizontal="right" vertical="center"/>
    </xf>
    <xf numFmtId="3" fontId="25" fillId="22" borderId="69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2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2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43" fontId="33" fillId="0" borderId="9" xfId="1" applyFont="1" applyFill="1" applyBorder="1" applyAlignment="1">
      <alignment vertical="center"/>
    </xf>
    <xf numFmtId="0" fontId="24" fillId="8" borderId="82" xfId="0" applyFont="1" applyFill="1" applyBorder="1" applyAlignment="1">
      <alignment vertical="center" wrapText="1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3" xfId="4" applyNumberFormat="1" applyFont="1" applyFill="1" applyBorder="1" applyAlignment="1">
      <alignment horizontal="right"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2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1" fillId="0" borderId="77" xfId="4" applyFont="1" applyFill="1" applyBorder="1" applyAlignment="1">
      <alignment horizontal="center" vertical="center"/>
    </xf>
    <xf numFmtId="0" fontId="25" fillId="8" borderId="19" xfId="4" applyFont="1" applyFill="1" applyBorder="1" applyAlignment="1">
      <alignment horizontal="left" vertical="center" wrapText="1"/>
    </xf>
    <xf numFmtId="43" fontId="31" fillId="0" borderId="29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27" fillId="0" borderId="30" xfId="1" applyFont="1" applyFill="1" applyBorder="1" applyAlignment="1">
      <alignment horizontal="right" vertical="center"/>
    </xf>
    <xf numFmtId="3" fontId="25" fillId="26" borderId="51" xfId="4" applyNumberFormat="1" applyFont="1" applyFill="1" applyBorder="1" applyAlignment="1">
      <alignment horizontal="center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43" fontId="31" fillId="0" borderId="63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69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3" xfId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6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24" fillId="23" borderId="68" xfId="4" applyNumberFormat="1" applyFont="1" applyFill="1" applyBorder="1" applyAlignment="1">
      <alignment horizontal="right" vertical="center"/>
    </xf>
    <xf numFmtId="43" fontId="31" fillId="0" borderId="70" xfId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25" fillId="0" borderId="23" xfId="4" applyFont="1" applyBorder="1" applyAlignment="1">
      <alignment horizontal="center" vertical="center" wrapText="1"/>
    </xf>
    <xf numFmtId="3" fontId="57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87" xfId="0" applyNumberFormat="1" applyFont="1" applyFill="1" applyBorder="1" applyAlignment="1">
      <alignment vertical="center"/>
    </xf>
    <xf numFmtId="3" fontId="29" fillId="23" borderId="87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87" xfId="0" applyNumberFormat="1" applyFont="1" applyFill="1" applyBorder="1" applyAlignment="1">
      <alignment vertical="center"/>
    </xf>
    <xf numFmtId="3" fontId="7" fillId="23" borderId="87" xfId="0" applyNumberFormat="1" applyFont="1" applyFill="1" applyBorder="1" applyAlignment="1">
      <alignment vertical="center"/>
    </xf>
    <xf numFmtId="0" fontId="57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28" borderId="9" xfId="0" applyNumberFormat="1" applyFont="1" applyFill="1" applyBorder="1" applyAlignment="1">
      <alignment vertical="center"/>
    </xf>
    <xf numFmtId="43" fontId="7" fillId="23" borderId="87" xfId="1" applyFont="1" applyFill="1" applyBorder="1" applyAlignment="1">
      <alignment vertical="center"/>
    </xf>
    <xf numFmtId="0" fontId="7" fillId="8" borderId="93" xfId="0" applyFont="1" applyFill="1" applyBorder="1" applyAlignment="1">
      <alignment vertical="top" wrapText="1"/>
    </xf>
    <xf numFmtId="0" fontId="7" fillId="8" borderId="88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0" fontId="7" fillId="8" borderId="28" xfId="0" applyFont="1" applyFill="1" applyBorder="1" applyAlignment="1">
      <alignment vertical="top" wrapText="1"/>
    </xf>
    <xf numFmtId="0" fontId="7" fillId="8" borderId="74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89" xfId="0" applyNumberFormat="1" applyFont="1" applyFill="1" applyBorder="1" applyAlignment="1">
      <alignment vertical="top"/>
    </xf>
    <xf numFmtId="3" fontId="27" fillId="2" borderId="89" xfId="0" applyNumberFormat="1" applyFont="1" applyFill="1" applyBorder="1" applyAlignment="1">
      <alignment vertical="top"/>
    </xf>
    <xf numFmtId="3" fontId="25" fillId="25" borderId="87" xfId="0" applyNumberFormat="1" applyFont="1" applyFill="1" applyBorder="1" applyAlignment="1">
      <alignment vertical="top"/>
    </xf>
    <xf numFmtId="3" fontId="27" fillId="0" borderId="89" xfId="0" applyNumberFormat="1" applyFont="1" applyFill="1" applyBorder="1" applyAlignment="1">
      <alignment vertical="top"/>
    </xf>
    <xf numFmtId="3" fontId="31" fillId="0" borderId="87" xfId="0" applyNumberFormat="1" applyFont="1" applyFill="1" applyBorder="1" applyAlignment="1">
      <alignment vertical="top"/>
    </xf>
    <xf numFmtId="0" fontId="31" fillId="0" borderId="74" xfId="4" applyFont="1" applyFill="1" applyBorder="1" applyAlignment="1">
      <alignment vertical="center"/>
    </xf>
    <xf numFmtId="3" fontId="25" fillId="6" borderId="87" xfId="0" applyNumberFormat="1" applyFont="1" applyFill="1" applyBorder="1" applyAlignment="1">
      <alignment vertical="top"/>
    </xf>
    <xf numFmtId="3" fontId="27" fillId="2" borderId="87" xfId="0" applyNumberFormat="1" applyFont="1" applyFill="1" applyBorder="1" applyAlignment="1">
      <alignment vertical="top"/>
    </xf>
    <xf numFmtId="3" fontId="27" fillId="0" borderId="87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1" fillId="0" borderId="47" xfId="0" applyNumberFormat="1" applyFont="1" applyFill="1" applyBorder="1" applyAlignment="1">
      <alignment horizontal="right" vertical="center"/>
    </xf>
    <xf numFmtId="0" fontId="39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6" borderId="89" xfId="0" applyNumberFormat="1" applyFont="1" applyFill="1" applyBorder="1" applyAlignment="1">
      <alignment vertical="center"/>
    </xf>
    <xf numFmtId="0" fontId="28" fillId="57" borderId="6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55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3" fontId="37" fillId="0" borderId="0" xfId="0" applyNumberFormat="1" applyFont="1" applyBorder="1" applyAlignment="1">
      <alignment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19" fillId="0" borderId="26" xfId="0" applyFont="1" applyBorder="1" applyAlignment="1">
      <alignment vertical="top"/>
    </xf>
    <xf numFmtId="0" fontId="19" fillId="0" borderId="66" xfId="0" applyFont="1" applyBorder="1" applyAlignment="1">
      <alignment vertical="top"/>
    </xf>
    <xf numFmtId="3" fontId="31" fillId="8" borderId="18" xfId="0" applyNumberFormat="1" applyFont="1" applyFill="1" applyBorder="1" applyAlignment="1">
      <alignment vertical="top"/>
    </xf>
    <xf numFmtId="3" fontId="31" fillId="8" borderId="76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39" fillId="0" borderId="98" xfId="0" applyFont="1" applyBorder="1"/>
    <xf numFmtId="0" fontId="27" fillId="55" borderId="28" xfId="4" applyFont="1" applyFill="1" applyBorder="1" applyAlignment="1">
      <alignment horizontal="left" vertical="center"/>
    </xf>
    <xf numFmtId="3" fontId="27" fillId="55" borderId="89" xfId="4" applyNumberFormat="1" applyFont="1" applyFill="1" applyBorder="1" applyAlignment="1">
      <alignment horizontal="right" vertical="center"/>
    </xf>
    <xf numFmtId="3" fontId="31" fillId="0" borderId="98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7" fillId="0" borderId="97" xfId="4" applyNumberFormat="1" applyFont="1" applyFill="1" applyBorder="1" applyAlignment="1">
      <alignment horizontal="right" vertical="center"/>
    </xf>
    <xf numFmtId="3" fontId="25" fillId="6" borderId="99" xfId="0" applyNumberFormat="1" applyFont="1" applyFill="1" applyBorder="1" applyAlignment="1">
      <alignment vertical="top"/>
    </xf>
    <xf numFmtId="3" fontId="27" fillId="2" borderId="99" xfId="0" applyNumberFormat="1" applyFont="1" applyFill="1" applyBorder="1" applyAlignment="1">
      <alignment vertical="top"/>
    </xf>
    <xf numFmtId="3" fontId="27" fillId="0" borderId="99" xfId="0" applyNumberFormat="1" applyFont="1" applyFill="1" applyBorder="1" applyAlignment="1">
      <alignment vertical="top"/>
    </xf>
    <xf numFmtId="0" fontId="15" fillId="2" borderId="9" xfId="0" applyFont="1" applyFill="1" applyBorder="1" applyAlignment="1">
      <alignment horizontal="right" vertical="center"/>
    </xf>
    <xf numFmtId="0" fontId="15" fillId="2" borderId="99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3" fontId="24" fillId="8" borderId="76" xfId="4" applyNumberFormat="1" applyFont="1" applyFill="1" applyBorder="1" applyAlignment="1">
      <alignment horizontal="right" vertical="center"/>
    </xf>
    <xf numFmtId="3" fontId="33" fillId="0" borderId="69" xfId="6" applyNumberFormat="1" applyFont="1" applyFill="1" applyBorder="1" applyAlignment="1">
      <alignment vertical="center"/>
    </xf>
    <xf numFmtId="0" fontId="27" fillId="55" borderId="90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vertical="center"/>
    </xf>
    <xf numFmtId="0" fontId="63" fillId="57" borderId="21" xfId="0" applyFont="1" applyFill="1" applyBorder="1"/>
    <xf numFmtId="0" fontId="31" fillId="6" borderId="28" xfId="0" applyFont="1" applyFill="1" applyBorder="1" applyAlignment="1">
      <alignment vertical="center"/>
    </xf>
    <xf numFmtId="3" fontId="25" fillId="22" borderId="89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98" xfId="0" applyNumberFormat="1" applyFont="1" applyFill="1" applyBorder="1" applyAlignment="1">
      <alignment horizontal="center" vertical="center"/>
    </xf>
    <xf numFmtId="0" fontId="7" fillId="0" borderId="32" xfId="4" applyFont="1" applyFill="1" applyBorder="1" applyAlignment="1">
      <alignment vertical="center"/>
    </xf>
    <xf numFmtId="3" fontId="27" fillId="55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0" fontId="7" fillId="8" borderId="71" xfId="4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4" xfId="4" applyFont="1" applyFill="1" applyBorder="1" applyAlignment="1">
      <alignment horizontal="lef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31" fillId="0" borderId="74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1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27" fillId="26" borderId="75" xfId="4" applyNumberFormat="1" applyFont="1" applyFill="1" applyBorder="1" applyAlignment="1">
      <alignment horizontal="center" vertical="center"/>
    </xf>
    <xf numFmtId="0" fontId="39" fillId="0" borderId="40" xfId="0" applyFont="1" applyBorder="1" applyAlignment="1">
      <alignment horizontal="center" vertical="center" wrapText="1"/>
    </xf>
    <xf numFmtId="0" fontId="27" fillId="2" borderId="32" xfId="4" applyFont="1" applyFill="1" applyBorder="1" applyAlignment="1">
      <alignment vertical="center"/>
    </xf>
    <xf numFmtId="0" fontId="39" fillId="0" borderId="112" xfId="0" applyFont="1" applyBorder="1"/>
    <xf numFmtId="0" fontId="64" fillId="8" borderId="20" xfId="4" applyFont="1" applyFill="1" applyBorder="1" applyAlignment="1">
      <alignment vertical="center" wrapText="1"/>
    </xf>
    <xf numFmtId="3" fontId="64" fillId="8" borderId="29" xfId="0" applyNumberFormat="1" applyFont="1" applyFill="1" applyBorder="1" applyAlignment="1">
      <alignment vertical="center" wrapText="1"/>
    </xf>
    <xf numFmtId="43" fontId="64" fillId="8" borderId="29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7" fillId="25" borderId="0" xfId="4" applyNumberFormat="1" applyFont="1" applyFill="1" applyBorder="1" applyAlignment="1">
      <alignment horizontal="right" vertical="center"/>
    </xf>
    <xf numFmtId="3" fontId="32" fillId="0" borderId="99" xfId="6" applyNumberFormat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3" fontId="31" fillId="2" borderId="72" xfId="4" applyNumberFormat="1" applyFont="1" applyFill="1" applyBorder="1" applyAlignment="1">
      <alignment vertical="center"/>
    </xf>
    <xf numFmtId="3" fontId="7" fillId="0" borderId="116" xfId="4" applyNumberFormat="1" applyFont="1" applyFill="1" applyBorder="1" applyAlignment="1">
      <alignment horizontal="right" vertical="center"/>
    </xf>
    <xf numFmtId="0" fontId="27" fillId="55" borderId="17" xfId="4" applyFont="1" applyFill="1" applyBorder="1" applyAlignment="1">
      <alignment horizontal="left" vertical="center"/>
    </xf>
    <xf numFmtId="0" fontId="24" fillId="6" borderId="119" xfId="4" applyFont="1" applyFill="1" applyBorder="1" applyAlignment="1">
      <alignment horizontal="left" vertical="center"/>
    </xf>
    <xf numFmtId="3" fontId="31" fillId="0" borderId="121" xfId="0" applyNumberFormat="1" applyFont="1" applyFill="1" applyBorder="1" applyAlignment="1">
      <alignment vertical="top"/>
    </xf>
    <xf numFmtId="0" fontId="24" fillId="6" borderId="126" xfId="4" applyFont="1" applyFill="1" applyBorder="1" applyAlignment="1">
      <alignment horizontal="left" vertical="center"/>
    </xf>
    <xf numFmtId="3" fontId="31" fillId="0" borderId="121" xfId="0" applyNumberFormat="1" applyFont="1" applyFill="1" applyBorder="1" applyAlignment="1">
      <alignment vertical="center"/>
    </xf>
    <xf numFmtId="3" fontId="27" fillId="0" borderId="121" xfId="0" applyNumberFormat="1" applyFont="1" applyFill="1" applyBorder="1" applyAlignment="1">
      <alignment vertical="top"/>
    </xf>
    <xf numFmtId="3" fontId="7" fillId="0" borderId="123" xfId="4" applyNumberFormat="1" applyFont="1" applyFill="1" applyBorder="1" applyAlignment="1">
      <alignment horizontal="right" vertical="center"/>
    </xf>
    <xf numFmtId="0" fontId="39" fillId="0" borderId="123" xfId="0" applyFont="1" applyBorder="1"/>
    <xf numFmtId="0" fontId="25" fillId="6" borderId="121" xfId="4" applyFont="1" applyFill="1" applyBorder="1" applyAlignment="1">
      <alignment horizontal="left" vertical="center"/>
    </xf>
    <xf numFmtId="3" fontId="25" fillId="22" borderId="121" xfId="4" applyNumberFormat="1" applyFont="1" applyFill="1" applyBorder="1" applyAlignment="1">
      <alignment horizontal="right" vertical="center"/>
    </xf>
    <xf numFmtId="3" fontId="31" fillId="23" borderId="121" xfId="0" applyNumberFormat="1" applyFont="1" applyFill="1" applyBorder="1" applyAlignment="1">
      <alignment vertical="center"/>
    </xf>
    <xf numFmtId="3" fontId="24" fillId="6" borderId="121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vertical="top"/>
    </xf>
    <xf numFmtId="0" fontId="59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0" fontId="25" fillId="6" borderId="114" xfId="4" applyFont="1" applyFill="1" applyBorder="1" applyAlignment="1">
      <alignment horizontal="left" vertical="center"/>
    </xf>
    <xf numFmtId="0" fontId="21" fillId="0" borderId="65" xfId="0" applyFont="1" applyBorder="1" applyAlignment="1">
      <alignment vertical="top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7" xfId="0" applyFont="1" applyBorder="1" applyAlignment="1">
      <alignment horizontal="center" wrapText="1"/>
    </xf>
    <xf numFmtId="0" fontId="59" fillId="2" borderId="0" xfId="0" applyFont="1" applyFill="1" applyBorder="1" applyAlignment="1">
      <alignment vertical="top"/>
    </xf>
    <xf numFmtId="0" fontId="59" fillId="2" borderId="0" xfId="0" applyFont="1" applyFill="1" applyBorder="1" applyAlignment="1"/>
    <xf numFmtId="0" fontId="40" fillId="2" borderId="0" xfId="0" applyFont="1" applyFill="1" applyBorder="1" applyAlignment="1"/>
    <xf numFmtId="3" fontId="59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21" xfId="0" applyNumberFormat="1" applyFont="1" applyFill="1" applyBorder="1" applyAlignment="1">
      <alignment vertical="top"/>
    </xf>
    <xf numFmtId="3" fontId="25" fillId="6" borderId="121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21" xfId="0" applyNumberFormat="1" applyFont="1" applyFill="1" applyBorder="1" applyAlignment="1">
      <alignment vertical="top"/>
    </xf>
    <xf numFmtId="3" fontId="27" fillId="2" borderId="121" xfId="4" applyNumberFormat="1" applyFont="1" applyFill="1" applyBorder="1" applyAlignment="1">
      <alignment vertical="top" wrapText="1"/>
    </xf>
    <xf numFmtId="3" fontId="25" fillId="25" borderId="121" xfId="0" applyNumberFormat="1" applyFont="1" applyFill="1" applyBorder="1" applyAlignment="1">
      <alignment vertical="top"/>
    </xf>
    <xf numFmtId="3" fontId="31" fillId="0" borderId="116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20" fillId="0" borderId="0" xfId="0" applyFont="1" applyFill="1" applyBorder="1" applyAlignment="1">
      <alignment vertical="top"/>
    </xf>
    <xf numFmtId="0" fontId="25" fillId="8" borderId="68" xfId="0" applyFont="1" applyFill="1" applyBorder="1" applyAlignment="1">
      <alignment vertical="center" wrapText="1"/>
    </xf>
    <xf numFmtId="0" fontId="31" fillId="6" borderId="121" xfId="0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31" fillId="0" borderId="116" xfId="0" applyNumberFormat="1" applyFont="1" applyFill="1" applyBorder="1" applyAlignment="1">
      <alignment vertical="center"/>
    </xf>
    <xf numFmtId="3" fontId="31" fillId="25" borderId="121" xfId="0" applyNumberFormat="1" applyFont="1" applyFill="1" applyBorder="1" applyAlignment="1">
      <alignment horizontal="center" vertical="top"/>
    </xf>
    <xf numFmtId="3" fontId="25" fillId="0" borderId="121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3" fontId="31" fillId="23" borderId="2" xfId="0" applyNumberFormat="1" applyFont="1" applyFill="1" applyBorder="1" applyAlignment="1">
      <alignment vertical="top"/>
    </xf>
    <xf numFmtId="0" fontId="31" fillId="0" borderId="121" xfId="0" applyFont="1" applyFill="1" applyBorder="1" applyAlignment="1">
      <alignment horizontal="left" vertical="center" wrapText="1"/>
    </xf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4" xfId="0" applyFont="1" applyBorder="1" applyAlignment="1">
      <alignment vertical="top"/>
    </xf>
    <xf numFmtId="0" fontId="21" fillId="0" borderId="64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5" xfId="0" applyFont="1" applyBorder="1" applyAlignment="1">
      <alignment horizontal="center" vertical="top" wrapText="1"/>
    </xf>
    <xf numFmtId="0" fontId="20" fillId="0" borderId="66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7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3" fontId="27" fillId="25" borderId="123" xfId="4" applyNumberFormat="1" applyFont="1" applyFill="1" applyBorder="1" applyAlignment="1">
      <alignment horizontal="right" vertical="center"/>
    </xf>
    <xf numFmtId="3" fontId="31" fillId="25" borderId="123" xfId="4" applyNumberFormat="1" applyFont="1" applyFill="1" applyBorder="1" applyAlignment="1">
      <alignment horizontal="right" vertical="center"/>
    </xf>
    <xf numFmtId="3" fontId="7" fillId="0" borderId="120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3" fontId="27" fillId="21" borderId="122" xfId="4" applyNumberFormat="1" applyFont="1" applyFill="1" applyBorder="1" applyAlignment="1">
      <alignment horizontal="right" vertical="center"/>
    </xf>
    <xf numFmtId="3" fontId="32" fillId="8" borderId="123" xfId="114" applyNumberFormat="1" applyFont="1" applyFill="1" applyBorder="1" applyAlignment="1">
      <alignment vertical="center"/>
    </xf>
    <xf numFmtId="0" fontId="31" fillId="8" borderId="119" xfId="4" applyFont="1" applyFill="1" applyBorder="1" applyAlignment="1">
      <alignment vertical="center"/>
    </xf>
    <xf numFmtId="3" fontId="24" fillId="6" borderId="123" xfId="4" applyNumberFormat="1" applyFont="1" applyFill="1" applyBorder="1" applyAlignment="1">
      <alignment horizontal="right" vertical="center"/>
    </xf>
    <xf numFmtId="0" fontId="27" fillId="8" borderId="126" xfId="4" applyFont="1" applyFill="1" applyBorder="1" applyAlignment="1">
      <alignment vertical="center"/>
    </xf>
    <xf numFmtId="0" fontId="27" fillId="8" borderId="114" xfId="4" applyFont="1" applyFill="1" applyBorder="1" applyAlignment="1">
      <alignment vertical="center"/>
    </xf>
    <xf numFmtId="3" fontId="33" fillId="8" borderId="123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14" xfId="4" applyFont="1" applyFill="1" applyBorder="1" applyAlignment="1">
      <alignment vertical="center"/>
    </xf>
    <xf numFmtId="3" fontId="31" fillId="8" borderId="121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22" xfId="4" applyNumberFormat="1" applyFont="1" applyFill="1" applyBorder="1" applyAlignment="1">
      <alignment horizontal="right" vertical="center"/>
    </xf>
    <xf numFmtId="3" fontId="33" fillId="0" borderId="121" xfId="114" applyNumberFormat="1" applyFont="1" applyFill="1" applyBorder="1" applyAlignment="1">
      <alignment vertical="center"/>
    </xf>
    <xf numFmtId="3" fontId="27" fillId="0" borderId="120" xfId="4" applyNumberFormat="1" applyFont="1" applyFill="1" applyBorder="1" applyAlignment="1">
      <alignment horizontal="right" vertical="center"/>
    </xf>
    <xf numFmtId="3" fontId="27" fillId="2" borderId="121" xfId="4" applyNumberFormat="1" applyFont="1" applyFill="1" applyBorder="1" applyAlignment="1">
      <alignment horizontal="right" vertical="center"/>
    </xf>
    <xf numFmtId="3" fontId="33" fillId="0" borderId="123" xfId="114" applyNumberFormat="1" applyFont="1" applyFill="1" applyBorder="1" applyAlignment="1">
      <alignment vertical="center"/>
    </xf>
    <xf numFmtId="3" fontId="27" fillId="8" borderId="121" xfId="0" applyNumberFormat="1" applyFont="1" applyFill="1" applyBorder="1" applyAlignment="1">
      <alignment vertical="center"/>
    </xf>
    <xf numFmtId="3" fontId="27" fillId="23" borderId="121" xfId="0" applyNumberFormat="1" applyFont="1" applyFill="1" applyBorder="1" applyAlignment="1">
      <alignment vertical="center"/>
    </xf>
    <xf numFmtId="3" fontId="31" fillId="28" borderId="121" xfId="0" applyNumberFormat="1" applyFont="1" applyFill="1" applyBorder="1" applyAlignment="1">
      <alignment vertical="center"/>
    </xf>
    <xf numFmtId="3" fontId="27" fillId="2" borderId="119" xfId="4" applyNumberFormat="1" applyFont="1" applyFill="1" applyBorder="1" applyAlignment="1">
      <alignment vertical="center" wrapText="1"/>
    </xf>
    <xf numFmtId="0" fontId="31" fillId="0" borderId="74" xfId="0" applyFont="1" applyFill="1" applyBorder="1" applyAlignment="1">
      <alignment vertical="center"/>
    </xf>
    <xf numFmtId="43" fontId="31" fillId="0" borderId="116" xfId="1" applyFont="1" applyFill="1" applyBorder="1" applyAlignment="1">
      <alignment vertical="center"/>
    </xf>
    <xf numFmtId="3" fontId="27" fillId="2" borderId="34" xfId="4" applyNumberFormat="1" applyFont="1" applyFill="1" applyBorder="1" applyAlignment="1">
      <alignment vertical="center" wrapText="1"/>
    </xf>
    <xf numFmtId="0" fontId="20" fillId="6" borderId="20" xfId="4" applyFont="1" applyFill="1" applyBorder="1" applyAlignment="1">
      <alignment horizontal="center" vertical="center" wrapText="1"/>
    </xf>
    <xf numFmtId="43" fontId="24" fillId="8" borderId="68" xfId="1" applyFont="1" applyFill="1" applyBorder="1" applyAlignment="1">
      <alignment horizontal="right" vertical="center"/>
    </xf>
    <xf numFmtId="3" fontId="25" fillId="22" borderId="155" xfId="4" applyNumberFormat="1" applyFont="1" applyFill="1" applyBorder="1" applyAlignment="1">
      <alignment horizontal="right" vertical="center"/>
    </xf>
    <xf numFmtId="3" fontId="27" fillId="25" borderId="155" xfId="4" applyNumberFormat="1" applyFont="1" applyFill="1" applyBorder="1" applyAlignment="1">
      <alignment horizontal="right" vertical="center"/>
    </xf>
    <xf numFmtId="3" fontId="33" fillId="0" borderId="155" xfId="6" applyNumberFormat="1" applyFont="1" applyFill="1" applyBorder="1" applyAlignment="1">
      <alignment vertical="center"/>
    </xf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6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31" fillId="0" borderId="73" xfId="0" applyNumberFormat="1" applyFont="1" applyFill="1" applyBorder="1" applyAlignment="1">
      <alignment horizontal="right" vertical="center"/>
    </xf>
    <xf numFmtId="3" fontId="24" fillId="22" borderId="68" xfId="4" applyNumberFormat="1" applyFont="1" applyFill="1" applyBorder="1" applyAlignment="1">
      <alignment horizontal="right" vertical="center"/>
    </xf>
    <xf numFmtId="0" fontId="7" fillId="0" borderId="116" xfId="4" applyFont="1" applyFill="1" applyBorder="1" applyAlignment="1">
      <alignment vertical="top"/>
    </xf>
    <xf numFmtId="3" fontId="31" fillId="0" borderId="116" xfId="0" applyNumberFormat="1" applyFont="1" applyFill="1" applyBorder="1" applyAlignment="1">
      <alignment horizontal="right" vertical="center"/>
    </xf>
    <xf numFmtId="0" fontId="28" fillId="55" borderId="22" xfId="0" quotePrefix="1" applyFont="1" applyFill="1" applyBorder="1" applyAlignment="1">
      <alignment horizontal="center" vertical="top"/>
    </xf>
    <xf numFmtId="0" fontId="30" fillId="8" borderId="11" xfId="0" applyFont="1" applyFill="1" applyBorder="1" applyAlignment="1">
      <alignment vertical="center"/>
    </xf>
    <xf numFmtId="0" fontId="25" fillId="6" borderId="119" xfId="4" applyFont="1" applyFill="1" applyBorder="1" applyAlignment="1">
      <alignment horizontal="left" vertical="center"/>
    </xf>
    <xf numFmtId="3" fontId="25" fillId="6" borderId="154" xfId="0" applyNumberFormat="1" applyFont="1" applyFill="1" applyBorder="1" applyAlignment="1">
      <alignment vertical="top"/>
    </xf>
    <xf numFmtId="43" fontId="25" fillId="6" borderId="154" xfId="1" applyFont="1" applyFill="1" applyBorder="1" applyAlignment="1">
      <alignment vertical="top"/>
    </xf>
    <xf numFmtId="0" fontId="24" fillId="6" borderId="160" xfId="4" applyFont="1" applyFill="1" applyBorder="1" applyAlignment="1">
      <alignment horizontal="left" vertical="center"/>
    </xf>
    <xf numFmtId="3" fontId="29" fillId="2" borderId="119" xfId="4" applyNumberFormat="1" applyFont="1" applyFill="1" applyBorder="1" applyAlignment="1">
      <alignment vertical="center" wrapText="1"/>
    </xf>
    <xf numFmtId="3" fontId="31" fillId="0" borderId="154" xfId="0" applyNumberFormat="1" applyFont="1" applyFill="1" applyBorder="1" applyAlignment="1">
      <alignment vertical="top"/>
    </xf>
    <xf numFmtId="0" fontId="29" fillId="2" borderId="119" xfId="4" applyFont="1" applyFill="1" applyBorder="1" applyAlignment="1">
      <alignment vertical="center"/>
    </xf>
    <xf numFmtId="3" fontId="27" fillId="0" borderId="154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43" fontId="31" fillId="0" borderId="154" xfId="1" applyFont="1" applyFill="1" applyBorder="1" applyAlignment="1">
      <alignment vertical="center"/>
    </xf>
    <xf numFmtId="43" fontId="31" fillId="0" borderId="155" xfId="1" applyFont="1" applyFill="1" applyBorder="1" applyAlignment="1">
      <alignment vertical="center"/>
    </xf>
    <xf numFmtId="0" fontId="29" fillId="2" borderId="160" xfId="4" applyFont="1" applyFill="1" applyBorder="1" applyAlignment="1">
      <alignment vertical="center"/>
    </xf>
    <xf numFmtId="0" fontId="7" fillId="0" borderId="127" xfId="4" applyFont="1" applyFill="1" applyBorder="1" applyAlignment="1">
      <alignment vertical="center"/>
    </xf>
    <xf numFmtId="43" fontId="31" fillId="0" borderId="131" xfId="1" applyFont="1" applyFill="1" applyBorder="1" applyAlignment="1">
      <alignment vertical="center"/>
    </xf>
    <xf numFmtId="43" fontId="31" fillId="0" borderId="116" xfId="1" applyFont="1" applyFill="1" applyBorder="1" applyAlignment="1">
      <alignment vertical="top"/>
    </xf>
    <xf numFmtId="43" fontId="27" fillId="2" borderId="155" xfId="1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7" fillId="8" borderId="37" xfId="0" applyFont="1" applyFill="1" applyBorder="1" applyAlignment="1">
      <alignment vertical="center" wrapText="1"/>
    </xf>
    <xf numFmtId="3" fontId="25" fillId="6" borderId="155" xfId="0" applyNumberFormat="1" applyFont="1" applyFill="1" applyBorder="1" applyAlignment="1">
      <alignment vertical="top"/>
    </xf>
    <xf numFmtId="3" fontId="25" fillId="25" borderId="154" xfId="0" applyNumberFormat="1" applyFont="1" applyFill="1" applyBorder="1" applyAlignment="1">
      <alignment vertical="top"/>
    </xf>
    <xf numFmtId="0" fontId="27" fillId="2" borderId="119" xfId="4" applyFont="1" applyFill="1" applyBorder="1" applyAlignment="1">
      <alignment vertical="top"/>
    </xf>
    <xf numFmtId="0" fontId="31" fillId="0" borderId="129" xfId="0" applyFont="1" applyFill="1" applyBorder="1" applyAlignment="1">
      <alignment horizontal="left" vertical="center" wrapText="1"/>
    </xf>
    <xf numFmtId="0" fontId="7" fillId="6" borderId="159" xfId="0" applyFont="1" applyFill="1" applyBorder="1" applyAlignment="1">
      <alignment horizontal="left" vertical="center" wrapText="1"/>
    </xf>
    <xf numFmtId="3" fontId="27" fillId="2" borderId="161" xfId="4" applyNumberFormat="1" applyFont="1" applyFill="1" applyBorder="1" applyAlignment="1">
      <alignment vertical="center" wrapText="1"/>
    </xf>
    <xf numFmtId="3" fontId="27" fillId="2" borderId="154" xfId="0" applyNumberFormat="1" applyFont="1" applyFill="1" applyBorder="1" applyAlignment="1">
      <alignment vertical="top"/>
    </xf>
    <xf numFmtId="0" fontId="27" fillId="2" borderId="128" xfId="4" applyFont="1" applyFill="1" applyBorder="1" applyAlignment="1">
      <alignment vertical="top"/>
    </xf>
    <xf numFmtId="0" fontId="31" fillId="6" borderId="159" xfId="0" applyFont="1" applyFill="1" applyBorder="1" applyAlignment="1">
      <alignment vertical="top"/>
    </xf>
    <xf numFmtId="43" fontId="25" fillId="6" borderId="155" xfId="1" applyFont="1" applyFill="1" applyBorder="1" applyAlignment="1">
      <alignment vertical="top"/>
    </xf>
    <xf numFmtId="3" fontId="31" fillId="0" borderId="131" xfId="0" applyNumberFormat="1" applyFont="1" applyFill="1" applyBorder="1" applyAlignment="1">
      <alignment vertical="top"/>
    </xf>
    <xf numFmtId="3" fontId="25" fillId="6" borderId="154" xfId="4" applyNumberFormat="1" applyFont="1" applyFill="1" applyBorder="1" applyAlignment="1">
      <alignment horizontal="right" vertical="center"/>
    </xf>
    <xf numFmtId="3" fontId="31" fillId="25" borderId="121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43" fontId="32" fillId="0" borderId="116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0" fontId="27" fillId="55" borderId="21" xfId="4" applyFont="1" applyFill="1" applyBorder="1" applyAlignment="1">
      <alignment horizontal="left" vertical="center"/>
    </xf>
    <xf numFmtId="0" fontId="29" fillId="8" borderId="119" xfId="4" applyFont="1" applyFill="1" applyBorder="1" applyAlignment="1">
      <alignment vertical="top"/>
    </xf>
    <xf numFmtId="0" fontId="7" fillId="8" borderId="119" xfId="4" applyFont="1" applyFill="1" applyBorder="1" applyAlignment="1">
      <alignment vertical="top"/>
    </xf>
    <xf numFmtId="0" fontId="7" fillId="8" borderId="119" xfId="4" applyFont="1" applyFill="1" applyBorder="1" applyAlignment="1">
      <alignment vertical="top" wrapText="1"/>
    </xf>
    <xf numFmtId="0" fontId="7" fillId="8" borderId="11" xfId="4" applyFont="1" applyFill="1" applyBorder="1" applyAlignment="1">
      <alignment vertical="top"/>
    </xf>
    <xf numFmtId="3" fontId="24" fillId="6" borderId="155" xfId="4" applyNumberFormat="1" applyFont="1" applyFill="1" applyBorder="1" applyAlignment="1">
      <alignment vertical="center"/>
    </xf>
    <xf numFmtId="3" fontId="24" fillId="6" borderId="154" xfId="4" applyNumberFormat="1" applyFont="1" applyFill="1" applyBorder="1" applyAlignment="1">
      <alignment vertical="center"/>
    </xf>
    <xf numFmtId="0" fontId="29" fillId="0" borderId="119" xfId="4" applyFont="1" applyFill="1" applyBorder="1" applyAlignment="1">
      <alignment vertical="top"/>
    </xf>
    <xf numFmtId="3" fontId="29" fillId="0" borderId="155" xfId="4" applyNumberFormat="1" applyFont="1" applyFill="1" applyBorder="1" applyAlignment="1">
      <alignment horizontal="right" vertical="center"/>
    </xf>
    <xf numFmtId="0" fontId="7" fillId="0" borderId="119" xfId="4" applyFont="1" applyFill="1" applyBorder="1" applyAlignment="1">
      <alignment vertical="top"/>
    </xf>
    <xf numFmtId="3" fontId="7" fillId="0" borderId="155" xfId="4" applyNumberFormat="1" applyFont="1" applyFill="1" applyBorder="1" applyAlignment="1">
      <alignment horizontal="right" vertical="center"/>
    </xf>
    <xf numFmtId="3" fontId="7" fillId="0" borderId="154" xfId="4" applyNumberFormat="1" applyFont="1" applyFill="1" applyBorder="1" applyAlignment="1">
      <alignment horizontal="right" vertical="center"/>
    </xf>
    <xf numFmtId="3" fontId="31" fillId="0" borderId="154" xfId="4" applyNumberFormat="1" applyFont="1" applyFill="1" applyBorder="1" applyAlignment="1">
      <alignment horizontal="right" vertical="center"/>
    </xf>
    <xf numFmtId="0" fontId="24" fillId="8" borderId="21" xfId="4" applyFont="1" applyFill="1" applyBorder="1" applyAlignment="1">
      <alignment horizontal="left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54" xfId="1" applyFont="1" applyFill="1" applyBorder="1" applyAlignment="1">
      <alignment vertical="center"/>
    </xf>
    <xf numFmtId="43" fontId="7" fillId="0" borderId="154" xfId="1" applyFont="1" applyFill="1" applyBorder="1" applyAlignment="1">
      <alignment horizontal="right" vertical="center"/>
    </xf>
    <xf numFmtId="3" fontId="7" fillId="8" borderId="154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55" xfId="4" applyNumberFormat="1" applyFont="1" applyFill="1" applyBorder="1" applyAlignment="1">
      <alignment vertical="center"/>
    </xf>
    <xf numFmtId="3" fontId="27" fillId="25" borderId="154" xfId="4" applyNumberFormat="1" applyFont="1" applyFill="1" applyBorder="1" applyAlignment="1">
      <alignment horizontal="right" vertical="center"/>
    </xf>
    <xf numFmtId="0" fontId="7" fillId="0" borderId="119" xfId="4" applyFont="1" applyFill="1" applyBorder="1" applyAlignment="1">
      <alignment vertical="center"/>
    </xf>
    <xf numFmtId="3" fontId="27" fillId="0" borderId="154" xfId="4" applyNumberFormat="1" applyFont="1" applyFill="1" applyBorder="1" applyAlignment="1">
      <alignment horizontal="right" vertical="center"/>
    </xf>
    <xf numFmtId="0" fontId="31" fillId="0" borderId="0" xfId="0" applyFont="1" applyBorder="1" applyAlignment="1"/>
    <xf numFmtId="3" fontId="27" fillId="0" borderId="155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7" fillId="8" borderId="7" xfId="4" applyNumberFormat="1" applyFont="1" applyFill="1" applyBorder="1" applyAlignment="1">
      <alignment horizontal="right" vertical="center"/>
    </xf>
    <xf numFmtId="3" fontId="29" fillId="25" borderId="155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21" fillId="0" borderId="0" xfId="0" applyFont="1" applyBorder="1" applyAlignment="1">
      <alignment vertical="center"/>
    </xf>
    <xf numFmtId="0" fontId="25" fillId="6" borderId="159" xfId="4" applyFont="1" applyFill="1" applyBorder="1" applyAlignment="1">
      <alignment horizontal="left" vertical="center"/>
    </xf>
    <xf numFmtId="43" fontId="24" fillId="6" borderId="155" xfId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5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0" fontId="18" fillId="8" borderId="43" xfId="4" applyFont="1" applyFill="1" applyBorder="1" applyAlignment="1">
      <alignment horizontal="center" vertical="center"/>
    </xf>
    <xf numFmtId="0" fontId="17" fillId="8" borderId="25" xfId="4" applyFont="1" applyFill="1" applyBorder="1" applyAlignment="1">
      <alignment horizontal="center" vertical="center"/>
    </xf>
    <xf numFmtId="0" fontId="7" fillId="8" borderId="3" xfId="0" applyFont="1" applyFill="1" applyBorder="1" applyAlignment="1">
      <alignment vertical="center"/>
    </xf>
    <xf numFmtId="0" fontId="7" fillId="8" borderId="76" xfId="0" applyFont="1" applyFill="1" applyBorder="1" applyAlignment="1">
      <alignment vertical="center"/>
    </xf>
    <xf numFmtId="3" fontId="7" fillId="8" borderId="76" xfId="0" applyNumberFormat="1" applyFont="1" applyFill="1" applyBorder="1" applyAlignment="1">
      <alignment vertical="center"/>
    </xf>
    <xf numFmtId="3" fontId="7" fillId="23" borderId="68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0" fontId="34" fillId="0" borderId="51" xfId="0" applyFont="1" applyFill="1" applyBorder="1" applyAlignment="1">
      <alignment vertical="center"/>
    </xf>
    <xf numFmtId="0" fontId="34" fillId="0" borderId="77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5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5" borderId="25" xfId="112" applyFont="1" applyFill="1" applyBorder="1" applyAlignment="1">
      <alignment horizontal="left" vertical="center"/>
    </xf>
    <xf numFmtId="0" fontId="28" fillId="55" borderId="22" xfId="112" quotePrefix="1" applyFont="1" applyFill="1" applyBorder="1" applyAlignment="1">
      <alignment horizontal="center" vertical="center"/>
    </xf>
    <xf numFmtId="3" fontId="27" fillId="55" borderId="23" xfId="112" quotePrefix="1" applyNumberFormat="1" applyFont="1" applyFill="1" applyBorder="1" applyAlignment="1">
      <alignment horizontal="right" vertical="center"/>
    </xf>
    <xf numFmtId="3" fontId="29" fillId="8" borderId="126" xfId="4" applyNumberFormat="1" applyFont="1" applyFill="1" applyBorder="1" applyAlignment="1">
      <alignment vertical="center" wrapText="1"/>
    </xf>
    <xf numFmtId="3" fontId="29" fillId="8" borderId="114" xfId="4" applyNumberFormat="1" applyFont="1" applyFill="1" applyBorder="1" applyAlignment="1">
      <alignment vertical="center" wrapText="1"/>
    </xf>
    <xf numFmtId="3" fontId="27" fillId="8" borderId="121" xfId="112" applyNumberFormat="1" applyFont="1" applyFill="1" applyBorder="1" applyAlignment="1">
      <alignment vertical="center"/>
    </xf>
    <xf numFmtId="3" fontId="27" fillId="23" borderId="121" xfId="112" applyNumberFormat="1" applyFont="1" applyFill="1" applyBorder="1" applyAlignment="1">
      <alignment vertical="center"/>
    </xf>
    <xf numFmtId="3" fontId="7" fillId="8" borderId="126" xfId="4" applyNumberFormat="1" applyFont="1" applyFill="1" applyBorder="1" applyAlignment="1">
      <alignment vertical="center" wrapText="1"/>
    </xf>
    <xf numFmtId="3" fontId="7" fillId="8" borderId="114" xfId="4" applyNumberFormat="1" applyFont="1" applyFill="1" applyBorder="1" applyAlignment="1">
      <alignment vertical="center" wrapText="1"/>
    </xf>
    <xf numFmtId="3" fontId="7" fillId="8" borderId="121" xfId="112" applyNumberFormat="1" applyFont="1" applyFill="1" applyBorder="1" applyAlignment="1">
      <alignment vertical="center"/>
    </xf>
    <xf numFmtId="0" fontId="29" fillId="8" borderId="126" xfId="4" applyFont="1" applyFill="1" applyBorder="1" applyAlignment="1">
      <alignment vertical="center"/>
    </xf>
    <xf numFmtId="0" fontId="29" fillId="8" borderId="114" xfId="4" applyFont="1" applyFill="1" applyBorder="1" applyAlignment="1">
      <alignment vertical="center"/>
    </xf>
    <xf numFmtId="0" fontId="7" fillId="8" borderId="114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76" xfId="112" applyFont="1" applyFill="1" applyBorder="1" applyAlignment="1">
      <alignment vertical="center"/>
    </xf>
    <xf numFmtId="3" fontId="7" fillId="23" borderId="68" xfId="112" applyNumberFormat="1" applyFont="1" applyFill="1" applyBorder="1" applyAlignment="1">
      <alignment vertical="center"/>
    </xf>
    <xf numFmtId="3" fontId="29" fillId="2" borderId="126" xfId="4" applyNumberFormat="1" applyFont="1" applyFill="1" applyBorder="1" applyAlignment="1">
      <alignment vertical="center" wrapText="1"/>
    </xf>
    <xf numFmtId="0" fontId="7" fillId="0" borderId="126" xfId="4" applyFont="1" applyFill="1" applyBorder="1" applyAlignment="1">
      <alignment vertical="center"/>
    </xf>
    <xf numFmtId="0" fontId="29" fillId="2" borderId="126" xfId="4" applyFont="1" applyFill="1" applyBorder="1" applyAlignment="1">
      <alignment vertical="center"/>
    </xf>
    <xf numFmtId="0" fontId="31" fillId="0" borderId="127" xfId="4" applyFont="1" applyFill="1" applyBorder="1" applyAlignment="1">
      <alignment vertical="center"/>
    </xf>
    <xf numFmtId="3" fontId="24" fillId="6" borderId="123" xfId="4" applyNumberFormat="1" applyFont="1" applyFill="1" applyBorder="1" applyAlignment="1">
      <alignment vertical="center"/>
    </xf>
    <xf numFmtId="3" fontId="27" fillId="2" borderId="123" xfId="4" applyNumberFormat="1" applyFont="1" applyFill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31" fillId="0" borderId="133" xfId="4" applyFont="1" applyFill="1" applyBorder="1" applyAlignment="1">
      <alignment vertical="center"/>
    </xf>
    <xf numFmtId="0" fontId="27" fillId="55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3" fontId="18" fillId="8" borderId="65" xfId="4" applyNumberFormat="1" applyFont="1" applyFill="1" applyBorder="1" applyAlignment="1">
      <alignment vertical="center" wrapText="1"/>
    </xf>
    <xf numFmtId="0" fontId="27" fillId="55" borderId="65" xfId="0" applyFont="1" applyFill="1" applyBorder="1" applyAlignment="1">
      <alignment horizontal="left" vertical="center"/>
    </xf>
    <xf numFmtId="0" fontId="28" fillId="55" borderId="6" xfId="0" quotePrefix="1" applyFont="1" applyFill="1" applyBorder="1" applyAlignment="1">
      <alignment horizontal="center" vertical="center"/>
    </xf>
    <xf numFmtId="3" fontId="27" fillId="55" borderId="27" xfId="0" quotePrefix="1" applyNumberFormat="1" applyFont="1" applyFill="1" applyBorder="1" applyAlignment="1">
      <alignment horizontal="right" vertical="center"/>
    </xf>
    <xf numFmtId="3" fontId="24" fillId="6" borderId="68" xfId="4" applyNumberFormat="1" applyFont="1" applyFill="1" applyBorder="1" applyAlignment="1">
      <alignment vertical="center"/>
    </xf>
    <xf numFmtId="3" fontId="24" fillId="22" borderId="68" xfId="4" applyNumberFormat="1" applyFont="1" applyFill="1" applyBorder="1" applyAlignment="1">
      <alignment vertical="center"/>
    </xf>
    <xf numFmtId="3" fontId="39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0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78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2" xfId="4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3" fontId="31" fillId="0" borderId="70" xfId="4" applyNumberFormat="1" applyFont="1" applyFill="1" applyBorder="1" applyAlignment="1">
      <alignment vertical="center"/>
    </xf>
    <xf numFmtId="0" fontId="31" fillId="0" borderId="78" xfId="4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75" xfId="4" applyNumberFormat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0" fontId="39" fillId="0" borderId="0" xfId="0" applyFont="1" applyFill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7" fillId="0" borderId="75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3" fontId="27" fillId="2" borderId="155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68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0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7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0" fillId="2" borderId="0" xfId="0" applyFont="1" applyFill="1" applyAlignment="1">
      <alignment vertical="center"/>
    </xf>
    <xf numFmtId="3" fontId="31" fillId="2" borderId="63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27" fillId="2" borderId="69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2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5" borderId="20" xfId="0" quotePrefix="1" applyFont="1" applyFill="1" applyBorder="1" applyAlignment="1">
      <alignment horizontal="center" vertical="center"/>
    </xf>
    <xf numFmtId="3" fontId="27" fillId="55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3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62" fillId="6" borderId="30" xfId="0" applyNumberFormat="1" applyFont="1" applyFill="1" applyBorder="1" applyAlignment="1">
      <alignment vertical="center" wrapText="1"/>
    </xf>
    <xf numFmtId="3" fontId="68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8" fillId="8" borderId="30" xfId="0" applyNumberFormat="1" applyFont="1" applyFill="1" applyBorder="1" applyAlignment="1">
      <alignment vertical="center" wrapText="1"/>
    </xf>
    <xf numFmtId="3" fontId="31" fillId="0" borderId="154" xfId="4" applyNumberFormat="1" applyFont="1" applyFill="1" applyBorder="1" applyAlignment="1">
      <alignment vertical="center"/>
    </xf>
    <xf numFmtId="3" fontId="29" fillId="55" borderId="27" xfId="4" applyNumberFormat="1" applyFont="1" applyFill="1" applyBorder="1" applyAlignment="1">
      <alignment horizontal="right" vertical="center"/>
    </xf>
    <xf numFmtId="3" fontId="31" fillId="0" borderId="116" xfId="4" applyNumberFormat="1" applyFont="1" applyFill="1" applyBorder="1" applyAlignment="1">
      <alignment vertical="center"/>
    </xf>
    <xf numFmtId="3" fontId="31" fillId="0" borderId="131" xfId="4" applyNumberFormat="1" applyFont="1" applyFill="1" applyBorder="1" applyAlignment="1">
      <alignment vertical="center"/>
    </xf>
    <xf numFmtId="0" fontId="40" fillId="2" borderId="24" xfId="0" applyFont="1" applyFill="1" applyBorder="1" applyAlignment="1"/>
    <xf numFmtId="0" fontId="59" fillId="2" borderId="24" xfId="0" applyFont="1" applyFill="1" applyBorder="1" applyAlignment="1"/>
    <xf numFmtId="0" fontId="17" fillId="32" borderId="12" xfId="4" applyFont="1" applyFill="1" applyBorder="1" applyAlignment="1">
      <alignment horizontal="center" vertical="center" wrapText="1"/>
    </xf>
    <xf numFmtId="3" fontId="29" fillId="55" borderId="17" xfId="4" applyNumberFormat="1" applyFont="1" applyFill="1" applyBorder="1" applyAlignment="1">
      <alignment horizontal="right" vertical="center"/>
    </xf>
    <xf numFmtId="3" fontId="29" fillId="55" borderId="23" xfId="112" quotePrefix="1" applyNumberFormat="1" applyFont="1" applyFill="1" applyBorder="1" applyAlignment="1">
      <alignment horizontal="right" vertical="center"/>
    </xf>
    <xf numFmtId="3" fontId="31" fillId="0" borderId="156" xfId="4" applyNumberFormat="1" applyFont="1" applyFill="1" applyBorder="1" applyAlignment="1">
      <alignment vertical="center"/>
    </xf>
    <xf numFmtId="3" fontId="25" fillId="6" borderId="123" xfId="0" applyNumberFormat="1" applyFont="1" applyFill="1" applyBorder="1" applyAlignment="1">
      <alignment vertical="top"/>
    </xf>
    <xf numFmtId="3" fontId="25" fillId="22" borderId="123" xfId="0" applyNumberFormat="1" applyFont="1" applyFill="1" applyBorder="1" applyAlignment="1">
      <alignment vertical="top"/>
    </xf>
    <xf numFmtId="3" fontId="27" fillId="2" borderId="123" xfId="0" applyNumberFormat="1" applyFont="1" applyFill="1" applyBorder="1" applyAlignment="1">
      <alignment vertical="top"/>
    </xf>
    <xf numFmtId="3" fontId="27" fillId="0" borderId="123" xfId="0" applyNumberFormat="1" applyFont="1" applyFill="1" applyBorder="1" applyAlignment="1">
      <alignment vertical="top"/>
    </xf>
    <xf numFmtId="3" fontId="24" fillId="22" borderId="154" xfId="4" applyNumberFormat="1" applyFont="1" applyFill="1" applyBorder="1" applyAlignment="1">
      <alignment horizontal="right" vertical="center"/>
    </xf>
    <xf numFmtId="0" fontId="24" fillId="6" borderId="154" xfId="4" applyFont="1" applyFill="1" applyBorder="1" applyAlignment="1">
      <alignment horizontal="left" vertical="center"/>
    </xf>
    <xf numFmtId="0" fontId="25" fillId="6" borderId="154" xfId="4" applyFont="1" applyFill="1" applyBorder="1" applyAlignment="1">
      <alignment horizontal="left" vertical="center"/>
    </xf>
    <xf numFmtId="3" fontId="25" fillId="22" borderId="154" xfId="4" applyNumberFormat="1" applyFont="1" applyFill="1" applyBorder="1" applyAlignment="1">
      <alignment horizontal="right" vertical="center"/>
    </xf>
    <xf numFmtId="3" fontId="29" fillId="2" borderId="154" xfId="4" applyNumberFormat="1" applyFont="1" applyFill="1" applyBorder="1" applyAlignment="1">
      <alignment vertical="top" wrapText="1"/>
    </xf>
    <xf numFmtId="0" fontId="7" fillId="0" borderId="154" xfId="4" applyFont="1" applyFill="1" applyBorder="1" applyAlignment="1">
      <alignment vertical="top"/>
    </xf>
    <xf numFmtId="3" fontId="7" fillId="25" borderId="154" xfId="4" applyNumberFormat="1" applyFont="1" applyFill="1" applyBorder="1" applyAlignment="1">
      <alignment horizontal="right" vertical="center"/>
    </xf>
    <xf numFmtId="3" fontId="32" fillId="0" borderId="154" xfId="6" applyNumberFormat="1" applyFont="1" applyFill="1" applyBorder="1" applyAlignment="1">
      <alignment vertical="center"/>
    </xf>
    <xf numFmtId="3" fontId="33" fillId="0" borderId="154" xfId="6" applyNumberFormat="1" applyFont="1" applyFill="1" applyBorder="1" applyAlignment="1">
      <alignment vertical="center"/>
    </xf>
    <xf numFmtId="3" fontId="24" fillId="6" borderId="154" xfId="4" applyNumberFormat="1" applyFont="1" applyFill="1" applyBorder="1" applyAlignment="1"/>
    <xf numFmtId="3" fontId="31" fillId="0" borderId="155" xfId="4" applyNumberFormat="1" applyFont="1" applyFill="1" applyBorder="1" applyAlignment="1">
      <alignment vertical="center"/>
    </xf>
    <xf numFmtId="3" fontId="24" fillId="6" borderId="155" xfId="4" applyNumberFormat="1" applyFont="1" applyFill="1" applyBorder="1" applyAlignment="1">
      <alignment horizontal="right" vertical="center"/>
    </xf>
    <xf numFmtId="3" fontId="27" fillId="13" borderId="160" xfId="4" applyNumberFormat="1" applyFont="1" applyFill="1" applyBorder="1" applyAlignment="1">
      <alignment vertical="center" wrapText="1"/>
    </xf>
    <xf numFmtId="3" fontId="32" fillId="13" borderId="155" xfId="6" applyNumberFormat="1" applyFont="1" applyFill="1" applyBorder="1" applyAlignment="1">
      <alignment vertical="center"/>
    </xf>
    <xf numFmtId="0" fontId="7" fillId="13" borderId="160" xfId="4" applyFont="1" applyFill="1" applyBorder="1" applyAlignment="1">
      <alignment vertical="center"/>
    </xf>
    <xf numFmtId="0" fontId="27" fillId="13" borderId="160" xfId="4" applyFont="1" applyFill="1" applyBorder="1" applyAlignment="1">
      <alignment vertical="center"/>
    </xf>
    <xf numFmtId="3" fontId="33" fillId="13" borderId="155" xfId="6" applyNumberFormat="1" applyFont="1" applyFill="1" applyBorder="1" applyAlignment="1">
      <alignment vertical="center"/>
    </xf>
    <xf numFmtId="3" fontId="25" fillId="6" borderId="155" xfId="4" applyNumberFormat="1" applyFont="1" applyFill="1" applyBorder="1" applyAlignment="1">
      <alignment horizontal="right" vertical="center"/>
    </xf>
    <xf numFmtId="3" fontId="31" fillId="25" borderId="155" xfId="4" applyNumberFormat="1" applyFont="1" applyFill="1" applyBorder="1" applyAlignment="1">
      <alignment horizontal="right" vertical="center"/>
    </xf>
    <xf numFmtId="43" fontId="7" fillId="0" borderId="155" xfId="1" applyFont="1" applyFill="1" applyBorder="1" applyAlignment="1">
      <alignment horizontal="right" vertical="center"/>
    </xf>
    <xf numFmtId="0" fontId="27" fillId="2" borderId="119" xfId="4" applyFont="1" applyFill="1" applyBorder="1" applyAlignment="1">
      <alignment vertical="center"/>
    </xf>
    <xf numFmtId="43" fontId="33" fillId="0" borderId="155" xfId="1" applyFont="1" applyFill="1" applyBorder="1" applyAlignment="1">
      <alignment vertical="center"/>
    </xf>
    <xf numFmtId="3" fontId="27" fillId="2" borderId="160" xfId="4" applyNumberFormat="1" applyFont="1" applyFill="1" applyBorder="1" applyAlignment="1">
      <alignment vertical="center" wrapText="1"/>
    </xf>
    <xf numFmtId="0" fontId="7" fillId="0" borderId="133" xfId="4" applyFont="1" applyFill="1" applyBorder="1" applyAlignment="1">
      <alignment vertical="center"/>
    </xf>
    <xf numFmtId="0" fontId="31" fillId="0" borderId="119" xfId="4" applyFont="1" applyFill="1" applyBorder="1" applyAlignment="1">
      <alignment vertical="center"/>
    </xf>
    <xf numFmtId="3" fontId="7" fillId="0" borderId="164" xfId="4" applyNumberFormat="1" applyFont="1" applyFill="1" applyBorder="1" applyAlignment="1">
      <alignment horizontal="right" vertical="center"/>
    </xf>
    <xf numFmtId="43" fontId="33" fillId="0" borderId="154" xfId="1" applyFont="1" applyFill="1" applyBorder="1" applyAlignment="1">
      <alignment vertical="center"/>
    </xf>
    <xf numFmtId="43" fontId="7" fillId="0" borderId="116" xfId="1" applyFont="1" applyFill="1" applyBorder="1" applyAlignment="1">
      <alignment horizontal="right" vertical="center"/>
    </xf>
    <xf numFmtId="3" fontId="7" fillId="0" borderId="156" xfId="4" applyNumberFormat="1" applyFont="1" applyFill="1" applyBorder="1" applyAlignment="1">
      <alignment horizontal="right" vertical="center"/>
    </xf>
    <xf numFmtId="43" fontId="31" fillId="0" borderId="131" xfId="1" applyFont="1" applyFill="1" applyBorder="1" applyAlignment="1">
      <alignment horizontal="right" vertical="center"/>
    </xf>
    <xf numFmtId="3" fontId="27" fillId="2" borderId="163" xfId="4" applyNumberFormat="1" applyFont="1" applyFill="1" applyBorder="1" applyAlignment="1">
      <alignment vertical="center" wrapText="1"/>
    </xf>
    <xf numFmtId="0" fontId="7" fillId="0" borderId="154" xfId="4" applyFont="1" applyFill="1" applyBorder="1" applyAlignment="1">
      <alignment vertical="center"/>
    </xf>
    <xf numFmtId="0" fontId="32" fillId="62" borderId="154" xfId="0" applyFont="1" applyFill="1" applyBorder="1" applyAlignment="1">
      <alignment horizontal="center" vertical="center" wrapText="1"/>
    </xf>
    <xf numFmtId="3" fontId="37" fillId="0" borderId="0" xfId="0" applyNumberFormat="1" applyFont="1" applyAlignment="1">
      <alignment vertical="center"/>
    </xf>
    <xf numFmtId="0" fontId="7" fillId="8" borderId="74" xfId="4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3" fontId="7" fillId="0" borderId="9" xfId="4" applyNumberFormat="1" applyFont="1" applyFill="1" applyBorder="1" applyAlignment="1">
      <alignment horizontal="right" vertical="center"/>
    </xf>
    <xf numFmtId="0" fontId="25" fillId="6" borderId="160" xfId="4" applyFont="1" applyFill="1" applyBorder="1" applyAlignment="1">
      <alignment horizontal="left" vertical="center"/>
    </xf>
    <xf numFmtId="3" fontId="29" fillId="13" borderId="155" xfId="4" applyNumberFormat="1" applyFont="1" applyFill="1" applyBorder="1" applyAlignment="1">
      <alignment horizontal="right" vertical="center"/>
    </xf>
    <xf numFmtId="3" fontId="7" fillId="13" borderId="155" xfId="4" applyNumberFormat="1" applyFont="1" applyFill="1" applyBorder="1" applyAlignment="1">
      <alignment horizontal="right" vertical="center"/>
    </xf>
    <xf numFmtId="0" fontId="29" fillId="13" borderId="160" xfId="4" applyFont="1" applyFill="1" applyBorder="1" applyAlignment="1">
      <alignment vertical="center"/>
    </xf>
    <xf numFmtId="0" fontId="29" fillId="13" borderId="159" xfId="4" applyFont="1" applyFill="1" applyBorder="1" applyAlignment="1">
      <alignment vertical="center"/>
    </xf>
    <xf numFmtId="3" fontId="27" fillId="13" borderId="155" xfId="4" applyNumberFormat="1" applyFont="1" applyFill="1" applyBorder="1" applyAlignment="1">
      <alignment horizontal="right" vertical="center"/>
    </xf>
    <xf numFmtId="0" fontId="31" fillId="6" borderId="155" xfId="0" applyFont="1" applyFill="1" applyBorder="1" applyAlignment="1">
      <alignment vertical="top"/>
    </xf>
    <xf numFmtId="3" fontId="27" fillId="2" borderId="155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3" fontId="27" fillId="21" borderId="164" xfId="4" applyNumberFormat="1" applyFont="1" applyFill="1" applyBorder="1" applyAlignment="1">
      <alignment horizontal="right" vertical="center"/>
    </xf>
    <xf numFmtId="3" fontId="29" fillId="8" borderId="155" xfId="4" applyNumberFormat="1" applyFont="1" applyFill="1" applyBorder="1" applyAlignment="1">
      <alignment vertical="center"/>
    </xf>
    <xf numFmtId="3" fontId="7" fillId="8" borderId="155" xfId="4" applyNumberFormat="1" applyFont="1" applyFill="1" applyBorder="1" applyAlignment="1">
      <alignment vertical="center"/>
    </xf>
    <xf numFmtId="3" fontId="31" fillId="23" borderId="154" xfId="4" applyNumberFormat="1" applyFont="1" applyFill="1" applyBorder="1" applyAlignment="1">
      <alignment horizontal="right" vertical="center"/>
    </xf>
    <xf numFmtId="3" fontId="7" fillId="8" borderId="160" xfId="4" applyNumberFormat="1" applyFont="1" applyFill="1" applyBorder="1" applyAlignment="1">
      <alignment vertical="center" wrapText="1"/>
    </xf>
    <xf numFmtId="0" fontId="7" fillId="8" borderId="160" xfId="4" applyFont="1" applyFill="1" applyBorder="1" applyAlignment="1">
      <alignment vertical="center" wrapText="1"/>
    </xf>
    <xf numFmtId="0" fontId="7" fillId="8" borderId="119" xfId="4" applyFont="1" applyFill="1" applyBorder="1" applyAlignment="1">
      <alignment vertical="center" wrapText="1"/>
    </xf>
    <xf numFmtId="3" fontId="27" fillId="8" borderId="155" xfId="4" applyNumberFormat="1" applyFont="1" applyFill="1" applyBorder="1" applyAlignment="1">
      <alignment vertical="center"/>
    </xf>
    <xf numFmtId="3" fontId="31" fillId="8" borderId="155" xfId="4" applyNumberFormat="1" applyFont="1" applyFill="1" applyBorder="1" applyAlignment="1">
      <alignment vertical="center"/>
    </xf>
    <xf numFmtId="0" fontId="7" fillId="8" borderId="160" xfId="4" applyFont="1" applyFill="1" applyBorder="1" applyAlignment="1">
      <alignment vertical="center"/>
    </xf>
    <xf numFmtId="3" fontId="29" fillId="13" borderId="160" xfId="4" applyNumberFormat="1" applyFont="1" applyFill="1" applyBorder="1" applyAlignment="1">
      <alignment vertical="center" wrapText="1"/>
    </xf>
    <xf numFmtId="3" fontId="29" fillId="24" borderId="155" xfId="4" applyNumberFormat="1" applyFont="1" applyFill="1" applyBorder="1" applyAlignment="1">
      <alignment horizontal="right" vertical="center"/>
    </xf>
    <xf numFmtId="3" fontId="7" fillId="13" borderId="160" xfId="4" applyNumberFormat="1" applyFont="1" applyFill="1" applyBorder="1" applyAlignment="1">
      <alignment vertical="center" wrapText="1"/>
    </xf>
    <xf numFmtId="3" fontId="7" fillId="13" borderId="127" xfId="4" applyNumberFormat="1" applyFont="1" applyFill="1" applyBorder="1" applyAlignment="1">
      <alignment vertical="center" wrapText="1"/>
    </xf>
    <xf numFmtId="3" fontId="7" fillId="13" borderId="125" xfId="4" applyNumberFormat="1" applyFont="1" applyFill="1" applyBorder="1" applyAlignment="1">
      <alignment vertical="center" wrapText="1"/>
    </xf>
    <xf numFmtId="3" fontId="32" fillId="13" borderId="156" xfId="6" applyNumberFormat="1" applyFont="1" applyFill="1" applyBorder="1" applyAlignment="1">
      <alignment vertical="center"/>
    </xf>
    <xf numFmtId="0" fontId="21" fillId="2" borderId="159" xfId="0" applyFont="1" applyFill="1" applyBorder="1" applyAlignment="1">
      <alignment horizontal="center" vertical="top"/>
    </xf>
    <xf numFmtId="0" fontId="21" fillId="2" borderId="154" xfId="0" applyFont="1" applyFill="1" applyBorder="1" applyAlignment="1">
      <alignment horizontal="center" vertical="top"/>
    </xf>
    <xf numFmtId="0" fontId="21" fillId="2" borderId="154" xfId="0" quotePrefix="1" applyFont="1" applyFill="1" applyBorder="1" applyAlignment="1">
      <alignment horizontal="center" vertical="top"/>
    </xf>
    <xf numFmtId="0" fontId="21" fillId="26" borderId="154" xfId="0" quotePrefix="1" applyFont="1" applyFill="1" applyBorder="1" applyAlignment="1">
      <alignment horizontal="center" vertical="top"/>
    </xf>
    <xf numFmtId="0" fontId="21" fillId="2" borderId="157" xfId="0" quotePrefix="1" applyFont="1" applyFill="1" applyBorder="1" applyAlignment="1">
      <alignment horizontal="center" vertical="top"/>
    </xf>
    <xf numFmtId="3" fontId="24" fillId="6" borderId="154" xfId="4" applyNumberFormat="1" applyFont="1" applyFill="1" applyBorder="1" applyAlignment="1">
      <alignment horizontal="right" vertical="center"/>
    </xf>
    <xf numFmtId="3" fontId="28" fillId="23" borderId="154" xfId="4" applyNumberFormat="1" applyFont="1" applyFill="1" applyBorder="1" applyAlignment="1">
      <alignment horizontal="right" vertical="center"/>
    </xf>
    <xf numFmtId="3" fontId="27" fillId="23" borderId="154" xfId="4" applyNumberFormat="1" applyFont="1" applyFill="1" applyBorder="1" applyAlignment="1">
      <alignment horizontal="right" vertical="center"/>
    </xf>
    <xf numFmtId="3" fontId="33" fillId="23" borderId="154" xfId="6" applyNumberFormat="1" applyFont="1" applyFill="1" applyBorder="1" applyAlignment="1">
      <alignment vertical="center"/>
    </xf>
    <xf numFmtId="0" fontId="34" fillId="0" borderId="51" xfId="0" applyFont="1" applyFill="1" applyBorder="1" applyAlignment="1">
      <alignment vertical="top"/>
    </xf>
    <xf numFmtId="0" fontId="75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1" fillId="0" borderId="0" xfId="0" applyFont="1" applyFill="1" applyAlignme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77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6" fillId="0" borderId="13" xfId="4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61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69" fillId="4" borderId="16" xfId="4" applyFont="1" applyFill="1" applyBorder="1" applyAlignment="1">
      <alignment horizontal="left" vertical="center"/>
    </xf>
    <xf numFmtId="3" fontId="69" fillId="4" borderId="17" xfId="0" applyNumberFormat="1" applyFont="1" applyFill="1" applyBorder="1" applyAlignment="1">
      <alignment horizontal="right" vertical="center" wrapText="1"/>
    </xf>
    <xf numFmtId="3" fontId="69" fillId="5" borderId="19" xfId="0" applyNumberFormat="1" applyFont="1" applyFill="1" applyBorder="1" applyAlignment="1">
      <alignment horizontal="right" vertical="center" wrapText="1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69" fillId="6" borderId="28" xfId="4" applyFont="1" applyFill="1" applyBorder="1" applyAlignment="1">
      <alignment horizontal="left" vertical="center"/>
    </xf>
    <xf numFmtId="3" fontId="69" fillId="6" borderId="30" xfId="0" applyNumberFormat="1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64" fillId="8" borderId="20" xfId="4" applyFont="1" applyFill="1" applyBorder="1" applyAlignment="1">
      <alignment vertical="center"/>
    </xf>
    <xf numFmtId="3" fontId="64" fillId="8" borderId="9" xfId="0" applyNumberFormat="1" applyFont="1" applyFill="1" applyBorder="1" applyAlignment="1">
      <alignment horizontal="right" vertical="center" wrapText="1"/>
    </xf>
    <xf numFmtId="3" fontId="64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0" fontId="78" fillId="0" borderId="0" xfId="0" applyFont="1" applyFill="1" applyBorder="1" applyAlignment="1"/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7" fillId="0" borderId="13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74" fillId="57" borderId="38" xfId="0" applyFont="1" applyFill="1" applyBorder="1" applyAlignment="1">
      <alignment vertical="center"/>
    </xf>
    <xf numFmtId="3" fontId="62" fillId="57" borderId="39" xfId="0" applyNumberFormat="1" applyFont="1" applyFill="1" applyBorder="1" applyAlignment="1">
      <alignment vertical="center" wrapText="1"/>
    </xf>
    <xf numFmtId="3" fontId="62" fillId="57" borderId="40" xfId="0" applyNumberFormat="1" applyFont="1" applyFill="1" applyBorder="1" applyAlignment="1">
      <alignment vertical="center" wrapText="1"/>
    </xf>
    <xf numFmtId="3" fontId="78" fillId="0" borderId="0" xfId="0" applyNumberFormat="1" applyFont="1" applyFill="1" applyAlignment="1">
      <alignment vertical="center"/>
    </xf>
    <xf numFmtId="3" fontId="78" fillId="0" borderId="0" xfId="0" applyNumberFormat="1" applyFont="1" applyFill="1" applyBorder="1" applyAlignment="1">
      <alignment vertical="center"/>
    </xf>
    <xf numFmtId="3" fontId="62" fillId="57" borderId="12" xfId="0" applyNumberFormat="1" applyFont="1" applyFill="1" applyBorder="1" applyAlignment="1">
      <alignment vertical="center" wrapText="1"/>
    </xf>
    <xf numFmtId="3" fontId="62" fillId="57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0" fillId="2" borderId="0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left"/>
    </xf>
    <xf numFmtId="3" fontId="36" fillId="4" borderId="47" xfId="0" quotePrefix="1" applyNumberFormat="1" applyFont="1" applyFill="1" applyBorder="1" applyAlignment="1">
      <alignment horizontal="right"/>
    </xf>
    <xf numFmtId="3" fontId="68" fillId="8" borderId="35" xfId="0" applyNumberFormat="1" applyFont="1" applyFill="1" applyBorder="1" applyAlignment="1">
      <alignment horizontal="right" vertical="center" wrapText="1"/>
    </xf>
    <xf numFmtId="43" fontId="8" fillId="2" borderId="9" xfId="1" applyFont="1" applyFill="1" applyBorder="1" applyAlignment="1">
      <alignment vertical="center" wrapText="1"/>
    </xf>
    <xf numFmtId="43" fontId="68" fillId="8" borderId="29" xfId="1" applyFont="1" applyFill="1" applyBorder="1" applyAlignment="1">
      <alignment vertical="center" wrapText="1"/>
    </xf>
    <xf numFmtId="43" fontId="68" fillId="8" borderId="30" xfId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0" fontId="74" fillId="4" borderId="38" xfId="0" applyFont="1" applyFill="1" applyBorder="1" applyAlignment="1">
      <alignment vertical="center"/>
    </xf>
    <xf numFmtId="3" fontId="62" fillId="4" borderId="39" xfId="0" applyNumberFormat="1" applyFont="1" applyFill="1" applyBorder="1" applyAlignment="1">
      <alignment vertical="center" wrapText="1"/>
    </xf>
    <xf numFmtId="3" fontId="62" fillId="4" borderId="51" xfId="0" applyNumberFormat="1" applyFont="1" applyFill="1" applyBorder="1" applyAlignment="1">
      <alignment vertical="center" wrapText="1"/>
    </xf>
    <xf numFmtId="3" fontId="62" fillId="4" borderId="52" xfId="0" applyNumberFormat="1" applyFont="1" applyFill="1" applyBorder="1" applyAlignment="1">
      <alignment vertical="center" wrapText="1"/>
    </xf>
    <xf numFmtId="3" fontId="62" fillId="4" borderId="12" xfId="0" applyNumberFormat="1" applyFont="1" applyFill="1" applyBorder="1" applyAlignment="1">
      <alignment vertical="center" wrapText="1"/>
    </xf>
    <xf numFmtId="3" fontId="62" fillId="4" borderId="23" xfId="0" applyNumberFormat="1" applyFont="1" applyFill="1" applyBorder="1" applyAlignment="1">
      <alignment vertical="center" wrapText="1"/>
    </xf>
    <xf numFmtId="3" fontId="62" fillId="4" borderId="25" xfId="0" applyNumberFormat="1" applyFont="1" applyFill="1" applyBorder="1" applyAlignment="1">
      <alignment horizontal="center" vertical="center" wrapText="1"/>
    </xf>
    <xf numFmtId="3" fontId="62" fillId="2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Alignment="1">
      <alignment vertical="center"/>
    </xf>
    <xf numFmtId="0" fontId="78" fillId="2" borderId="0" xfId="0" applyFont="1" applyFill="1" applyBorder="1" applyAlignment="1">
      <alignment vertical="center"/>
    </xf>
    <xf numFmtId="0" fontId="69" fillId="13" borderId="53" xfId="4" applyFont="1" applyFill="1" applyBorder="1" applyAlignment="1">
      <alignment horizontal="left" vertical="center"/>
    </xf>
    <xf numFmtId="3" fontId="62" fillId="13" borderId="54" xfId="0" applyNumberFormat="1" applyFont="1" applyFill="1" applyBorder="1" applyAlignment="1">
      <alignment vertical="center" wrapText="1"/>
    </xf>
    <xf numFmtId="3" fontId="62" fillId="13" borderId="55" xfId="0" applyNumberFormat="1" applyFont="1" applyFill="1" applyBorder="1" applyAlignment="1">
      <alignment vertical="center" wrapText="1"/>
    </xf>
    <xf numFmtId="3" fontId="62" fillId="13" borderId="56" xfId="0" applyNumberFormat="1" applyFont="1" applyFill="1" applyBorder="1" applyAlignment="1">
      <alignment vertical="center" wrapText="1"/>
    </xf>
    <xf numFmtId="3" fontId="79" fillId="13" borderId="35" xfId="0" applyNumberFormat="1" applyFont="1" applyFill="1" applyBorder="1" applyAlignment="1">
      <alignment vertical="center" wrapText="1"/>
    </xf>
    <xf numFmtId="3" fontId="79" fillId="13" borderId="7" xfId="0" applyNumberFormat="1" applyFont="1" applyFill="1" applyBorder="1" applyAlignment="1">
      <alignment vertical="center" wrapText="1"/>
    </xf>
    <xf numFmtId="3" fontId="79" fillId="13" borderId="21" xfId="0" applyNumberFormat="1" applyFont="1" applyFill="1" applyBorder="1" applyAlignment="1">
      <alignment vertical="center" wrapText="1"/>
    </xf>
    <xf numFmtId="3" fontId="62" fillId="13" borderId="57" xfId="0" applyNumberFormat="1" applyFont="1" applyFill="1" applyBorder="1" applyAlignment="1">
      <alignment vertical="center" wrapText="1"/>
    </xf>
    <xf numFmtId="3" fontId="62" fillId="13" borderId="58" xfId="0" applyNumberFormat="1" applyFont="1" applyFill="1" applyBorder="1" applyAlignment="1">
      <alignment horizontal="center" vertical="center" wrapText="1"/>
    </xf>
    <xf numFmtId="3" fontId="62" fillId="13" borderId="59" xfId="0" applyNumberFormat="1" applyFont="1" applyFill="1" applyBorder="1" applyAlignment="1">
      <alignment horizontal="center" vertical="center" wrapText="1"/>
    </xf>
    <xf numFmtId="3" fontId="78" fillId="2" borderId="0" xfId="0" applyNumberFormat="1" applyFont="1" applyFill="1" applyBorder="1" applyAlignment="1">
      <alignment vertical="center"/>
    </xf>
    <xf numFmtId="3" fontId="79" fillId="13" borderId="47" xfId="0" applyNumberFormat="1" applyFont="1" applyFill="1" applyBorder="1" applyAlignment="1">
      <alignment vertical="center" wrapText="1"/>
    </xf>
    <xf numFmtId="3" fontId="62" fillId="13" borderId="74" xfId="0" applyNumberFormat="1" applyFont="1" applyFill="1" applyBorder="1" applyAlignment="1">
      <alignment horizontal="center" vertical="center" wrapText="1"/>
    </xf>
    <xf numFmtId="3" fontId="62" fillId="13" borderId="0" xfId="0" applyNumberFormat="1" applyFont="1" applyFill="1" applyBorder="1" applyAlignment="1">
      <alignment vertical="center" wrapText="1"/>
    </xf>
    <xf numFmtId="3" fontId="62" fillId="0" borderId="0" xfId="0" applyNumberFormat="1" applyFont="1" applyFill="1" applyBorder="1" applyAlignment="1">
      <alignment vertical="center" wrapText="1"/>
    </xf>
    <xf numFmtId="3" fontId="62" fillId="0" borderId="54" xfId="0" applyNumberFormat="1" applyFont="1" applyFill="1" applyBorder="1" applyAlignment="1">
      <alignment vertical="center" wrapText="1"/>
    </xf>
    <xf numFmtId="3" fontId="62" fillId="0" borderId="55" xfId="0" applyNumberFormat="1" applyFont="1" applyFill="1" applyBorder="1" applyAlignment="1">
      <alignment vertical="center" wrapText="1"/>
    </xf>
    <xf numFmtId="3" fontId="81" fillId="0" borderId="35" xfId="0" applyNumberFormat="1" applyFont="1" applyFill="1" applyBorder="1" applyAlignment="1">
      <alignment vertical="center" wrapText="1"/>
    </xf>
    <xf numFmtId="3" fontId="79" fillId="0" borderId="7" xfId="0" applyNumberFormat="1" applyFont="1" applyFill="1" applyBorder="1" applyAlignment="1">
      <alignment vertical="center" wrapText="1"/>
    </xf>
    <xf numFmtId="0" fontId="68" fillId="0" borderId="61" xfId="0" applyFont="1" applyBorder="1" applyAlignment="1">
      <alignment horizontal="center" vertical="center"/>
    </xf>
    <xf numFmtId="0" fontId="68" fillId="0" borderId="61" xfId="0" applyFont="1" applyBorder="1" applyAlignment="1">
      <alignment horizontal="center"/>
    </xf>
    <xf numFmtId="3" fontId="62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4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5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78" fillId="0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0" fontId="7" fillId="6" borderId="37" xfId="0" applyFont="1" applyFill="1" applyBorder="1" applyAlignment="1">
      <alignment vertical="center" wrapText="1"/>
    </xf>
    <xf numFmtId="3" fontId="36" fillId="12" borderId="0" xfId="0" applyNumberFormat="1" applyFont="1" applyFill="1" applyBorder="1" applyAlignment="1">
      <alignment horizontal="right" vertical="center"/>
    </xf>
    <xf numFmtId="3" fontId="82" fillId="12" borderId="0" xfId="0" applyNumberFormat="1" applyFont="1" applyFill="1" applyBorder="1" applyAlignment="1">
      <alignment vertical="center"/>
    </xf>
    <xf numFmtId="3" fontId="82" fillId="12" borderId="13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82" fillId="8" borderId="0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35" xfId="0" applyNumberFormat="1" applyFont="1" applyFill="1" applyBorder="1"/>
    <xf numFmtId="3" fontId="8" fillId="6" borderId="47" xfId="0" applyNumberFormat="1" applyFont="1" applyFill="1" applyBorder="1"/>
    <xf numFmtId="3" fontId="8" fillId="6" borderId="70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82" fillId="12" borderId="0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82" fillId="12" borderId="8" xfId="0" applyNumberFormat="1" applyFont="1" applyFill="1" applyBorder="1"/>
    <xf numFmtId="0" fontId="68" fillId="0" borderId="0" xfId="0" applyFont="1" applyBorder="1" applyAlignment="1">
      <alignment horizontal="center" vertical="center"/>
    </xf>
    <xf numFmtId="0" fontId="68" fillId="0" borderId="116" xfId="0" applyFont="1" applyBorder="1" applyAlignment="1">
      <alignment horizontal="center"/>
    </xf>
    <xf numFmtId="0" fontId="8" fillId="16" borderId="15" xfId="0" applyFont="1" applyFill="1" applyBorder="1"/>
    <xf numFmtId="0" fontId="8" fillId="16" borderId="3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69" xfId="0" applyNumberFormat="1" applyFont="1" applyFill="1" applyBorder="1"/>
    <xf numFmtId="3" fontId="8" fillId="8" borderId="47" xfId="0" applyNumberFormat="1" applyFont="1" applyFill="1" applyBorder="1"/>
    <xf numFmtId="3" fontId="8" fillId="8" borderId="73" xfId="0" applyNumberFormat="1" applyFont="1" applyFill="1" applyBorder="1"/>
    <xf numFmtId="3" fontId="8" fillId="8" borderId="132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83" fillId="17" borderId="0" xfId="0" applyNumberFormat="1" applyFont="1" applyFill="1" applyBorder="1"/>
    <xf numFmtId="3" fontId="83" fillId="17" borderId="13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83" fillId="8" borderId="0" xfId="0" applyNumberFormat="1" applyFont="1" applyFill="1" applyBorder="1"/>
    <xf numFmtId="3" fontId="83" fillId="8" borderId="13" xfId="0" applyNumberFormat="1" applyFont="1" applyFill="1" applyBorder="1"/>
    <xf numFmtId="3" fontId="19" fillId="8" borderId="0" xfId="0" applyNumberFormat="1" applyFont="1" applyFill="1" applyBorder="1"/>
    <xf numFmtId="3" fontId="19" fillId="16" borderId="39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0" xfId="0" applyNumberFormat="1" applyFont="1" applyFill="1" applyBorder="1"/>
    <xf numFmtId="3" fontId="68" fillId="17" borderId="0" xfId="0" applyNumberFormat="1" applyFont="1" applyFill="1" applyBorder="1"/>
    <xf numFmtId="3" fontId="8" fillId="17" borderId="0" xfId="0" applyNumberFormat="1" applyFont="1" applyFill="1" applyBorder="1"/>
    <xf numFmtId="0" fontId="8" fillId="18" borderId="15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3" fontId="6" fillId="11" borderId="68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3" fontId="82" fillId="18" borderId="39" xfId="0" applyNumberFormat="1" applyFont="1" applyFill="1" applyBorder="1" applyAlignment="1">
      <alignment vertical="top"/>
    </xf>
    <xf numFmtId="3" fontId="82" fillId="18" borderId="50" xfId="0" applyNumberFormat="1" applyFont="1" applyFill="1" applyBorder="1" applyAlignment="1">
      <alignment vertical="top"/>
    </xf>
    <xf numFmtId="3" fontId="82" fillId="18" borderId="0" xfId="0" applyNumberFormat="1" applyFont="1" applyFill="1" applyBorder="1" applyAlignment="1">
      <alignment vertical="top"/>
    </xf>
    <xf numFmtId="0" fontId="82" fillId="0" borderId="0" xfId="0" applyFont="1" applyBorder="1" applyAlignment="1">
      <alignment horizontal="right"/>
    </xf>
    <xf numFmtId="3" fontId="82" fillId="2" borderId="0" xfId="0" applyNumberFormat="1" applyFont="1" applyFill="1" applyBorder="1" applyAlignment="1">
      <alignment vertical="top"/>
    </xf>
    <xf numFmtId="3" fontId="82" fillId="2" borderId="13" xfId="0" applyNumberFormat="1" applyFont="1" applyFill="1" applyBorder="1" applyAlignment="1">
      <alignment vertical="top"/>
    </xf>
    <xf numFmtId="3" fontId="36" fillId="18" borderId="39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43" fontId="8" fillId="11" borderId="0" xfId="1" applyFont="1" applyFill="1" applyBorder="1"/>
    <xf numFmtId="3" fontId="8" fillId="11" borderId="30" xfId="0" applyNumberFormat="1" applyFont="1" applyFill="1" applyBorder="1"/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3" fontId="82" fillId="0" borderId="0" xfId="0" applyNumberFormat="1" applyFont="1" applyBorder="1"/>
    <xf numFmtId="3" fontId="82" fillId="0" borderId="13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8" fillId="0" borderId="24" xfId="0" applyFont="1" applyBorder="1"/>
    <xf numFmtId="3" fontId="29" fillId="2" borderId="163" xfId="4" applyNumberFormat="1" applyFont="1" applyFill="1" applyBorder="1" applyAlignment="1">
      <alignment vertical="center" wrapText="1"/>
    </xf>
    <xf numFmtId="0" fontId="7" fillId="0" borderId="163" xfId="4" applyFont="1" applyFill="1" applyBorder="1" applyAlignment="1">
      <alignment vertical="center"/>
    </xf>
    <xf numFmtId="43" fontId="31" fillId="25" borderId="155" xfId="1" applyFont="1" applyFill="1" applyBorder="1" applyAlignment="1">
      <alignment horizontal="right" vertical="center"/>
    </xf>
    <xf numFmtId="0" fontId="29" fillId="2" borderId="163" xfId="4" applyFont="1" applyFill="1" applyBorder="1" applyAlignment="1">
      <alignment vertical="center"/>
    </xf>
    <xf numFmtId="0" fontId="7" fillId="0" borderId="161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3" fontId="7" fillId="0" borderId="12" xfId="0" applyNumberFormat="1" applyFont="1" applyFill="1" applyBorder="1" applyAlignment="1">
      <alignment vertical="top"/>
    </xf>
    <xf numFmtId="43" fontId="27" fillId="55" borderId="9" xfId="1" applyFont="1" applyFill="1" applyBorder="1" applyAlignment="1">
      <alignment horizontal="right" vertical="center"/>
    </xf>
    <xf numFmtId="0" fontId="27" fillId="55" borderId="119" xfId="0" applyFont="1" applyFill="1" applyBorder="1" applyAlignment="1">
      <alignment horizontal="left" vertical="top"/>
    </xf>
    <xf numFmtId="0" fontId="7" fillId="8" borderId="119" xfId="4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horizontal="right" vertical="center"/>
    </xf>
    <xf numFmtId="3" fontId="7" fillId="23" borderId="68" xfId="4" applyNumberFormat="1" applyFont="1" applyFill="1" applyBorder="1" applyAlignment="1">
      <alignment horizontal="right" vertical="center"/>
    </xf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32" xfId="1" applyFont="1" applyFill="1" applyBorder="1" applyAlignment="1">
      <alignment vertical="top"/>
    </xf>
    <xf numFmtId="3" fontId="7" fillId="0" borderId="132" xfId="4" applyNumberFormat="1" applyFont="1" applyFill="1" applyBorder="1" applyAlignment="1">
      <alignment vertical="top"/>
    </xf>
    <xf numFmtId="3" fontId="27" fillId="0" borderId="156" xfId="4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28" fillId="59" borderId="125" xfId="0" applyFont="1" applyFill="1" applyBorder="1" applyAlignment="1">
      <alignment vertical="top"/>
    </xf>
    <xf numFmtId="3" fontId="28" fillId="57" borderId="9" xfId="0" applyNumberFormat="1" applyFont="1" applyFill="1" applyBorder="1" applyAlignment="1">
      <alignment horizontal="right" vertical="center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8" borderId="45" xfId="0" applyFont="1" applyFill="1" applyBorder="1" applyAlignment="1">
      <alignment horizontal="left" vertical="center" wrapText="1"/>
    </xf>
    <xf numFmtId="3" fontId="29" fillId="0" borderId="29" xfId="0" applyNumberFormat="1" applyFont="1" applyFill="1" applyBorder="1" applyAlignment="1">
      <alignment horizontal="right" vertical="center"/>
    </xf>
    <xf numFmtId="3" fontId="7" fillId="0" borderId="70" xfId="0" applyNumberFormat="1" applyFont="1" applyFill="1" applyBorder="1" applyAlignment="1">
      <alignment horizontal="right" vertical="center"/>
    </xf>
    <xf numFmtId="3" fontId="7" fillId="0" borderId="63" xfId="0" applyNumberFormat="1" applyFont="1" applyFill="1" applyBorder="1" applyAlignment="1">
      <alignment horizontal="right" vertical="center"/>
    </xf>
    <xf numFmtId="3" fontId="31" fillId="55" borderId="9" xfId="0" applyNumberFormat="1" applyFont="1" applyFill="1" applyBorder="1" applyAlignment="1">
      <alignment vertical="top"/>
    </xf>
    <xf numFmtId="3" fontId="31" fillId="55" borderId="35" xfId="0" applyNumberFormat="1" applyFont="1" applyFill="1" applyBorder="1" applyAlignment="1">
      <alignment vertical="top"/>
    </xf>
    <xf numFmtId="3" fontId="28" fillId="57" borderId="9" xfId="0" applyNumberFormat="1" applyFont="1" applyFill="1" applyBorder="1" applyAlignment="1">
      <alignment vertical="top"/>
    </xf>
    <xf numFmtId="3" fontId="28" fillId="60" borderId="3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horizontal="right" vertical="center"/>
    </xf>
    <xf numFmtId="3" fontId="28" fillId="59" borderId="9" xfId="0" applyNumberFormat="1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 vertical="center"/>
    </xf>
    <xf numFmtId="3" fontId="28" fillId="0" borderId="116" xfId="0" applyNumberFormat="1" applyFont="1" applyFill="1" applyBorder="1" applyAlignment="1">
      <alignment vertical="center"/>
    </xf>
    <xf numFmtId="0" fontId="26" fillId="0" borderId="41" xfId="0" applyFont="1" applyBorder="1" applyAlignment="1"/>
    <xf numFmtId="0" fontId="27" fillId="55" borderId="8" xfId="4" applyFont="1" applyFill="1" applyBorder="1" applyAlignment="1">
      <alignment horizontal="left" vertical="center"/>
    </xf>
    <xf numFmtId="3" fontId="27" fillId="55" borderId="20" xfId="4" applyNumberFormat="1" applyFont="1" applyFill="1" applyBorder="1" applyAlignment="1">
      <alignment horizontal="right" vertical="center"/>
    </xf>
    <xf numFmtId="0" fontId="27" fillId="55" borderId="0" xfId="4" applyFont="1" applyFill="1" applyBorder="1" applyAlignment="1">
      <alignment horizontal="left" vertical="center"/>
    </xf>
    <xf numFmtId="3" fontId="27" fillId="55" borderId="6" xfId="4" applyNumberFormat="1" applyFont="1" applyFill="1" applyBorder="1" applyAlignment="1">
      <alignment horizontal="right" vertical="center"/>
    </xf>
    <xf numFmtId="0" fontId="27" fillId="55" borderId="66" xfId="0" applyFont="1" applyFill="1" applyBorder="1" applyAlignment="1">
      <alignment horizontal="left" vertical="center"/>
    </xf>
    <xf numFmtId="3" fontId="27" fillId="55" borderId="22" xfId="0" quotePrefix="1" applyNumberFormat="1" applyFont="1" applyFill="1" applyBorder="1" applyAlignment="1">
      <alignment horizontal="right" vertical="center"/>
    </xf>
    <xf numFmtId="0" fontId="29" fillId="8" borderId="11" xfId="0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24" fillId="8" borderId="26" xfId="4" applyFont="1" applyFill="1" applyBorder="1" applyAlignment="1">
      <alignment horizontal="right" vertical="top"/>
    </xf>
    <xf numFmtId="0" fontId="7" fillId="8" borderId="66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43" fontId="7" fillId="0" borderId="156" xfId="1" applyFont="1" applyFill="1" applyBorder="1" applyAlignment="1">
      <alignment horizontal="right" vertical="center"/>
    </xf>
    <xf numFmtId="43" fontId="27" fillId="8" borderId="121" xfId="1" applyFont="1" applyFill="1" applyBorder="1" applyAlignment="1">
      <alignment vertical="center"/>
    </xf>
    <xf numFmtId="43" fontId="31" fillId="28" borderId="121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20" fillId="0" borderId="0" xfId="0" applyNumberFormat="1" applyFont="1" applyFill="1" applyBorder="1" applyAlignment="1">
      <alignment horizontal="center" vertical="top"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3" fontId="37" fillId="0" borderId="170" xfId="0" applyNumberFormat="1" applyFont="1" applyBorder="1" applyAlignment="1">
      <alignment vertical="center"/>
    </xf>
    <xf numFmtId="0" fontId="39" fillId="0" borderId="170" xfId="0" applyFont="1" applyBorder="1" applyAlignment="1">
      <alignment vertical="center"/>
    </xf>
    <xf numFmtId="3" fontId="39" fillId="0" borderId="170" xfId="0" applyNumberFormat="1" applyFont="1" applyBorder="1" applyAlignment="1">
      <alignment vertical="center"/>
    </xf>
    <xf numFmtId="0" fontId="18" fillId="0" borderId="170" xfId="0" applyFont="1" applyBorder="1" applyAlignment="1">
      <alignment vertical="top"/>
    </xf>
    <xf numFmtId="3" fontId="37" fillId="0" borderId="170" xfId="0" applyNumberFormat="1" applyFont="1" applyBorder="1"/>
    <xf numFmtId="3" fontId="8" fillId="0" borderId="170" xfId="0" applyNumberFormat="1" applyFont="1" applyBorder="1" applyAlignment="1">
      <alignment vertical="top"/>
    </xf>
    <xf numFmtId="0" fontId="37" fillId="0" borderId="170" xfId="0" applyFont="1" applyBorder="1" applyAlignment="1">
      <alignment vertical="center"/>
    </xf>
    <xf numFmtId="3" fontId="24" fillId="6" borderId="170" xfId="4" applyNumberFormat="1" applyFont="1" applyFill="1" applyBorder="1" applyAlignment="1">
      <alignment vertical="center"/>
    </xf>
    <xf numFmtId="0" fontId="40" fillId="2" borderId="0" xfId="0" applyFont="1" applyFill="1" applyBorder="1" applyAlignment="1">
      <alignment horizontal="center" vertical="center" wrapText="1"/>
    </xf>
    <xf numFmtId="3" fontId="80" fillId="2" borderId="0" xfId="0" applyNumberFormat="1" applyFont="1" applyFill="1" applyBorder="1" applyAlignment="1">
      <alignment vertical="center"/>
    </xf>
    <xf numFmtId="3" fontId="24" fillId="23" borderId="15" xfId="4" applyNumberFormat="1" applyFont="1" applyFill="1" applyBorder="1" applyAlignment="1">
      <alignment horizontal="righ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0" fontId="24" fillId="8" borderId="76" xfId="4" applyFont="1" applyFill="1" applyBorder="1" applyAlignment="1">
      <alignment vertical="center" wrapText="1"/>
    </xf>
    <xf numFmtId="0" fontId="24" fillId="8" borderId="68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3" fontId="28" fillId="2" borderId="123" xfId="0" applyNumberFormat="1" applyFont="1" applyFill="1" applyBorder="1" applyAlignment="1">
      <alignment vertical="top"/>
    </xf>
    <xf numFmtId="0" fontId="31" fillId="0" borderId="119" xfId="0" applyFont="1" applyFill="1" applyBorder="1" applyAlignment="1">
      <alignment horizontal="left" vertical="center" wrapText="1"/>
    </xf>
    <xf numFmtId="3" fontId="25" fillId="22" borderId="99" xfId="0" applyNumberFormat="1" applyFont="1" applyFill="1" applyBorder="1" applyAlignment="1">
      <alignment vertical="top"/>
    </xf>
    <xf numFmtId="3" fontId="25" fillId="25" borderId="98" xfId="0" applyNumberFormat="1" applyFont="1" applyFill="1" applyBorder="1" applyAlignment="1">
      <alignment vertical="top"/>
    </xf>
    <xf numFmtId="0" fontId="31" fillId="0" borderId="74" xfId="0" applyFont="1" applyFill="1" applyBorder="1" applyAlignment="1">
      <alignment vertical="top"/>
    </xf>
    <xf numFmtId="3" fontId="25" fillId="22" borderId="35" xfId="4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7" fillId="8" borderId="155" xfId="4" applyFont="1" applyFill="1" applyBorder="1" applyAlignment="1">
      <alignment horizontal="left" vertical="center"/>
    </xf>
    <xf numFmtId="0" fontId="7" fillId="8" borderId="155" xfId="4" applyFont="1" applyFill="1" applyBorder="1" applyAlignment="1">
      <alignment vertical="top"/>
    </xf>
    <xf numFmtId="3" fontId="32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55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55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 wrapText="1"/>
    </xf>
    <xf numFmtId="0" fontId="4" fillId="0" borderId="170" xfId="0" applyFont="1" applyBorder="1" applyAlignment="1">
      <alignment vertical="center"/>
    </xf>
    <xf numFmtId="3" fontId="60" fillId="0" borderId="0" xfId="0" applyNumberFormat="1" applyFont="1" applyBorder="1" applyAlignment="1">
      <alignment vertical="center"/>
    </xf>
    <xf numFmtId="0" fontId="60" fillId="0" borderId="0" xfId="0" applyFont="1" applyBorder="1" applyAlignment="1">
      <alignment vertical="center"/>
    </xf>
    <xf numFmtId="3" fontId="31" fillId="23" borderId="165" xfId="4" applyNumberFormat="1" applyFont="1" applyFill="1" applyBorder="1" applyAlignment="1">
      <alignment vertical="center"/>
    </xf>
    <xf numFmtId="43" fontId="62" fillId="6" borderId="30" xfId="1" applyFont="1" applyFill="1" applyBorder="1" applyAlignment="1">
      <alignment vertical="center" wrapText="1"/>
    </xf>
    <xf numFmtId="3" fontId="8" fillId="0" borderId="116" xfId="0" applyNumberFormat="1" applyFont="1" applyFill="1" applyBorder="1" applyAlignment="1">
      <alignment vertical="center" wrapText="1"/>
    </xf>
    <xf numFmtId="0" fontId="63" fillId="58" borderId="119" xfId="0" applyFont="1" applyFill="1" applyBorder="1"/>
    <xf numFmtId="0" fontId="8" fillId="0" borderId="159" xfId="0" applyFont="1" applyFill="1" applyBorder="1" applyAlignment="1">
      <alignment vertical="center" wrapText="1"/>
    </xf>
    <xf numFmtId="0" fontId="31" fillId="55" borderId="119" xfId="4" applyFont="1" applyFill="1" applyBorder="1" applyAlignment="1">
      <alignment horizontal="left" vertical="center"/>
    </xf>
    <xf numFmtId="0" fontId="63" fillId="56" borderId="119" xfId="0" applyFont="1" applyFill="1" applyBorder="1" applyAlignment="1">
      <alignment vertical="center"/>
    </xf>
    <xf numFmtId="3" fontId="31" fillId="0" borderId="170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7" fillId="0" borderId="107" xfId="4" applyFont="1" applyFill="1" applyBorder="1" applyAlignment="1">
      <alignment vertical="center"/>
    </xf>
    <xf numFmtId="43" fontId="7" fillId="0" borderId="97" xfId="1" applyFont="1" applyFill="1" applyBorder="1" applyAlignment="1">
      <alignment horizontal="right" vertical="center"/>
    </xf>
    <xf numFmtId="0" fontId="7" fillId="0" borderId="80" xfId="4" applyFont="1" applyFill="1" applyBorder="1" applyAlignment="1">
      <alignment horizontal="left" vertical="center"/>
    </xf>
    <xf numFmtId="3" fontId="7" fillId="0" borderId="47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horizontal="left" vertical="center"/>
    </xf>
    <xf numFmtId="0" fontId="31" fillId="0" borderId="119" xfId="4" applyFont="1" applyFill="1" applyBorder="1" applyAlignment="1">
      <alignment horizontal="left" vertical="center"/>
    </xf>
    <xf numFmtId="0" fontId="31" fillId="6" borderId="100" xfId="0" applyFont="1" applyFill="1" applyBorder="1" applyAlignment="1">
      <alignment vertical="top"/>
    </xf>
    <xf numFmtId="0" fontId="31" fillId="0" borderId="102" xfId="0" applyFont="1" applyFill="1" applyBorder="1" applyAlignment="1">
      <alignment horizontal="left" vertical="center" wrapText="1"/>
    </xf>
    <xf numFmtId="0" fontId="7" fillId="6" borderId="100" xfId="0" applyFont="1" applyFill="1" applyBorder="1" applyAlignment="1">
      <alignment horizontal="left" vertical="center" wrapText="1"/>
    </xf>
    <xf numFmtId="3" fontId="27" fillId="2" borderId="109" xfId="4" applyNumberFormat="1" applyFont="1" applyFill="1" applyBorder="1" applyAlignment="1">
      <alignment vertical="center" wrapText="1"/>
    </xf>
    <xf numFmtId="0" fontId="27" fillId="2" borderId="104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3" fontId="25" fillId="6" borderId="35" xfId="0" applyNumberFormat="1" applyFont="1" applyFill="1" applyBorder="1" applyAlignment="1">
      <alignment vertical="center"/>
    </xf>
    <xf numFmtId="0" fontId="25" fillId="6" borderId="35" xfId="4" applyFont="1" applyFill="1" applyBorder="1" applyAlignment="1">
      <alignment horizontal="left" vertical="center"/>
    </xf>
    <xf numFmtId="3" fontId="31" fillId="8" borderId="116" xfId="0" applyNumberFormat="1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3" fontId="27" fillId="25" borderId="121" xfId="0" applyNumberFormat="1" applyFont="1" applyFill="1" applyBorder="1" applyAlignment="1">
      <alignment horizontal="center" vertical="top"/>
    </xf>
    <xf numFmtId="3" fontId="25" fillId="6" borderId="35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18" fillId="8" borderId="76" xfId="0" applyFont="1" applyFill="1" applyBorder="1" applyAlignment="1">
      <alignment vertical="center"/>
    </xf>
    <xf numFmtId="3" fontId="18" fillId="23" borderId="68" xfId="0" applyNumberFormat="1" applyFont="1" applyFill="1" applyBorder="1" applyAlignment="1">
      <alignment vertical="center"/>
    </xf>
    <xf numFmtId="43" fontId="27" fillId="0" borderId="155" xfId="1" applyFont="1" applyFill="1" applyBorder="1" applyAlignment="1">
      <alignment vertical="center"/>
    </xf>
    <xf numFmtId="0" fontId="30" fillId="8" borderId="5" xfId="0" applyFont="1" applyFill="1" applyBorder="1" applyAlignment="1">
      <alignment vertical="top"/>
    </xf>
    <xf numFmtId="3" fontId="27" fillId="2" borderId="165" xfId="0" applyNumberFormat="1" applyFont="1" applyFill="1" applyBorder="1" applyAlignment="1">
      <alignment vertical="center"/>
    </xf>
    <xf numFmtId="3" fontId="31" fillId="0" borderId="165" xfId="0" applyNumberFormat="1" applyFont="1" applyFill="1" applyBorder="1" applyAlignment="1">
      <alignment vertical="center"/>
    </xf>
    <xf numFmtId="0" fontId="24" fillId="2" borderId="2" xfId="0" applyFont="1" applyFill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3" fontId="31" fillId="8" borderId="17" xfId="0" applyNumberFormat="1" applyFont="1" applyFill="1" applyBorder="1" applyAlignment="1">
      <alignment vertical="top"/>
    </xf>
    <xf numFmtId="3" fontId="13" fillId="0" borderId="0" xfId="0" applyNumberFormat="1" applyFont="1" applyFill="1" applyAlignment="1">
      <alignment horizontal="left"/>
    </xf>
    <xf numFmtId="0" fontId="69" fillId="6" borderId="159" xfId="4" applyFont="1" applyFill="1" applyBorder="1" applyAlignment="1">
      <alignment horizontal="left"/>
    </xf>
    <xf numFmtId="3" fontId="62" fillId="6" borderId="170" xfId="0" applyNumberFormat="1" applyFont="1" applyFill="1" applyBorder="1" applyAlignment="1">
      <alignment wrapText="1"/>
    </xf>
    <xf numFmtId="3" fontId="68" fillId="8" borderId="155" xfId="0" applyNumberFormat="1" applyFont="1" applyFill="1" applyBorder="1" applyAlignment="1">
      <alignment vertical="center" wrapText="1"/>
    </xf>
    <xf numFmtId="3" fontId="8" fillId="0" borderId="170" xfId="0" applyNumberFormat="1" applyFont="1" applyFill="1" applyBorder="1" applyAlignment="1">
      <alignment vertical="center" wrapText="1"/>
    </xf>
    <xf numFmtId="3" fontId="68" fillId="8" borderId="170" xfId="0" applyNumberFormat="1" applyFont="1" applyFill="1" applyBorder="1" applyAlignment="1">
      <alignment vertical="center" wrapText="1"/>
    </xf>
    <xf numFmtId="3" fontId="8" fillId="0" borderId="155" xfId="0" applyNumberFormat="1" applyFont="1" applyFill="1" applyBorder="1" applyAlignment="1">
      <alignment vertical="center" wrapText="1"/>
    </xf>
    <xf numFmtId="3" fontId="8" fillId="0" borderId="131" xfId="0" applyNumberFormat="1" applyFont="1" applyFill="1" applyBorder="1" applyAlignment="1">
      <alignment vertical="center" wrapText="1"/>
    </xf>
    <xf numFmtId="3" fontId="38" fillId="0" borderId="75" xfId="4" applyNumberFormat="1" applyFont="1" applyFill="1" applyBorder="1" applyAlignment="1">
      <alignment horizontal="right" vertical="center"/>
    </xf>
    <xf numFmtId="3" fontId="31" fillId="2" borderId="69" xfId="4" applyNumberFormat="1" applyFont="1" applyFill="1" applyBorder="1" applyAlignment="1">
      <alignment vertical="center"/>
    </xf>
    <xf numFmtId="3" fontId="34" fillId="2" borderId="51" xfId="0" applyNumberFormat="1" applyFont="1" applyFill="1" applyBorder="1" applyAlignment="1">
      <alignment vertical="top"/>
    </xf>
    <xf numFmtId="0" fontId="24" fillId="2" borderId="76" xfId="112" applyFont="1" applyFill="1" applyBorder="1" applyAlignment="1">
      <alignment horizontal="center" vertical="center" wrapText="1"/>
    </xf>
    <xf numFmtId="43" fontId="7" fillId="8" borderId="76" xfId="1" applyFont="1" applyFill="1" applyBorder="1" applyAlignment="1">
      <alignment vertical="center"/>
    </xf>
    <xf numFmtId="0" fontId="21" fillId="2" borderId="35" xfId="0" quotePrefix="1" applyFont="1" applyFill="1" applyBorder="1" applyAlignment="1">
      <alignment horizontal="center" vertical="top"/>
    </xf>
    <xf numFmtId="3" fontId="31" fillId="0" borderId="171" xfId="4" applyNumberFormat="1" applyFont="1" applyFill="1" applyBorder="1" applyAlignment="1">
      <alignment vertical="center"/>
    </xf>
    <xf numFmtId="3" fontId="6" fillId="6" borderId="174" xfId="0" applyNumberFormat="1" applyFont="1" applyFill="1" applyBorder="1"/>
    <xf numFmtId="3" fontId="6" fillId="6" borderId="116" xfId="0" applyNumberFormat="1" applyFont="1" applyFill="1" applyBorder="1"/>
    <xf numFmtId="0" fontId="24" fillId="6" borderId="174" xfId="4" applyFont="1" applyFill="1" applyBorder="1" applyAlignment="1">
      <alignment horizontal="left" vertical="center"/>
    </xf>
    <xf numFmtId="3" fontId="24" fillId="6" borderId="174" xfId="4" applyNumberFormat="1" applyFont="1" applyFill="1" applyBorder="1" applyAlignment="1">
      <alignment horizontal="right" vertical="center"/>
    </xf>
    <xf numFmtId="3" fontId="25" fillId="6" borderId="174" xfId="4" applyNumberFormat="1" applyFont="1" applyFill="1" applyBorder="1" applyAlignment="1">
      <alignment horizontal="right" vertical="center"/>
    </xf>
    <xf numFmtId="3" fontId="25" fillId="22" borderId="174" xfId="4" applyNumberFormat="1" applyFont="1" applyFill="1" applyBorder="1" applyAlignment="1">
      <alignment horizontal="right" vertical="center"/>
    </xf>
    <xf numFmtId="3" fontId="29" fillId="2" borderId="174" xfId="4" applyNumberFormat="1" applyFont="1" applyFill="1" applyBorder="1" applyAlignment="1">
      <alignment vertical="top" wrapText="1"/>
    </xf>
    <xf numFmtId="3" fontId="27" fillId="0" borderId="174" xfId="4" applyNumberFormat="1" applyFont="1" applyFill="1" applyBorder="1" applyAlignment="1">
      <alignment horizontal="right" vertical="center"/>
    </xf>
    <xf numFmtId="3" fontId="27" fillId="23" borderId="174" xfId="4" applyNumberFormat="1" applyFont="1" applyFill="1" applyBorder="1" applyAlignment="1">
      <alignment horizontal="right" vertical="center"/>
    </xf>
    <xf numFmtId="0" fontId="7" fillId="0" borderId="174" xfId="4" applyFont="1" applyFill="1" applyBorder="1" applyAlignment="1">
      <alignment vertical="top"/>
    </xf>
    <xf numFmtId="3" fontId="31" fillId="0" borderId="173" xfId="4" applyNumberFormat="1" applyFont="1" applyFill="1" applyBorder="1" applyAlignment="1">
      <alignment vertical="center"/>
    </xf>
    <xf numFmtId="3" fontId="31" fillId="0" borderId="174" xfId="4" applyNumberFormat="1" applyFont="1" applyFill="1" applyBorder="1" applyAlignment="1">
      <alignment horizontal="right" vertical="center"/>
    </xf>
    <xf numFmtId="3" fontId="7" fillId="0" borderId="174" xfId="4" applyNumberFormat="1" applyFont="1" applyFill="1" applyBorder="1" applyAlignment="1">
      <alignment horizontal="right" vertical="center"/>
    </xf>
    <xf numFmtId="3" fontId="7" fillId="25" borderId="174" xfId="4" applyNumberFormat="1" applyFont="1" applyFill="1" applyBorder="1" applyAlignment="1">
      <alignment horizontal="right" vertical="center"/>
    </xf>
    <xf numFmtId="3" fontId="32" fillId="0" borderId="174" xfId="6" applyNumberFormat="1" applyFont="1" applyFill="1" applyBorder="1" applyAlignment="1">
      <alignment vertical="center"/>
    </xf>
    <xf numFmtId="3" fontId="33" fillId="0" borderId="174" xfId="6" applyNumberFormat="1" applyFont="1" applyFill="1" applyBorder="1" applyAlignment="1">
      <alignment vertical="center"/>
    </xf>
    <xf numFmtId="3" fontId="33" fillId="23" borderId="174" xfId="6" applyNumberFormat="1" applyFont="1" applyFill="1" applyBorder="1" applyAlignment="1">
      <alignment vertical="center"/>
    </xf>
    <xf numFmtId="0" fontId="25" fillId="6" borderId="174" xfId="4" applyFont="1" applyFill="1" applyBorder="1" applyAlignment="1">
      <alignment horizontal="left" vertical="center"/>
    </xf>
    <xf numFmtId="3" fontId="24" fillId="6" borderId="174" xfId="4" applyNumberFormat="1" applyFont="1" applyFill="1" applyBorder="1" applyAlignment="1"/>
    <xf numFmtId="0" fontId="31" fillId="6" borderId="172" xfId="0" applyFont="1" applyFill="1" applyBorder="1" applyAlignment="1">
      <alignment vertical="top"/>
    </xf>
    <xf numFmtId="3" fontId="27" fillId="2" borderId="179" xfId="0" applyNumberFormat="1" applyFont="1" applyFill="1" applyBorder="1" applyAlignment="1">
      <alignment vertical="top"/>
    </xf>
    <xf numFmtId="3" fontId="25" fillId="25" borderId="180" xfId="0" applyNumberFormat="1" applyFont="1" applyFill="1" applyBorder="1" applyAlignment="1">
      <alignment vertical="top"/>
    </xf>
    <xf numFmtId="3" fontId="28" fillId="2" borderId="179" xfId="0" applyNumberFormat="1" applyFont="1" applyFill="1" applyBorder="1" applyAlignment="1">
      <alignment vertical="top"/>
    </xf>
    <xf numFmtId="3" fontId="31" fillId="0" borderId="179" xfId="0" applyNumberFormat="1" applyFont="1" applyFill="1" applyBorder="1" applyAlignment="1">
      <alignment vertical="top"/>
    </xf>
    <xf numFmtId="3" fontId="31" fillId="25" borderId="180" xfId="0" applyNumberFormat="1" applyFont="1" applyFill="1" applyBorder="1" applyAlignment="1">
      <alignment vertical="top"/>
    </xf>
    <xf numFmtId="3" fontId="27" fillId="0" borderId="179" xfId="0" applyNumberFormat="1" applyFont="1" applyFill="1" applyBorder="1" applyAlignment="1">
      <alignment vertical="top"/>
    </xf>
    <xf numFmtId="43" fontId="27" fillId="0" borderId="179" xfId="1" applyFont="1" applyFill="1" applyBorder="1" applyAlignment="1">
      <alignment vertical="top"/>
    </xf>
    <xf numFmtId="3" fontId="31" fillId="0" borderId="179" xfId="0" applyNumberFormat="1" applyFont="1" applyFill="1" applyBorder="1" applyAlignment="1">
      <alignment horizontal="right" vertical="center"/>
    </xf>
    <xf numFmtId="43" fontId="31" fillId="0" borderId="179" xfId="1" applyFont="1" applyFill="1" applyBorder="1" applyAlignment="1">
      <alignment horizontal="right" vertical="center"/>
    </xf>
    <xf numFmtId="0" fontId="7" fillId="6" borderId="181" xfId="0" applyFont="1" applyFill="1" applyBorder="1" applyAlignment="1">
      <alignment horizontal="left" vertical="center" wrapText="1"/>
    </xf>
    <xf numFmtId="3" fontId="25" fillId="6" borderId="179" xfId="0" applyNumberFormat="1" applyFont="1" applyFill="1" applyBorder="1" applyAlignment="1">
      <alignment vertical="top"/>
    </xf>
    <xf numFmtId="3" fontId="27" fillId="2" borderId="182" xfId="4" applyNumberFormat="1" applyFont="1" applyFill="1" applyBorder="1" applyAlignment="1">
      <alignment vertical="center" wrapText="1"/>
    </xf>
    <xf numFmtId="3" fontId="31" fillId="0" borderId="180" xfId="0" applyNumberFormat="1" applyFont="1" applyFill="1" applyBorder="1" applyAlignment="1">
      <alignment vertical="top"/>
    </xf>
    <xf numFmtId="0" fontId="27" fillId="2" borderId="183" xfId="4" applyFont="1" applyFill="1" applyBorder="1" applyAlignment="1">
      <alignment vertical="top"/>
    </xf>
    <xf numFmtId="3" fontId="28" fillId="2" borderId="131" xfId="0" applyNumberFormat="1" applyFont="1" applyFill="1" applyBorder="1" applyAlignment="1">
      <alignment vertical="top"/>
    </xf>
    <xf numFmtId="0" fontId="31" fillId="6" borderId="181" xfId="0" applyFont="1" applyFill="1" applyBorder="1" applyAlignment="1">
      <alignment vertical="top"/>
    </xf>
    <xf numFmtId="3" fontId="25" fillId="6" borderId="179" xfId="0" applyNumberFormat="1" applyFont="1" applyFill="1" applyBorder="1" applyAlignment="1">
      <alignment vertical="center"/>
    </xf>
    <xf numFmtId="3" fontId="25" fillId="22" borderId="180" xfId="0" applyNumberFormat="1" applyFont="1" applyFill="1" applyBorder="1" applyAlignment="1">
      <alignment vertical="center"/>
    </xf>
    <xf numFmtId="3" fontId="27" fillId="32" borderId="179" xfId="0" applyNumberFormat="1" applyFont="1" applyFill="1" applyBorder="1" applyAlignment="1">
      <alignment vertical="center"/>
    </xf>
    <xf numFmtId="3" fontId="27" fillId="25" borderId="180" xfId="0" applyNumberFormat="1" applyFont="1" applyFill="1" applyBorder="1" applyAlignment="1">
      <alignment vertical="center"/>
    </xf>
    <xf numFmtId="3" fontId="31" fillId="2" borderId="179" xfId="0" applyNumberFormat="1" applyFont="1" applyFill="1" applyBorder="1" applyAlignment="1">
      <alignment vertical="top"/>
    </xf>
    <xf numFmtId="3" fontId="25" fillId="32" borderId="179" xfId="0" applyNumberFormat="1" applyFont="1" applyFill="1" applyBorder="1" applyAlignment="1">
      <alignment vertical="top"/>
    </xf>
    <xf numFmtId="3" fontId="27" fillId="25" borderId="180" xfId="0" applyNumberFormat="1" applyFont="1" applyFill="1" applyBorder="1" applyAlignment="1">
      <alignment vertical="top"/>
    </xf>
    <xf numFmtId="3" fontId="28" fillId="57" borderId="179" xfId="0" applyNumberFormat="1" applyFont="1" applyFill="1" applyBorder="1" applyAlignment="1">
      <alignment vertical="top"/>
    </xf>
    <xf numFmtId="3" fontId="28" fillId="58" borderId="179" xfId="0" applyNumberFormat="1" applyFont="1" applyFill="1" applyBorder="1" applyAlignment="1">
      <alignment vertical="top"/>
    </xf>
    <xf numFmtId="3" fontId="31" fillId="0" borderId="179" xfId="4" applyNumberFormat="1" applyFont="1" applyFill="1" applyBorder="1" applyAlignment="1">
      <alignment vertical="center"/>
    </xf>
    <xf numFmtId="3" fontId="28" fillId="59" borderId="179" xfId="0" applyNumberFormat="1" applyFont="1" applyFill="1" applyBorder="1" applyAlignment="1">
      <alignment vertical="top"/>
    </xf>
    <xf numFmtId="3" fontId="28" fillId="55" borderId="179" xfId="0" applyNumberFormat="1" applyFont="1" applyFill="1" applyBorder="1" applyAlignment="1">
      <alignment vertical="top"/>
    </xf>
    <xf numFmtId="43" fontId="28" fillId="25" borderId="180" xfId="1" applyFont="1" applyFill="1" applyBorder="1" applyAlignment="1">
      <alignment vertical="center"/>
    </xf>
    <xf numFmtId="3" fontId="27" fillId="0" borderId="180" xfId="0" applyNumberFormat="1" applyFont="1" applyFill="1" applyBorder="1" applyAlignment="1">
      <alignment vertical="top"/>
    </xf>
    <xf numFmtId="3" fontId="31" fillId="0" borderId="180" xfId="4" applyNumberFormat="1" applyFont="1" applyFill="1" applyBorder="1" applyAlignment="1">
      <alignment vertical="center"/>
    </xf>
    <xf numFmtId="3" fontId="31" fillId="23" borderId="180" xfId="0" applyNumberFormat="1" applyFont="1" applyFill="1" applyBorder="1" applyAlignment="1">
      <alignment vertical="center"/>
    </xf>
    <xf numFmtId="0" fontId="28" fillId="58" borderId="181" xfId="0" applyFont="1" applyFill="1" applyBorder="1" applyAlignment="1">
      <alignment vertical="top"/>
    </xf>
    <xf numFmtId="0" fontId="28" fillId="56" borderId="178" xfId="0" applyFont="1" applyFill="1" applyBorder="1" applyAlignment="1">
      <alignment vertical="center"/>
    </xf>
    <xf numFmtId="3" fontId="28" fillId="56" borderId="179" xfId="0" applyNumberFormat="1" applyFont="1" applyFill="1" applyBorder="1" applyAlignment="1">
      <alignment vertical="center"/>
    </xf>
    <xf numFmtId="0" fontId="28" fillId="59" borderId="181" xfId="0" applyFont="1" applyFill="1" applyBorder="1" applyAlignment="1">
      <alignment vertical="top"/>
    </xf>
    <xf numFmtId="0" fontId="28" fillId="59" borderId="178" xfId="0" applyFont="1" applyFill="1" applyBorder="1" applyAlignment="1">
      <alignment vertical="top"/>
    </xf>
    <xf numFmtId="0" fontId="31" fillId="55" borderId="178" xfId="0" applyFont="1" applyFill="1" applyBorder="1" applyAlignment="1">
      <alignment vertical="top"/>
    </xf>
    <xf numFmtId="0" fontId="31" fillId="55" borderId="181" xfId="0" applyFont="1" applyFill="1" applyBorder="1" applyAlignment="1">
      <alignment vertical="top"/>
    </xf>
    <xf numFmtId="3" fontId="25" fillId="6" borderId="180" xfId="0" applyNumberFormat="1" applyFont="1" applyFill="1" applyBorder="1" applyAlignment="1">
      <alignment vertical="center"/>
    </xf>
    <xf numFmtId="0" fontId="27" fillId="2" borderId="184" xfId="4" applyFont="1" applyFill="1" applyBorder="1" applyAlignment="1">
      <alignment vertical="top"/>
    </xf>
    <xf numFmtId="0" fontId="31" fillId="6" borderId="181" xfId="0" applyFont="1" applyFill="1" applyBorder="1" applyAlignment="1">
      <alignment vertical="center"/>
    </xf>
    <xf numFmtId="3" fontId="25" fillId="22" borderId="179" xfId="0" applyNumberFormat="1" applyFont="1" applyFill="1" applyBorder="1" applyAlignment="1">
      <alignment vertical="center"/>
    </xf>
    <xf numFmtId="0" fontId="31" fillId="0" borderId="185" xfId="0" applyFont="1" applyFill="1" applyBorder="1" applyAlignment="1">
      <alignment horizontal="left" vertical="center" wrapText="1"/>
    </xf>
    <xf numFmtId="3" fontId="25" fillId="6" borderId="180" xfId="0" applyNumberFormat="1" applyFont="1" applyFill="1" applyBorder="1" applyAlignment="1">
      <alignment vertical="top"/>
    </xf>
    <xf numFmtId="3" fontId="27" fillId="2" borderId="180" xfId="0" applyNumberFormat="1" applyFont="1" applyFill="1" applyBorder="1" applyAlignment="1">
      <alignment vertical="top"/>
    </xf>
    <xf numFmtId="0" fontId="25" fillId="6" borderId="184" xfId="4" applyFont="1" applyFill="1" applyBorder="1" applyAlignment="1">
      <alignment horizontal="left" vertical="center"/>
    </xf>
    <xf numFmtId="0" fontId="25" fillId="6" borderId="181" xfId="4" applyFont="1" applyFill="1" applyBorder="1" applyAlignment="1">
      <alignment horizontal="left" vertical="center"/>
    </xf>
    <xf numFmtId="3" fontId="24" fillId="6" borderId="179" xfId="4" applyNumberFormat="1" applyFont="1" applyFill="1" applyBorder="1" applyAlignment="1">
      <alignment vertical="center"/>
    </xf>
    <xf numFmtId="3" fontId="25" fillId="22" borderId="180" xfId="4" applyNumberFormat="1" applyFont="1" applyFill="1" applyBorder="1" applyAlignment="1">
      <alignment horizontal="right" vertical="center"/>
    </xf>
    <xf numFmtId="3" fontId="27" fillId="2" borderId="183" xfId="4" applyNumberFormat="1" applyFont="1" applyFill="1" applyBorder="1" applyAlignment="1">
      <alignment vertical="center" wrapText="1"/>
    </xf>
    <xf numFmtId="3" fontId="33" fillId="0" borderId="179" xfId="6" applyNumberFormat="1" applyFont="1" applyFill="1" applyBorder="1" applyAlignment="1">
      <alignment vertical="center"/>
    </xf>
    <xf numFmtId="3" fontId="27" fillId="25" borderId="179" xfId="4" applyNumberFormat="1" applyFont="1" applyFill="1" applyBorder="1" applyAlignment="1">
      <alignment horizontal="right" vertical="center"/>
    </xf>
    <xf numFmtId="0" fontId="7" fillId="0" borderId="183" xfId="4" applyFont="1" applyFill="1" applyBorder="1" applyAlignment="1">
      <alignment vertical="center"/>
    </xf>
    <xf numFmtId="3" fontId="7" fillId="0" borderId="171" xfId="4" applyNumberFormat="1" applyFont="1" applyFill="1" applyBorder="1" applyAlignment="1">
      <alignment horizontal="right" vertical="center"/>
    </xf>
    <xf numFmtId="3" fontId="27" fillId="2" borderId="184" xfId="4" applyNumberFormat="1" applyFont="1" applyFill="1" applyBorder="1" applyAlignment="1">
      <alignment vertical="center" wrapText="1"/>
    </xf>
    <xf numFmtId="3" fontId="27" fillId="0" borderId="171" xfId="4" applyNumberFormat="1" applyFont="1" applyFill="1" applyBorder="1" applyAlignment="1">
      <alignment horizontal="right" vertical="center"/>
    </xf>
    <xf numFmtId="3" fontId="33" fillId="0" borderId="180" xfId="6" applyNumberFormat="1" applyFont="1" applyFill="1" applyBorder="1" applyAlignment="1">
      <alignment vertical="center"/>
    </xf>
    <xf numFmtId="43" fontId="24" fillId="6" borderId="179" xfId="4" applyNumberFormat="1" applyFont="1" applyFill="1" applyBorder="1" applyAlignment="1">
      <alignment vertical="center"/>
    </xf>
    <xf numFmtId="43" fontId="33" fillId="0" borderId="179" xfId="6" applyNumberFormat="1" applyFont="1" applyFill="1" applyBorder="1" applyAlignment="1">
      <alignment vertical="center"/>
    </xf>
    <xf numFmtId="3" fontId="7" fillId="0" borderId="180" xfId="4" applyNumberFormat="1" applyFont="1" applyFill="1" applyBorder="1" applyAlignment="1">
      <alignment horizontal="right" vertical="center"/>
    </xf>
    <xf numFmtId="3" fontId="25" fillId="6" borderId="179" xfId="4" applyNumberFormat="1" applyFont="1" applyFill="1" applyBorder="1" applyAlignment="1">
      <alignment horizontal="right" vertical="center"/>
    </xf>
    <xf numFmtId="3" fontId="27" fillId="0" borderId="179" xfId="4" applyNumberFormat="1" applyFont="1" applyFill="1" applyBorder="1" applyAlignment="1">
      <alignment horizontal="right" vertical="center"/>
    </xf>
    <xf numFmtId="3" fontId="31" fillId="0" borderId="179" xfId="4" applyNumberFormat="1" applyFont="1" applyFill="1" applyBorder="1" applyAlignment="1">
      <alignment horizontal="right" vertical="center"/>
    </xf>
    <xf numFmtId="3" fontId="7" fillId="0" borderId="179" xfId="4" applyNumberFormat="1" applyFont="1" applyFill="1" applyBorder="1" applyAlignment="1">
      <alignment horizontal="right" vertical="center"/>
    </xf>
    <xf numFmtId="3" fontId="31" fillId="25" borderId="179" xfId="4" applyNumberFormat="1" applyFont="1" applyFill="1" applyBorder="1" applyAlignment="1">
      <alignment horizontal="right" vertical="center"/>
    </xf>
    <xf numFmtId="0" fontId="7" fillId="0" borderId="177" xfId="4" applyFont="1" applyFill="1" applyBorder="1" applyAlignment="1">
      <alignment vertical="center"/>
    </xf>
    <xf numFmtId="3" fontId="29" fillId="2" borderId="184" xfId="4" applyNumberFormat="1" applyFont="1" applyFill="1" applyBorder="1" applyAlignment="1">
      <alignment vertical="center" wrapText="1"/>
    </xf>
    <xf numFmtId="3" fontId="32" fillId="0" borderId="180" xfId="6" applyNumberFormat="1" applyFont="1" applyFill="1" applyBorder="1" applyAlignment="1">
      <alignment vertical="center"/>
    </xf>
    <xf numFmtId="3" fontId="27" fillId="2" borderId="179" xfId="4" applyNumberFormat="1" applyFont="1" applyFill="1" applyBorder="1" applyAlignment="1">
      <alignment vertical="center"/>
    </xf>
    <xf numFmtId="3" fontId="36" fillId="6" borderId="30" xfId="0" applyNumberFormat="1" applyFont="1" applyFill="1" applyBorder="1"/>
    <xf numFmtId="0" fontId="25" fillId="6" borderId="172" xfId="4" applyFont="1" applyFill="1" applyBorder="1" applyAlignment="1">
      <alignment horizontal="left" vertical="center"/>
    </xf>
    <xf numFmtId="3" fontId="23" fillId="6" borderId="179" xfId="6" applyNumberFormat="1" applyFont="1" applyFill="1" applyBorder="1" applyAlignment="1">
      <alignment horizontal="right" vertical="center"/>
    </xf>
    <xf numFmtId="3" fontId="33" fillId="0" borderId="179" xfId="6" applyNumberFormat="1" applyFont="1" applyFill="1" applyBorder="1" applyAlignment="1">
      <alignment horizontal="right" vertical="center"/>
    </xf>
    <xf numFmtId="43" fontId="31" fillId="0" borderId="171" xfId="1" applyFont="1" applyFill="1" applyBorder="1" applyAlignment="1">
      <alignment horizontal="right" vertical="center"/>
    </xf>
    <xf numFmtId="43" fontId="33" fillId="0" borderId="179" xfId="1" applyFont="1" applyFill="1" applyBorder="1" applyAlignment="1">
      <alignment horizontal="right" vertical="center"/>
    </xf>
    <xf numFmtId="3" fontId="29" fillId="2" borderId="179" xfId="4" applyNumberFormat="1" applyFont="1" applyFill="1" applyBorder="1" applyAlignment="1">
      <alignment vertical="center"/>
    </xf>
    <xf numFmtId="43" fontId="23" fillId="6" borderId="179" xfId="1" applyFont="1" applyFill="1" applyBorder="1" applyAlignment="1">
      <alignment horizontal="right" vertical="center"/>
    </xf>
    <xf numFmtId="0" fontId="7" fillId="0" borderId="184" xfId="4" applyFont="1" applyFill="1" applyBorder="1" applyAlignment="1">
      <alignment vertical="center"/>
    </xf>
    <xf numFmtId="0" fontId="24" fillId="8" borderId="14" xfId="0" applyFont="1" applyFill="1" applyBorder="1" applyAlignment="1">
      <alignment horizontal="center" vertical="center" wrapText="1"/>
    </xf>
    <xf numFmtId="0" fontId="25" fillId="6" borderId="172" xfId="4" applyFont="1" applyFill="1" applyBorder="1" applyAlignment="1">
      <alignment horizontal="center" vertical="center"/>
    </xf>
    <xf numFmtId="43" fontId="7" fillId="0" borderId="176" xfId="1" applyFont="1" applyFill="1" applyBorder="1" applyAlignment="1">
      <alignment horizontal="right" vertical="center"/>
    </xf>
    <xf numFmtId="3" fontId="7" fillId="0" borderId="176" xfId="4" applyNumberFormat="1" applyFont="1" applyFill="1" applyBorder="1" applyAlignment="1">
      <alignment horizontal="right" vertical="center"/>
    </xf>
    <xf numFmtId="3" fontId="31" fillId="0" borderId="174" xfId="4" applyNumberFormat="1" applyFont="1" applyFill="1" applyBorder="1" applyAlignment="1">
      <alignment vertical="center"/>
    </xf>
    <xf numFmtId="43" fontId="32" fillId="0" borderId="174" xfId="1" applyFont="1" applyFill="1" applyBorder="1" applyAlignment="1">
      <alignment vertical="center"/>
    </xf>
    <xf numFmtId="0" fontId="27" fillId="2" borderId="184" xfId="4" applyFont="1" applyFill="1" applyBorder="1" applyAlignment="1">
      <alignment vertical="center"/>
    </xf>
    <xf numFmtId="3" fontId="24" fillId="6" borderId="179" xfId="4" applyNumberFormat="1" applyFont="1" applyFill="1" applyBorder="1" applyAlignment="1">
      <alignment horizontal="right" vertical="center"/>
    </xf>
    <xf numFmtId="3" fontId="29" fillId="0" borderId="179" xfId="4" applyNumberFormat="1" applyFont="1" applyFill="1" applyBorder="1" applyAlignment="1">
      <alignment horizontal="right" vertical="center"/>
    </xf>
    <xf numFmtId="3" fontId="29" fillId="25" borderId="179" xfId="4" applyNumberFormat="1" applyFont="1" applyFill="1" applyBorder="1" applyAlignment="1">
      <alignment horizontal="right" vertical="center"/>
    </xf>
    <xf numFmtId="43" fontId="7" fillId="0" borderId="179" xfId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horizontal="center" vertical="center" wrapText="1"/>
    </xf>
    <xf numFmtId="43" fontId="6" fillId="3" borderId="21" xfId="1" applyFont="1" applyFill="1" applyBorder="1" applyAlignment="1">
      <alignment horizontal="center" vertical="center" wrapText="1"/>
    </xf>
    <xf numFmtId="3" fontId="31" fillId="25" borderId="116" xfId="0" applyNumberFormat="1" applyFont="1" applyFill="1" applyBorder="1" applyAlignment="1">
      <alignment vertical="top"/>
    </xf>
    <xf numFmtId="0" fontId="25" fillId="0" borderId="9" xfId="4" applyFont="1" applyBorder="1" applyAlignment="1">
      <alignment horizontal="center" vertical="center" wrapText="1"/>
    </xf>
    <xf numFmtId="0" fontId="21" fillId="26" borderId="35" xfId="0" quotePrefix="1" applyFont="1" applyFill="1" applyBorder="1" applyAlignment="1">
      <alignment horizontal="center" vertical="top"/>
    </xf>
    <xf numFmtId="0" fontId="21" fillId="2" borderId="46" xfId="0" quotePrefix="1" applyFont="1" applyFill="1" applyBorder="1" applyAlignment="1">
      <alignment horizontal="center" vertical="top"/>
    </xf>
    <xf numFmtId="43" fontId="8" fillId="0" borderId="30" xfId="1" applyFont="1" applyFill="1" applyBorder="1" applyAlignment="1">
      <alignment vertical="center" wrapText="1"/>
    </xf>
    <xf numFmtId="43" fontId="8" fillId="0" borderId="170" xfId="1" applyFont="1" applyFill="1" applyBorder="1" applyAlignment="1">
      <alignment vertical="center" wrapText="1"/>
    </xf>
    <xf numFmtId="3" fontId="68" fillId="17" borderId="68" xfId="0" applyNumberFormat="1" applyFont="1" applyFill="1" applyBorder="1"/>
    <xf numFmtId="3" fontId="68" fillId="17" borderId="35" xfId="0" applyNumberFormat="1" applyFont="1" applyFill="1" applyBorder="1"/>
    <xf numFmtId="3" fontId="8" fillId="8" borderId="116" xfId="0" applyNumberFormat="1" applyFont="1" applyFill="1" applyBorder="1"/>
    <xf numFmtId="0" fontId="24" fillId="8" borderId="16" xfId="4" applyFont="1" applyFill="1" applyBorder="1" applyAlignment="1">
      <alignment horizontal="center" vertical="center" wrapText="1"/>
    </xf>
    <xf numFmtId="3" fontId="25" fillId="6" borderId="180" xfId="4" applyNumberFormat="1" applyFont="1" applyFill="1" applyBorder="1" applyAlignment="1">
      <alignment horizontal="right" vertical="center"/>
    </xf>
    <xf numFmtId="3" fontId="24" fillId="22" borderId="180" xfId="4" applyNumberFormat="1" applyFont="1" applyFill="1" applyBorder="1" applyAlignment="1">
      <alignment horizontal="right" vertical="center"/>
    </xf>
    <xf numFmtId="3" fontId="25" fillId="6" borderId="180" xfId="4" applyNumberFormat="1" applyFont="1" applyFill="1" applyBorder="1" applyAlignment="1">
      <alignment vertical="center"/>
    </xf>
    <xf numFmtId="43" fontId="25" fillId="6" borderId="180" xfId="1" applyFont="1" applyFill="1" applyBorder="1" applyAlignment="1">
      <alignment vertical="center"/>
    </xf>
    <xf numFmtId="43" fontId="31" fillId="0" borderId="156" xfId="1" applyFont="1" applyFill="1" applyBorder="1" applyAlignment="1">
      <alignment horizontal="right" vertical="center"/>
    </xf>
    <xf numFmtId="43" fontId="33" fillId="0" borderId="180" xfId="1" applyFont="1" applyFill="1" applyBorder="1" applyAlignment="1">
      <alignment vertical="center"/>
    </xf>
    <xf numFmtId="3" fontId="24" fillId="6" borderId="180" xfId="4" applyNumberFormat="1" applyFont="1" applyFill="1" applyBorder="1" applyAlignment="1">
      <alignment vertical="center"/>
    </xf>
    <xf numFmtId="3" fontId="25" fillId="22" borderId="179" xfId="4" applyNumberFormat="1" applyFont="1" applyFill="1" applyBorder="1" applyAlignment="1">
      <alignment horizontal="right" vertical="center"/>
    </xf>
    <xf numFmtId="3" fontId="32" fillId="0" borderId="179" xfId="6" applyNumberFormat="1" applyFont="1" applyFill="1" applyBorder="1" applyAlignment="1">
      <alignment vertical="center"/>
    </xf>
    <xf numFmtId="43" fontId="31" fillId="0" borderId="116" xfId="1" applyFont="1" applyFill="1" applyBorder="1" applyAlignment="1">
      <alignment horizontal="right" vertical="center"/>
    </xf>
    <xf numFmtId="43" fontId="25" fillId="6" borderId="179" xfId="1" applyFont="1" applyFill="1" applyBorder="1" applyAlignment="1">
      <alignment vertical="top"/>
    </xf>
    <xf numFmtId="3" fontId="25" fillId="22" borderId="179" xfId="0" applyNumberFormat="1" applyFont="1" applyFill="1" applyBorder="1" applyAlignment="1">
      <alignment vertical="top"/>
    </xf>
    <xf numFmtId="3" fontId="27" fillId="2" borderId="187" xfId="4" applyNumberFormat="1" applyFont="1" applyFill="1" applyBorder="1" applyAlignment="1">
      <alignment vertical="center" wrapText="1"/>
    </xf>
    <xf numFmtId="43" fontId="27" fillId="25" borderId="180" xfId="1" applyFont="1" applyFill="1" applyBorder="1" applyAlignment="1">
      <alignment horizontal="center" vertical="top"/>
    </xf>
    <xf numFmtId="43" fontId="31" fillId="25" borderId="180" xfId="1" applyFont="1" applyFill="1" applyBorder="1" applyAlignment="1">
      <alignment horizontal="center" vertical="top"/>
    </xf>
    <xf numFmtId="0" fontId="23" fillId="0" borderId="172" xfId="0" applyFont="1" applyBorder="1" applyAlignment="1">
      <alignment horizontal="center" vertical="center" wrapText="1"/>
    </xf>
    <xf numFmtId="0" fontId="28" fillId="58" borderId="172" xfId="0" applyFont="1" applyFill="1" applyBorder="1" applyAlignment="1">
      <alignment vertical="top"/>
    </xf>
    <xf numFmtId="0" fontId="28" fillId="56" borderId="125" xfId="0" applyFont="1" applyFill="1" applyBorder="1" applyAlignment="1">
      <alignment vertical="center"/>
    </xf>
    <xf numFmtId="0" fontId="39" fillId="59" borderId="187" xfId="0" applyFont="1" applyFill="1" applyBorder="1"/>
    <xf numFmtId="0" fontId="28" fillId="59" borderId="172" xfId="0" applyFont="1" applyFill="1" applyBorder="1" applyAlignment="1">
      <alignment vertical="top"/>
    </xf>
    <xf numFmtId="0" fontId="31" fillId="55" borderId="125" xfId="0" applyFont="1" applyFill="1" applyBorder="1" applyAlignment="1">
      <alignment vertical="top"/>
    </xf>
    <xf numFmtId="0" fontId="31" fillId="55" borderId="172" xfId="0" applyFont="1" applyFill="1" applyBorder="1" applyAlignment="1">
      <alignment vertical="top"/>
    </xf>
    <xf numFmtId="3" fontId="27" fillId="0" borderId="180" xfId="0" applyNumberFormat="1" applyFont="1" applyFill="1" applyBorder="1" applyAlignment="1">
      <alignment vertical="center"/>
    </xf>
    <xf numFmtId="3" fontId="27" fillId="8" borderId="180" xfId="0" applyNumberFormat="1" applyFont="1" applyFill="1" applyBorder="1" applyAlignment="1">
      <alignment vertical="center"/>
    </xf>
    <xf numFmtId="3" fontId="27" fillId="23" borderId="180" xfId="0" applyNumberFormat="1" applyFont="1" applyFill="1" applyBorder="1" applyAlignment="1">
      <alignment vertical="center"/>
    </xf>
    <xf numFmtId="3" fontId="31" fillId="28" borderId="180" xfId="0" applyNumberFormat="1" applyFont="1" applyFill="1" applyBorder="1" applyAlignment="1">
      <alignment vertical="center"/>
    </xf>
    <xf numFmtId="3" fontId="7" fillId="23" borderId="180" xfId="0" applyNumberFormat="1" applyFont="1" applyFill="1" applyBorder="1" applyAlignment="1">
      <alignment vertical="center"/>
    </xf>
    <xf numFmtId="3" fontId="27" fillId="25" borderId="179" xfId="0" applyNumberFormat="1" applyFont="1" applyFill="1" applyBorder="1" applyAlignment="1">
      <alignment vertical="top"/>
    </xf>
    <xf numFmtId="3" fontId="27" fillId="2" borderId="180" xfId="0" applyNumberFormat="1" applyFont="1" applyFill="1" applyBorder="1" applyAlignment="1">
      <alignment vertical="center"/>
    </xf>
    <xf numFmtId="3" fontId="7" fillId="8" borderId="180" xfId="4" applyNumberFormat="1" applyFont="1" applyFill="1" applyBorder="1" applyAlignment="1">
      <alignment horizontal="right" vertical="center"/>
    </xf>
    <xf numFmtId="3" fontId="29" fillId="0" borderId="180" xfId="4" applyNumberFormat="1" applyFont="1" applyFill="1" applyBorder="1" applyAlignment="1">
      <alignment horizontal="right" vertical="center"/>
    </xf>
    <xf numFmtId="3" fontId="7" fillId="0" borderId="180" xfId="4" applyNumberFormat="1" applyFont="1" applyFill="1" applyBorder="1" applyAlignment="1">
      <alignment vertical="top"/>
    </xf>
    <xf numFmtId="3" fontId="7" fillId="25" borderId="180" xfId="4" applyNumberFormat="1" applyFont="1" applyFill="1" applyBorder="1" applyAlignment="1">
      <alignment vertical="center"/>
    </xf>
    <xf numFmtId="0" fontId="31" fillId="0" borderId="184" xfId="4" applyFont="1" applyFill="1" applyBorder="1" applyAlignment="1">
      <alignment vertical="center"/>
    </xf>
    <xf numFmtId="3" fontId="33" fillId="25" borderId="180" xfId="6" applyNumberFormat="1" applyFont="1" applyFill="1" applyBorder="1" applyAlignment="1">
      <alignment vertical="center"/>
    </xf>
    <xf numFmtId="3" fontId="63" fillId="0" borderId="171" xfId="6" applyNumberFormat="1" applyFont="1" applyFill="1" applyBorder="1" applyAlignment="1">
      <alignment vertical="center"/>
    </xf>
    <xf numFmtId="3" fontId="38" fillId="0" borderId="171" xfId="4" applyNumberFormat="1" applyFont="1" applyFill="1" applyBorder="1" applyAlignment="1">
      <alignment horizontal="right" vertical="center"/>
    </xf>
    <xf numFmtId="0" fontId="25" fillId="6" borderId="180" xfId="4" applyFont="1" applyFill="1" applyBorder="1" applyAlignment="1">
      <alignment horizontal="left" vertical="center"/>
    </xf>
    <xf numFmtId="3" fontId="25" fillId="22" borderId="180" xfId="0" applyNumberFormat="1" applyFont="1" applyFill="1" applyBorder="1" applyAlignment="1">
      <alignment vertical="top"/>
    </xf>
    <xf numFmtId="3" fontId="31" fillId="23" borderId="180" xfId="0" applyNumberFormat="1" applyFont="1" applyFill="1" applyBorder="1" applyAlignment="1">
      <alignment vertical="top"/>
    </xf>
    <xf numFmtId="3" fontId="31" fillId="0" borderId="180" xfId="0" applyNumberFormat="1" applyFont="1" applyFill="1" applyBorder="1" applyAlignment="1">
      <alignment vertical="center"/>
    </xf>
    <xf numFmtId="3" fontId="27" fillId="0" borderId="180" xfId="4" applyNumberFormat="1" applyFont="1" applyFill="1" applyBorder="1" applyAlignment="1">
      <alignment vertical="center" wrapText="1"/>
    </xf>
    <xf numFmtId="0" fontId="32" fillId="0" borderId="190" xfId="0" applyFont="1" applyBorder="1" applyAlignment="1">
      <alignment vertical="center"/>
    </xf>
    <xf numFmtId="3" fontId="31" fillId="0" borderId="191" xfId="4" applyNumberFormat="1" applyFont="1" applyFill="1" applyBorder="1" applyAlignment="1">
      <alignment vertical="center"/>
    </xf>
    <xf numFmtId="3" fontId="31" fillId="0" borderId="190" xfId="0" applyNumberFormat="1" applyFont="1" applyFill="1" applyBorder="1" applyAlignment="1">
      <alignment vertical="center"/>
    </xf>
    <xf numFmtId="2" fontId="17" fillId="0" borderId="0" xfId="0" applyNumberFormat="1" applyFont="1" applyBorder="1" applyAlignment="1">
      <alignment vertical="top"/>
    </xf>
    <xf numFmtId="2" fontId="18" fillId="0" borderId="0" xfId="0" applyNumberFormat="1" applyFont="1" applyBorder="1" applyAlignment="1">
      <alignment vertical="top"/>
    </xf>
    <xf numFmtId="2" fontId="11" fillId="0" borderId="0" xfId="0" applyNumberFormat="1" applyFont="1" applyFill="1" applyBorder="1" applyAlignment="1"/>
    <xf numFmtId="2" fontId="14" fillId="2" borderId="0" xfId="3" applyNumberFormat="1" applyFont="1" applyFill="1" applyBorder="1" applyAlignment="1">
      <alignment horizontal="right" vertical="center"/>
    </xf>
    <xf numFmtId="2" fontId="15" fillId="2" borderId="0" xfId="0" applyNumberFormat="1" applyFont="1" applyFill="1" applyBorder="1" applyAlignment="1">
      <alignment horizontal="right" vertical="center"/>
    </xf>
    <xf numFmtId="2" fontId="13" fillId="0" borderId="0" xfId="0" applyNumberFormat="1" applyFont="1" applyFill="1" applyBorder="1" applyAlignment="1">
      <alignment horizontal="left"/>
    </xf>
    <xf numFmtId="2" fontId="20" fillId="2" borderId="5" xfId="0" applyNumberFormat="1" applyFont="1" applyFill="1" applyBorder="1" applyAlignment="1">
      <alignment horizontal="center" vertical="top"/>
    </xf>
    <xf numFmtId="2" fontId="20" fillId="2" borderId="11" xfId="0" applyNumberFormat="1" applyFont="1" applyFill="1" applyBorder="1" applyAlignment="1">
      <alignment horizontal="center" vertical="top"/>
    </xf>
    <xf numFmtId="2" fontId="17" fillId="8" borderId="11" xfId="0" applyNumberFormat="1" applyFont="1" applyFill="1" applyBorder="1" applyAlignment="1">
      <alignment vertical="center"/>
    </xf>
    <xf numFmtId="2" fontId="27" fillId="55" borderId="36" xfId="4" applyNumberFormat="1" applyFont="1" applyFill="1" applyBorder="1" applyAlignment="1">
      <alignment horizontal="left" vertical="center"/>
    </xf>
    <xf numFmtId="2" fontId="27" fillId="55" borderId="20" xfId="4" applyNumberFormat="1" applyFont="1" applyFill="1" applyBorder="1" applyAlignment="1">
      <alignment horizontal="left" vertical="center"/>
    </xf>
    <xf numFmtId="2" fontId="27" fillId="21" borderId="68" xfId="4" applyNumberFormat="1" applyFont="1" applyFill="1" applyBorder="1" applyAlignment="1">
      <alignment horizontal="right" vertical="center"/>
    </xf>
    <xf numFmtId="2" fontId="7" fillId="28" borderId="65" xfId="0" applyNumberFormat="1" applyFont="1" applyFill="1" applyBorder="1" applyAlignment="1">
      <alignment horizontal="center" vertical="top" wrapText="1"/>
    </xf>
    <xf numFmtId="2" fontId="27" fillId="55" borderId="65" xfId="4" applyNumberFormat="1" applyFont="1" applyFill="1" applyBorder="1" applyAlignment="1">
      <alignment horizontal="left" vertical="center"/>
    </xf>
    <xf numFmtId="2" fontId="27" fillId="55" borderId="6" xfId="4" applyNumberFormat="1" applyFont="1" applyFill="1" applyBorder="1" applyAlignment="1">
      <alignment horizontal="left" vertical="center"/>
    </xf>
    <xf numFmtId="2" fontId="27" fillId="21" borderId="13" xfId="4" applyNumberFormat="1" applyFont="1" applyFill="1" applyBorder="1" applyAlignment="1">
      <alignment horizontal="right" vertical="center"/>
    </xf>
    <xf numFmtId="2" fontId="27" fillId="55" borderId="46" xfId="0" applyNumberFormat="1" applyFont="1" applyFill="1" applyBorder="1" applyAlignment="1">
      <alignment horizontal="left" vertical="top"/>
    </xf>
    <xf numFmtId="2" fontId="24" fillId="28" borderId="11" xfId="0" applyNumberFormat="1" applyFont="1" applyFill="1" applyBorder="1" applyAlignment="1">
      <alignment vertical="top"/>
    </xf>
    <xf numFmtId="2" fontId="24" fillId="6" borderId="19" xfId="4" applyNumberFormat="1" applyFont="1" applyFill="1" applyBorder="1" applyAlignment="1">
      <alignment horizontal="left" vertical="center"/>
    </xf>
    <xf numFmtId="2" fontId="24" fillId="6" borderId="16" xfId="4" applyNumberFormat="1" applyFont="1" applyFill="1" applyBorder="1" applyAlignment="1">
      <alignment horizontal="left" vertical="center"/>
    </xf>
    <xf numFmtId="2" fontId="29" fillId="8" borderId="36" xfId="4" applyNumberFormat="1" applyFont="1" applyFill="1" applyBorder="1" applyAlignment="1">
      <alignment vertical="center"/>
    </xf>
    <xf numFmtId="2" fontId="7" fillId="8" borderId="181" xfId="0" applyNumberFormat="1" applyFont="1" applyFill="1" applyBorder="1" applyAlignment="1">
      <alignment vertical="center" wrapText="1"/>
    </xf>
    <xf numFmtId="2" fontId="18" fillId="8" borderId="65" xfId="0" applyNumberFormat="1" applyFont="1" applyFill="1" applyBorder="1" applyAlignment="1">
      <alignment horizontal="center" vertical="center" wrapText="1"/>
    </xf>
    <xf numFmtId="2" fontId="17" fillId="28" borderId="11" xfId="0" applyNumberFormat="1" applyFont="1" applyFill="1" applyBorder="1" applyAlignment="1">
      <alignment vertical="top"/>
    </xf>
    <xf numFmtId="2" fontId="7" fillId="8" borderId="36" xfId="4" applyNumberFormat="1" applyFont="1" applyFill="1" applyBorder="1" applyAlignment="1">
      <alignment vertical="center"/>
    </xf>
    <xf numFmtId="2" fontId="7" fillId="28" borderId="8" xfId="0" applyNumberFormat="1" applyFont="1" applyFill="1" applyBorder="1" applyAlignment="1">
      <alignment vertical="center" wrapText="1"/>
    </xf>
    <xf numFmtId="2" fontId="29" fillId="8" borderId="119" xfId="4" applyNumberFormat="1" applyFont="1" applyFill="1" applyBorder="1" applyAlignment="1">
      <alignment vertical="center"/>
    </xf>
    <xf numFmtId="2" fontId="24" fillId="8" borderId="181" xfId="0" applyNumberFormat="1" applyFont="1" applyFill="1" applyBorder="1" applyAlignment="1">
      <alignment vertical="center"/>
    </xf>
    <xf numFmtId="2" fontId="17" fillId="8" borderId="11" xfId="0" applyNumberFormat="1" applyFont="1" applyFill="1" applyBorder="1" applyAlignment="1">
      <alignment vertical="top"/>
    </xf>
    <xf numFmtId="2" fontId="7" fillId="8" borderId="185" xfId="0" applyNumberFormat="1" applyFont="1" applyFill="1" applyBorder="1" applyAlignment="1">
      <alignment vertical="top" wrapText="1"/>
    </xf>
    <xf numFmtId="2" fontId="7" fillId="8" borderId="178" xfId="0" applyNumberFormat="1" applyFont="1" applyFill="1" applyBorder="1" applyAlignment="1">
      <alignment vertical="top" wrapText="1"/>
    </xf>
    <xf numFmtId="2" fontId="18" fillId="8" borderId="65" xfId="0" applyNumberFormat="1" applyFont="1" applyFill="1" applyBorder="1" applyAlignment="1">
      <alignment horizontal="center" vertical="top" wrapText="1"/>
    </xf>
    <xf numFmtId="2" fontId="24" fillId="6" borderId="119" xfId="4" applyNumberFormat="1" applyFont="1" applyFill="1" applyBorder="1" applyAlignment="1">
      <alignment horizontal="left" vertical="center"/>
    </xf>
    <xf numFmtId="2" fontId="7" fillId="6" borderId="181" xfId="0" applyNumberFormat="1" applyFont="1" applyFill="1" applyBorder="1" applyAlignment="1">
      <alignment vertical="center" wrapText="1"/>
    </xf>
    <xf numFmtId="2" fontId="7" fillId="28" borderId="65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Border="1" applyAlignment="1">
      <alignment vertical="center"/>
    </xf>
    <xf numFmtId="2" fontId="25" fillId="8" borderId="5" xfId="0" applyNumberFormat="1" applyFont="1" applyFill="1" applyBorder="1" applyAlignment="1">
      <alignment vertical="center" wrapText="1"/>
    </xf>
    <xf numFmtId="2" fontId="25" fillId="8" borderId="14" xfId="0" applyNumberFormat="1" applyFont="1" applyFill="1" applyBorder="1" applyAlignment="1">
      <alignment horizontal="center" vertical="center" wrapText="1"/>
    </xf>
    <xf numFmtId="2" fontId="7" fillId="23" borderId="15" xfId="0" applyNumberFormat="1" applyFont="1" applyFill="1" applyBorder="1" applyAlignment="1">
      <alignment vertical="center"/>
    </xf>
    <xf numFmtId="2" fontId="25" fillId="6" borderId="119" xfId="4" applyNumberFormat="1" applyFont="1" applyFill="1" applyBorder="1" applyAlignment="1">
      <alignment horizontal="left" vertical="center"/>
    </xf>
    <xf numFmtId="2" fontId="31" fillId="6" borderId="181" xfId="0" applyNumberFormat="1" applyFont="1" applyFill="1" applyBorder="1" applyAlignment="1">
      <alignment vertical="top"/>
    </xf>
    <xf numFmtId="2" fontId="27" fillId="2" borderId="119" xfId="4" applyNumberFormat="1" applyFont="1" applyFill="1" applyBorder="1" applyAlignment="1">
      <alignment vertical="center" wrapText="1"/>
    </xf>
    <xf numFmtId="2" fontId="31" fillId="0" borderId="21" xfId="0" applyNumberFormat="1" applyFont="1" applyFill="1" applyBorder="1" applyAlignment="1">
      <alignment vertical="top"/>
    </xf>
    <xf numFmtId="2" fontId="31" fillId="0" borderId="179" xfId="0" applyNumberFormat="1" applyFont="1" applyFill="1" applyBorder="1" applyAlignment="1">
      <alignment vertical="top"/>
    </xf>
    <xf numFmtId="2" fontId="27" fillId="2" borderId="119" xfId="4" applyNumberFormat="1" applyFont="1" applyFill="1" applyBorder="1" applyAlignment="1">
      <alignment vertical="top"/>
    </xf>
    <xf numFmtId="2" fontId="31" fillId="0" borderId="185" xfId="0" applyNumberFormat="1" applyFont="1" applyFill="1" applyBorder="1" applyAlignment="1">
      <alignment horizontal="left" vertical="center" wrapText="1"/>
    </xf>
    <xf numFmtId="2" fontId="7" fillId="6" borderId="181" xfId="0" applyNumberFormat="1" applyFont="1" applyFill="1" applyBorder="1" applyAlignment="1">
      <alignment horizontal="left" vertical="center" wrapText="1"/>
    </xf>
    <xf numFmtId="2" fontId="27" fillId="2" borderId="187" xfId="4" applyNumberFormat="1" applyFont="1" applyFill="1" applyBorder="1" applyAlignment="1">
      <alignment vertical="center" wrapText="1"/>
    </xf>
    <xf numFmtId="2" fontId="31" fillId="0" borderId="82" xfId="0" applyNumberFormat="1" applyFont="1" applyFill="1" applyBorder="1" applyAlignment="1">
      <alignment vertical="top"/>
    </xf>
    <xf numFmtId="2" fontId="31" fillId="0" borderId="180" xfId="0" applyNumberFormat="1" applyFont="1" applyFill="1" applyBorder="1" applyAlignment="1">
      <alignment vertical="top"/>
    </xf>
    <xf numFmtId="2" fontId="27" fillId="2" borderId="183" xfId="4" applyNumberFormat="1" applyFont="1" applyFill="1" applyBorder="1" applyAlignment="1">
      <alignment vertical="top"/>
    </xf>
    <xf numFmtId="2" fontId="31" fillId="0" borderId="74" xfId="0" applyNumberFormat="1" applyFont="1" applyFill="1" applyBorder="1" applyAlignment="1">
      <alignment horizontal="left" vertical="center" wrapText="1"/>
    </xf>
    <xf numFmtId="2" fontId="27" fillId="2" borderId="187" xfId="4" applyNumberFormat="1" applyFont="1" applyFill="1" applyBorder="1" applyAlignment="1">
      <alignment vertical="top"/>
    </xf>
    <xf numFmtId="2" fontId="31" fillId="0" borderId="192" xfId="0" applyNumberFormat="1" applyFont="1" applyFill="1" applyBorder="1" applyAlignment="1">
      <alignment horizontal="left" vertical="center" wrapText="1"/>
    </xf>
    <xf numFmtId="2" fontId="25" fillId="6" borderId="187" xfId="4" applyNumberFormat="1" applyFont="1" applyFill="1" applyBorder="1" applyAlignment="1">
      <alignment horizontal="left" vertical="center"/>
    </xf>
    <xf numFmtId="2" fontId="7" fillId="6" borderId="20" xfId="0" applyNumberFormat="1" applyFont="1" applyFill="1" applyBorder="1" applyAlignment="1">
      <alignment horizontal="left" vertical="center" wrapText="1"/>
    </xf>
    <xf numFmtId="2" fontId="31" fillId="0" borderId="193" xfId="0" applyNumberFormat="1" applyFont="1" applyFill="1" applyBorder="1" applyAlignment="1">
      <alignment horizontal="left" vertical="center" wrapText="1"/>
    </xf>
    <xf numFmtId="2" fontId="25" fillId="6" borderId="9" xfId="0" applyNumberFormat="1" applyFont="1" applyFill="1" applyBorder="1" applyAlignment="1">
      <alignment vertical="top"/>
    </xf>
    <xf numFmtId="2" fontId="21" fillId="0" borderId="0" xfId="0" applyNumberFormat="1" applyFont="1" applyFill="1" applyBorder="1" applyAlignment="1">
      <alignment horizontal="left" vertical="center" wrapText="1"/>
    </xf>
    <xf numFmtId="2" fontId="26" fillId="0" borderId="0" xfId="0" applyNumberFormat="1" applyFont="1" applyBorder="1" applyAlignment="1">
      <alignment horizontal="center" vertical="center" wrapText="1"/>
    </xf>
    <xf numFmtId="2" fontId="21" fillId="0" borderId="0" xfId="0" applyNumberFormat="1" applyFont="1" applyFill="1" applyBorder="1" applyAlignment="1">
      <alignment vertical="top"/>
    </xf>
    <xf numFmtId="2" fontId="21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center" vertical="center"/>
    </xf>
    <xf numFmtId="2" fontId="25" fillId="0" borderId="0" xfId="0" applyNumberFormat="1" applyFont="1" applyFill="1" applyBorder="1" applyAlignment="1">
      <alignment horizontal="center" vertical="center"/>
    </xf>
    <xf numFmtId="2" fontId="24" fillId="2" borderId="24" xfId="0" applyNumberFormat="1" applyFont="1" applyFill="1" applyBorder="1" applyAlignment="1">
      <alignment horizontal="left" vertical="top" wrapText="1"/>
    </xf>
    <xf numFmtId="2" fontId="18" fillId="0" borderId="0" xfId="0" applyNumberFormat="1" applyFont="1" applyFill="1" applyBorder="1" applyAlignment="1">
      <alignment vertical="top"/>
    </xf>
    <xf numFmtId="2" fontId="18" fillId="30" borderId="0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top"/>
    </xf>
    <xf numFmtId="2" fontId="31" fillId="8" borderId="119" xfId="0" applyNumberFormat="1" applyFont="1" applyFill="1" applyBorder="1" applyAlignment="1">
      <alignment vertical="top"/>
    </xf>
    <xf numFmtId="2" fontId="31" fillId="8" borderId="179" xfId="0" applyNumberFormat="1" applyFont="1" applyFill="1" applyBorder="1" applyAlignment="1">
      <alignment vertical="top"/>
    </xf>
    <xf numFmtId="2" fontId="7" fillId="23" borderId="176" xfId="0" applyNumberFormat="1" applyFont="1" applyFill="1" applyBorder="1" applyAlignment="1">
      <alignment vertical="top"/>
    </xf>
    <xf numFmtId="2" fontId="31" fillId="8" borderId="119" xfId="0" applyNumberFormat="1" applyFont="1" applyFill="1" applyBorder="1" applyAlignment="1">
      <alignment vertical="center"/>
    </xf>
    <xf numFmtId="2" fontId="31" fillId="8" borderId="179" xfId="0" applyNumberFormat="1" applyFont="1" applyFill="1" applyBorder="1" applyAlignment="1">
      <alignment vertical="center"/>
    </xf>
    <xf numFmtId="2" fontId="25" fillId="23" borderId="179" xfId="0" applyNumberFormat="1" applyFont="1" applyFill="1" applyBorder="1" applyAlignment="1">
      <alignment vertical="center"/>
    </xf>
    <xf numFmtId="2" fontId="18" fillId="0" borderId="0" xfId="0" applyNumberFormat="1" applyFont="1" applyFill="1" applyBorder="1" applyAlignment="1">
      <alignment vertical="center"/>
    </xf>
    <xf numFmtId="2" fontId="18" fillId="30" borderId="0" xfId="0" applyNumberFormat="1" applyFont="1" applyFill="1" applyBorder="1" applyAlignment="1">
      <alignment vertical="center"/>
    </xf>
    <xf numFmtId="2" fontId="27" fillId="8" borderId="179" xfId="0" applyNumberFormat="1" applyFont="1" applyFill="1" applyBorder="1" applyAlignment="1">
      <alignment horizontal="right" vertical="center"/>
    </xf>
    <xf numFmtId="2" fontId="27" fillId="8" borderId="180" xfId="0" applyNumberFormat="1" applyFont="1" applyFill="1" applyBorder="1" applyAlignment="1">
      <alignment horizontal="right" vertical="center"/>
    </xf>
    <xf numFmtId="2" fontId="25" fillId="23" borderId="179" xfId="0" applyNumberFormat="1" applyFont="1" applyFill="1" applyBorder="1" applyAlignment="1">
      <alignment horizontal="center" vertical="center"/>
    </xf>
    <xf numFmtId="2" fontId="20" fillId="8" borderId="65" xfId="0" applyNumberFormat="1" applyFont="1" applyFill="1" applyBorder="1" applyAlignment="1">
      <alignment horizontal="center" vertical="center" wrapText="1"/>
    </xf>
    <xf numFmtId="2" fontId="31" fillId="8" borderId="180" xfId="0" applyNumberFormat="1" applyFont="1" applyFill="1" applyBorder="1" applyAlignment="1">
      <alignment vertical="top"/>
    </xf>
    <xf numFmtId="2" fontId="25" fillId="23" borderId="180" xfId="0" applyNumberFormat="1" applyFont="1" applyFill="1" applyBorder="1" applyAlignment="1">
      <alignment horizontal="center" vertical="center"/>
    </xf>
    <xf numFmtId="2" fontId="25" fillId="6" borderId="21" xfId="4" applyNumberFormat="1" applyFont="1" applyFill="1" applyBorder="1" applyAlignment="1">
      <alignment horizontal="left" vertical="center"/>
    </xf>
    <xf numFmtId="2" fontId="25" fillId="6" borderId="20" xfId="4" applyNumberFormat="1" applyFont="1" applyFill="1" applyBorder="1" applyAlignment="1">
      <alignment horizontal="left" vertical="center"/>
    </xf>
    <xf numFmtId="2" fontId="25" fillId="6" borderId="180" xfId="4" applyNumberFormat="1" applyFont="1" applyFill="1" applyBorder="1" applyAlignment="1">
      <alignment horizontal="right" vertical="center"/>
    </xf>
    <xf numFmtId="2" fontId="25" fillId="22" borderId="35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center"/>
    </xf>
    <xf numFmtId="2" fontId="27" fillId="8" borderId="6" xfId="4" applyNumberFormat="1" applyFont="1" applyFill="1" applyBorder="1" applyAlignment="1">
      <alignment horizontal="center" vertical="center"/>
    </xf>
    <xf numFmtId="2" fontId="25" fillId="8" borderId="179" xfId="0" applyNumberFormat="1" applyFont="1" applyFill="1" applyBorder="1" applyAlignment="1">
      <alignment vertical="center"/>
    </xf>
    <xf numFmtId="2" fontId="27" fillId="8" borderId="179" xfId="0" applyNumberFormat="1" applyFont="1" applyFill="1" applyBorder="1" applyAlignment="1">
      <alignment vertical="center"/>
    </xf>
    <xf numFmtId="2" fontId="35" fillId="0" borderId="0" xfId="0" applyNumberFormat="1" applyFont="1" applyFill="1" applyBorder="1" applyAlignment="1">
      <alignment vertical="top"/>
    </xf>
    <xf numFmtId="2" fontId="35" fillId="30" borderId="0" xfId="0" applyNumberFormat="1" applyFont="1" applyFill="1" applyBorder="1" applyAlignment="1">
      <alignment vertical="top"/>
    </xf>
    <xf numFmtId="2" fontId="24" fillId="8" borderId="19" xfId="0" applyNumberFormat="1" applyFont="1" applyFill="1" applyBorder="1" applyAlignment="1">
      <alignment vertical="center" wrapText="1"/>
    </xf>
    <xf numFmtId="2" fontId="24" fillId="8" borderId="17" xfId="0" applyNumberFormat="1" applyFont="1" applyFill="1" applyBorder="1" applyAlignment="1">
      <alignment horizontal="center" vertical="center" wrapText="1"/>
    </xf>
    <xf numFmtId="2" fontId="7" fillId="8" borderId="18" xfId="0" applyNumberFormat="1" applyFont="1" applyFill="1" applyBorder="1" applyAlignment="1">
      <alignment vertical="top"/>
    </xf>
    <xf numFmtId="2" fontId="7" fillId="8" borderId="76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top"/>
    </xf>
    <xf numFmtId="2" fontId="24" fillId="6" borderId="21" xfId="4" applyNumberFormat="1" applyFont="1" applyFill="1" applyBorder="1" applyAlignment="1">
      <alignment horizontal="left" vertical="center"/>
    </xf>
    <xf numFmtId="2" fontId="25" fillId="6" borderId="9" xfId="4" applyNumberFormat="1" applyFont="1" applyFill="1" applyBorder="1" applyAlignment="1">
      <alignment horizontal="left" vertical="center"/>
    </xf>
    <xf numFmtId="2" fontId="27" fillId="0" borderId="36" xfId="4" applyNumberFormat="1" applyFont="1" applyFill="1" applyBorder="1" applyAlignment="1">
      <alignment vertical="center"/>
    </xf>
    <xf numFmtId="2" fontId="31" fillId="0" borderId="179" xfId="0" applyNumberFormat="1" applyFont="1" applyFill="1" applyBorder="1" applyAlignment="1">
      <alignment vertical="center"/>
    </xf>
    <xf numFmtId="2" fontId="25" fillId="0" borderId="179" xfId="0" applyNumberFormat="1" applyFont="1" applyFill="1" applyBorder="1" applyAlignment="1">
      <alignment vertical="center"/>
    </xf>
    <xf numFmtId="2" fontId="31" fillId="32" borderId="119" xfId="0" applyNumberFormat="1" applyFont="1" applyFill="1" applyBorder="1" applyAlignment="1">
      <alignment vertical="center"/>
    </xf>
    <xf numFmtId="2" fontId="31" fillId="32" borderId="179" xfId="0" applyNumberFormat="1" applyFont="1" applyFill="1" applyBorder="1" applyAlignment="1">
      <alignment vertical="center"/>
    </xf>
    <xf numFmtId="2" fontId="32" fillId="0" borderId="0" xfId="0" applyNumberFormat="1" applyFont="1" applyBorder="1"/>
    <xf numFmtId="2" fontId="25" fillId="6" borderId="179" xfId="4" applyNumberFormat="1" applyFont="1" applyFill="1" applyBorder="1" applyAlignment="1">
      <alignment horizontal="left" vertical="center"/>
    </xf>
    <xf numFmtId="2" fontId="24" fillId="8" borderId="4" xfId="0" applyNumberFormat="1" applyFont="1" applyFill="1" applyBorder="1" applyAlignment="1">
      <alignment horizontal="center" vertical="center" wrapText="1"/>
    </xf>
    <xf numFmtId="2" fontId="7" fillId="8" borderId="3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center"/>
    </xf>
    <xf numFmtId="2" fontId="25" fillId="6" borderId="180" xfId="0" applyNumberFormat="1" applyFont="1" applyFill="1" applyBorder="1" applyAlignment="1"/>
    <xf numFmtId="2" fontId="29" fillId="2" borderId="119" xfId="4" applyNumberFormat="1" applyFont="1" applyFill="1" applyBorder="1" applyAlignment="1">
      <alignment vertical="center" wrapText="1"/>
    </xf>
    <xf numFmtId="2" fontId="27" fillId="2" borderId="180" xfId="0" applyNumberFormat="1" applyFont="1" applyFill="1" applyBorder="1" applyAlignment="1"/>
    <xf numFmtId="2" fontId="7" fillId="0" borderId="21" xfId="0" applyNumberFormat="1" applyFont="1" applyFill="1" applyBorder="1" applyAlignment="1">
      <alignment vertical="center"/>
    </xf>
    <xf numFmtId="2" fontId="7" fillId="0" borderId="119" xfId="0" applyNumberFormat="1" applyFont="1" applyFill="1" applyBorder="1" applyAlignment="1">
      <alignment vertical="center" wrapText="1"/>
    </xf>
    <xf numFmtId="2" fontId="31" fillId="0" borderId="176" xfId="0" applyNumberFormat="1" applyFont="1" applyFill="1" applyBorder="1" applyAlignment="1">
      <alignment vertical="top"/>
    </xf>
    <xf numFmtId="2" fontId="31" fillId="2" borderId="119" xfId="4" applyNumberFormat="1" applyFont="1" applyFill="1" applyBorder="1" applyAlignment="1">
      <alignment vertical="center" wrapText="1"/>
    </xf>
    <xf numFmtId="2" fontId="7" fillId="23" borderId="180" xfId="0" applyNumberFormat="1" applyFont="1" applyFill="1" applyBorder="1" applyAlignment="1">
      <alignment horizontal="center" vertical="top"/>
    </xf>
    <xf numFmtId="2" fontId="25" fillId="2" borderId="180" xfId="0" applyNumberFormat="1" applyFont="1" applyFill="1" applyBorder="1" applyAlignment="1"/>
    <xf numFmtId="2" fontId="28" fillId="2" borderId="180" xfId="0" applyNumberFormat="1" applyFont="1" applyFill="1" applyBorder="1" applyAlignment="1"/>
    <xf numFmtId="2" fontId="31" fillId="2" borderId="180" xfId="0" applyNumberFormat="1" applyFont="1" applyFill="1" applyBorder="1" applyAlignment="1"/>
    <xf numFmtId="2" fontId="31" fillId="2" borderId="74" xfId="4" applyNumberFormat="1" applyFont="1" applyFill="1" applyBorder="1" applyAlignment="1">
      <alignment vertical="center" wrapText="1"/>
    </xf>
    <xf numFmtId="2" fontId="24" fillId="8" borderId="83" xfId="0" applyNumberFormat="1" applyFont="1" applyFill="1" applyBorder="1" applyAlignment="1">
      <alignment vertical="center" wrapText="1"/>
    </xf>
    <xf numFmtId="2" fontId="24" fillId="8" borderId="68" xfId="0" applyNumberFormat="1" applyFont="1" applyFill="1" applyBorder="1" applyAlignment="1">
      <alignment horizontal="center" vertical="center" wrapText="1"/>
    </xf>
    <xf numFmtId="2" fontId="7" fillId="8" borderId="17" xfId="0" applyNumberFormat="1" applyFont="1" applyFill="1" applyBorder="1" applyAlignment="1">
      <alignment vertical="top"/>
    </xf>
    <xf numFmtId="2" fontId="24" fillId="6" borderId="82" xfId="4" applyNumberFormat="1" applyFont="1" applyFill="1" applyBorder="1" applyAlignment="1">
      <alignment horizontal="left" vertical="center"/>
    </xf>
    <xf numFmtId="2" fontId="25" fillId="6" borderId="180" xfId="0" applyNumberFormat="1" applyFont="1" applyFill="1" applyBorder="1" applyAlignment="1">
      <alignment vertical="center"/>
    </xf>
    <xf numFmtId="2" fontId="25" fillId="22" borderId="180" xfId="0" applyNumberFormat="1" applyFont="1" applyFill="1" applyBorder="1" applyAlignment="1">
      <alignment vertical="center"/>
    </xf>
    <xf numFmtId="2" fontId="29" fillId="0" borderId="82" xfId="0" applyNumberFormat="1" applyFont="1" applyFill="1" applyBorder="1" applyAlignment="1">
      <alignment vertical="center"/>
    </xf>
    <xf numFmtId="2" fontId="25" fillId="25" borderId="180" xfId="0" applyNumberFormat="1" applyFont="1" applyFill="1" applyBorder="1" applyAlignment="1">
      <alignment vertical="center"/>
    </xf>
    <xf numFmtId="2" fontId="30" fillId="0" borderId="0" xfId="0" applyNumberFormat="1" applyFont="1" applyBorder="1" applyAlignment="1">
      <alignment vertical="top"/>
    </xf>
    <xf numFmtId="2" fontId="7" fillId="0" borderId="193" xfId="0" applyNumberFormat="1" applyFont="1" applyFill="1" applyBorder="1" applyAlignment="1">
      <alignment vertical="center" wrapText="1"/>
    </xf>
    <xf numFmtId="2" fontId="31" fillId="2" borderId="190" xfId="0" applyNumberFormat="1" applyFont="1" applyFill="1" applyBorder="1" applyAlignment="1">
      <alignment vertical="center"/>
    </xf>
    <xf numFmtId="2" fontId="31" fillId="25" borderId="12" xfId="0" applyNumberFormat="1" applyFont="1" applyFill="1" applyBorder="1" applyAlignment="1">
      <alignment vertical="center"/>
    </xf>
    <xf numFmtId="2" fontId="18" fillId="0" borderId="0" xfId="0" applyNumberFormat="1" applyFont="1" applyBorder="1" applyAlignment="1">
      <alignment horizontal="center" vertical="top" wrapText="1"/>
    </xf>
    <xf numFmtId="2" fontId="39" fillId="0" borderId="180" xfId="0" applyNumberFormat="1" applyFont="1" applyBorder="1" applyAlignment="1">
      <alignment vertical="center"/>
    </xf>
    <xf numFmtId="2" fontId="18" fillId="0" borderId="180" xfId="0" applyNumberFormat="1" applyFont="1" applyBorder="1" applyAlignment="1">
      <alignment vertical="top"/>
    </xf>
    <xf numFmtId="3" fontId="29" fillId="8" borderId="180" xfId="0" applyNumberFormat="1" applyFont="1" applyFill="1" applyBorder="1" applyAlignment="1">
      <alignment vertical="center"/>
    </xf>
    <xf numFmtId="3" fontId="29" fillId="23" borderId="180" xfId="0" applyNumberFormat="1" applyFont="1" applyFill="1" applyBorder="1" applyAlignment="1">
      <alignment vertical="center"/>
    </xf>
    <xf numFmtId="3" fontId="7" fillId="28" borderId="180" xfId="0" applyNumberFormat="1" applyFont="1" applyFill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2" xfId="0" applyNumberFormat="1" applyFont="1" applyFill="1" applyBorder="1" applyAlignment="1">
      <alignment vertical="top"/>
    </xf>
    <xf numFmtId="3" fontId="7" fillId="23" borderId="1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vertical="top"/>
    </xf>
    <xf numFmtId="3" fontId="31" fillId="0" borderId="156" xfId="0" applyNumberFormat="1" applyFont="1" applyFill="1" applyBorder="1" applyAlignment="1">
      <alignment vertical="top"/>
    </xf>
    <xf numFmtId="3" fontId="31" fillId="0" borderId="176" xfId="0" applyNumberFormat="1" applyFont="1" applyFill="1" applyBorder="1" applyAlignment="1">
      <alignment horizontal="right" vertical="center"/>
    </xf>
    <xf numFmtId="3" fontId="25" fillId="6" borderId="176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3" fontId="31" fillId="0" borderId="190" xfId="0" applyNumberFormat="1" applyFont="1" applyFill="1" applyBorder="1" applyAlignment="1">
      <alignment vertical="top"/>
    </xf>
    <xf numFmtId="3" fontId="31" fillId="0" borderId="190" xfId="0" applyNumberFormat="1" applyFont="1" applyFill="1" applyBorder="1" applyAlignment="1">
      <alignment horizontal="right" vertical="center"/>
    </xf>
    <xf numFmtId="3" fontId="31" fillId="0" borderId="179" xfId="4" applyNumberFormat="1" applyFont="1" applyFill="1" applyBorder="1" applyAlignment="1"/>
    <xf numFmtId="3" fontId="31" fillId="0" borderId="156" xfId="4" applyNumberFormat="1" applyFont="1" applyFill="1" applyBorder="1" applyAlignment="1"/>
    <xf numFmtId="3" fontId="25" fillId="6" borderId="9" xfId="0" applyNumberFormat="1" applyFont="1" applyFill="1" applyBorder="1" applyAlignment="1">
      <alignment vertical="top"/>
    </xf>
    <xf numFmtId="1" fontId="21" fillId="2" borderId="181" xfId="0" applyNumberFormat="1" applyFont="1" applyFill="1" applyBorder="1" applyAlignment="1">
      <alignment horizontal="center" vertical="top"/>
    </xf>
    <xf numFmtId="1" fontId="21" fillId="2" borderId="180" xfId="0" applyNumberFormat="1" applyFont="1" applyFill="1" applyBorder="1" applyAlignment="1">
      <alignment horizontal="center" vertical="top"/>
    </xf>
    <xf numFmtId="1" fontId="21" fillId="2" borderId="180" xfId="0" quotePrefix="1" applyNumberFormat="1" applyFont="1" applyFill="1" applyBorder="1" applyAlignment="1">
      <alignment horizontal="center" vertical="top"/>
    </xf>
    <xf numFmtId="1" fontId="21" fillId="2" borderId="175" xfId="0" quotePrefix="1" applyNumberFormat="1" applyFont="1" applyFill="1" applyBorder="1" applyAlignment="1">
      <alignment horizontal="center" vertical="top"/>
    </xf>
    <xf numFmtId="1" fontId="21" fillId="0" borderId="68" xfId="0" quotePrefix="1" applyNumberFormat="1" applyFont="1" applyFill="1" applyBorder="1" applyAlignment="1">
      <alignment horizontal="center" vertical="top"/>
    </xf>
    <xf numFmtId="0" fontId="7" fillId="0" borderId="3" xfId="0" quotePrefix="1" applyFont="1" applyBorder="1" applyAlignment="1">
      <alignment horizontal="center"/>
    </xf>
    <xf numFmtId="3" fontId="69" fillId="4" borderId="18" xfId="0" applyNumberFormat="1" applyFont="1" applyFill="1" applyBorder="1" applyAlignment="1">
      <alignment horizontal="right" vertical="center" wrapText="1"/>
    </xf>
    <xf numFmtId="3" fontId="36" fillId="4" borderId="8" xfId="0" applyNumberFormat="1" applyFont="1" applyFill="1" applyBorder="1" applyAlignment="1">
      <alignment horizontal="right" vertical="center" wrapText="1"/>
    </xf>
    <xf numFmtId="3" fontId="36" fillId="4" borderId="24" xfId="0" applyNumberFormat="1" applyFont="1" applyFill="1" applyBorder="1" applyAlignment="1">
      <alignment horizontal="right" vertical="center" wrapText="1"/>
    </xf>
    <xf numFmtId="3" fontId="69" fillId="6" borderId="183" xfId="0" applyNumberFormat="1" applyFont="1" applyFill="1" applyBorder="1" applyAlignment="1">
      <alignment horizontal="right" vertical="center" wrapText="1"/>
    </xf>
    <xf numFmtId="3" fontId="64" fillId="8" borderId="8" xfId="0" applyNumberFormat="1" applyFont="1" applyFill="1" applyBorder="1" applyAlignment="1">
      <alignment horizontal="right" vertical="center" wrapText="1"/>
    </xf>
    <xf numFmtId="3" fontId="8" fillId="0" borderId="8" xfId="0" applyNumberFormat="1" applyFont="1" applyFill="1" applyBorder="1" applyAlignment="1">
      <alignment vertical="center" wrapText="1"/>
    </xf>
    <xf numFmtId="3" fontId="64" fillId="8" borderId="183" xfId="0" applyNumberFormat="1" applyFont="1" applyFill="1" applyBorder="1" applyAlignment="1">
      <alignment vertical="center" wrapText="1"/>
    </xf>
    <xf numFmtId="3" fontId="62" fillId="6" borderId="183" xfId="0" applyNumberFormat="1" applyFont="1" applyFill="1" applyBorder="1" applyAlignment="1">
      <alignment wrapText="1"/>
    </xf>
    <xf numFmtId="3" fontId="68" fillId="8" borderId="183" xfId="0" applyNumberFormat="1" applyFont="1" applyFill="1" applyBorder="1" applyAlignment="1">
      <alignment vertical="center" wrapText="1"/>
    </xf>
    <xf numFmtId="3" fontId="8" fillId="0" borderId="24" xfId="0" applyNumberFormat="1" applyFont="1" applyFill="1" applyBorder="1" applyAlignment="1">
      <alignment vertical="center" wrapText="1"/>
    </xf>
    <xf numFmtId="3" fontId="62" fillId="57" borderId="51" xfId="0" applyNumberFormat="1" applyFont="1" applyFill="1" applyBorder="1" applyAlignment="1">
      <alignment vertical="center" wrapText="1"/>
    </xf>
    <xf numFmtId="3" fontId="62" fillId="57" borderId="24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3" fontId="69" fillId="7" borderId="119" xfId="0" applyNumberFormat="1" applyFont="1" applyFill="1" applyBorder="1" applyAlignment="1">
      <alignment horizontal="right" vertical="center" wrapText="1"/>
    </xf>
    <xf numFmtId="3" fontId="64" fillId="9" borderId="119" xfId="0" applyNumberFormat="1" applyFont="1" applyFill="1" applyBorder="1" applyAlignment="1">
      <alignment vertical="center" wrapText="1"/>
    </xf>
    <xf numFmtId="3" fontId="62" fillId="57" borderId="52" xfId="0" applyNumberFormat="1" applyFont="1" applyFill="1" applyBorder="1" applyAlignment="1">
      <alignment vertical="center" wrapText="1"/>
    </xf>
    <xf numFmtId="3" fontId="62" fillId="57" borderId="25" xfId="0" applyNumberFormat="1" applyFont="1" applyFill="1" applyBorder="1" applyAlignment="1">
      <alignment horizontal="center" vertical="center" wrapText="1"/>
    </xf>
    <xf numFmtId="3" fontId="69" fillId="4" borderId="76" xfId="0" applyNumberFormat="1" applyFont="1" applyFill="1" applyBorder="1" applyAlignment="1">
      <alignment horizontal="right" vertical="center" wrapText="1"/>
    </xf>
    <xf numFmtId="3" fontId="36" fillId="4" borderId="7" xfId="0" quotePrefix="1" applyNumberFormat="1" applyFont="1" applyFill="1" applyBorder="1" applyAlignment="1">
      <alignment horizontal="right" vertical="center"/>
    </xf>
    <xf numFmtId="3" fontId="36" fillId="4" borderId="132" xfId="0" quotePrefix="1" applyNumberFormat="1" applyFont="1" applyFill="1" applyBorder="1" applyAlignment="1">
      <alignment horizontal="right"/>
    </xf>
    <xf numFmtId="3" fontId="68" fillId="8" borderId="8" xfId="0" applyNumberFormat="1" applyFont="1" applyFill="1" applyBorder="1" applyAlignment="1">
      <alignment horizontal="right" vertical="center" wrapText="1"/>
    </xf>
    <xf numFmtId="3" fontId="62" fillId="6" borderId="183" xfId="0" applyNumberFormat="1" applyFont="1" applyFill="1" applyBorder="1" applyAlignment="1">
      <alignment vertical="center" wrapText="1"/>
    </xf>
    <xf numFmtId="3" fontId="68" fillId="8" borderId="8" xfId="0" applyNumberFormat="1" applyFont="1" applyFill="1" applyBorder="1" applyAlignment="1">
      <alignment vertical="center" wrapText="1"/>
    </xf>
    <xf numFmtId="3" fontId="8" fillId="0" borderId="132" xfId="0" applyNumberFormat="1" applyFont="1" applyFill="1" applyBorder="1" applyAlignment="1">
      <alignment vertical="center" wrapText="1"/>
    </xf>
    <xf numFmtId="3" fontId="7" fillId="2" borderId="11" xfId="0" applyNumberFormat="1" applyFont="1" applyFill="1" applyBorder="1" applyAlignment="1">
      <alignment vertical="center" wrapText="1"/>
    </xf>
    <xf numFmtId="3" fontId="68" fillId="9" borderId="21" xfId="0" applyNumberFormat="1" applyFont="1" applyFill="1" applyBorder="1" applyAlignment="1">
      <alignment horizontal="right" vertical="center" wrapText="1"/>
    </xf>
    <xf numFmtId="43" fontId="64" fillId="9" borderId="119" xfId="1" applyFont="1" applyFill="1" applyBorder="1" applyAlignment="1">
      <alignment horizontal="center" vertical="center" wrapText="1"/>
    </xf>
    <xf numFmtId="43" fontId="32" fillId="0" borderId="154" xfId="1" applyFont="1" applyFill="1" applyBorder="1" applyAlignment="1">
      <alignment vertical="center"/>
    </xf>
    <xf numFmtId="3" fontId="31" fillId="0" borderId="190" xfId="4" applyNumberFormat="1" applyFont="1" applyFill="1" applyBorder="1" applyAlignment="1">
      <alignment vertical="center"/>
    </xf>
    <xf numFmtId="3" fontId="31" fillId="0" borderId="191" xfId="4" applyNumberFormat="1" applyFont="1" applyFill="1" applyBorder="1" applyAlignment="1"/>
    <xf numFmtId="3" fontId="27" fillId="21" borderId="190" xfId="4" applyNumberFormat="1" applyFont="1" applyFill="1" applyBorder="1" applyAlignment="1">
      <alignment horizontal="right" vertical="center"/>
    </xf>
    <xf numFmtId="3" fontId="27" fillId="21" borderId="176" xfId="4" applyNumberFormat="1" applyFont="1" applyFill="1" applyBorder="1" applyAlignment="1">
      <alignment horizontal="right" vertical="center"/>
    </xf>
    <xf numFmtId="0" fontId="24" fillId="8" borderId="45" xfId="0" applyFont="1" applyFill="1" applyBorder="1" applyAlignment="1">
      <alignment vertical="center" wrapText="1"/>
    </xf>
    <xf numFmtId="3" fontId="27" fillId="0" borderId="180" xfId="4" applyNumberFormat="1" applyFont="1" applyFill="1" applyBorder="1" applyAlignment="1">
      <alignment horizontal="right" vertical="center"/>
    </xf>
    <xf numFmtId="43" fontId="25" fillId="6" borderId="179" xfId="1" applyFont="1" applyFill="1" applyBorder="1" applyAlignment="1">
      <alignment horizontal="right" vertical="center"/>
    </xf>
    <xf numFmtId="43" fontId="27" fillId="0" borderId="179" xfId="1" applyFont="1" applyFill="1" applyBorder="1" applyAlignment="1">
      <alignment horizontal="right" vertical="center"/>
    </xf>
    <xf numFmtId="43" fontId="33" fillId="0" borderId="179" xfId="1" applyFont="1" applyFill="1" applyBorder="1" applyAlignment="1">
      <alignment vertical="center"/>
    </xf>
    <xf numFmtId="0" fontId="31" fillId="0" borderId="194" xfId="4" applyFont="1" applyFill="1" applyBorder="1" applyAlignment="1">
      <alignment vertical="center"/>
    </xf>
    <xf numFmtId="43" fontId="24" fillId="6" borderId="179" xfId="1" applyFont="1" applyFill="1" applyBorder="1" applyAlignment="1">
      <alignment vertical="center"/>
    </xf>
    <xf numFmtId="43" fontId="27" fillId="2" borderId="179" xfId="1" applyFont="1" applyFill="1" applyBorder="1" applyAlignment="1">
      <alignment vertical="center"/>
    </xf>
    <xf numFmtId="3" fontId="24" fillId="6" borderId="171" xfId="4" applyNumberFormat="1" applyFont="1" applyFill="1" applyBorder="1" applyAlignment="1">
      <alignment vertical="center"/>
    </xf>
    <xf numFmtId="3" fontId="27" fillId="2" borderId="180" xfId="4" applyNumberFormat="1" applyFont="1" applyFill="1" applyBorder="1" applyAlignment="1">
      <alignment vertical="center"/>
    </xf>
    <xf numFmtId="3" fontId="32" fillId="0" borderId="190" xfId="6" applyNumberFormat="1" applyFont="1" applyFill="1" applyBorder="1" applyAlignment="1">
      <alignment vertical="center"/>
    </xf>
    <xf numFmtId="3" fontId="27" fillId="25" borderId="180" xfId="4" applyNumberFormat="1" applyFont="1" applyFill="1" applyBorder="1" applyAlignment="1">
      <alignment horizontal="right" vertical="center"/>
    </xf>
    <xf numFmtId="3" fontId="7" fillId="0" borderId="190" xfId="4" applyNumberFormat="1" applyFont="1" applyFill="1" applyBorder="1" applyAlignment="1">
      <alignment horizontal="right" vertical="center"/>
    </xf>
    <xf numFmtId="43" fontId="7" fillId="0" borderId="190" xfId="1" applyFont="1" applyFill="1" applyBorder="1" applyAlignment="1">
      <alignment horizontal="right" vertical="center"/>
    </xf>
    <xf numFmtId="3" fontId="24" fillId="6" borderId="180" xfId="0" applyNumberFormat="1" applyFont="1" applyFill="1" applyBorder="1" applyAlignment="1">
      <alignment horizontal="right" vertical="center"/>
    </xf>
    <xf numFmtId="3" fontId="29" fillId="0" borderId="180" xfId="0" applyNumberFormat="1" applyFont="1" applyFill="1" applyBorder="1" applyAlignment="1">
      <alignment horizontal="right" vertical="center"/>
    </xf>
    <xf numFmtId="3" fontId="7" fillId="0" borderId="180" xfId="0" applyNumberFormat="1" applyFont="1" applyFill="1" applyBorder="1" applyAlignment="1">
      <alignment horizontal="right" vertical="center"/>
    </xf>
    <xf numFmtId="43" fontId="31" fillId="0" borderId="180" xfId="1" applyFont="1" applyFill="1" applyBorder="1" applyAlignment="1">
      <alignment vertical="center"/>
    </xf>
    <xf numFmtId="43" fontId="31" fillId="0" borderId="190" xfId="1" applyFont="1" applyFill="1" applyBorder="1" applyAlignment="1">
      <alignment vertical="center"/>
    </xf>
    <xf numFmtId="3" fontId="31" fillId="0" borderId="191" xfId="4" applyNumberFormat="1" applyFont="1" applyFill="1" applyBorder="1" applyAlignment="1">
      <alignment horizontal="right" vertical="center"/>
    </xf>
    <xf numFmtId="3" fontId="31" fillId="25" borderId="191" xfId="4" applyNumberFormat="1" applyFont="1" applyFill="1" applyBorder="1" applyAlignment="1">
      <alignment horizontal="right" vertical="center"/>
    </xf>
    <xf numFmtId="3" fontId="28" fillId="23" borderId="180" xfId="4" applyNumberFormat="1" applyFont="1" applyFill="1" applyBorder="1" applyAlignment="1">
      <alignment horizontal="right" vertical="center"/>
    </xf>
    <xf numFmtId="3" fontId="24" fillId="6" borderId="180" xfId="4" applyNumberFormat="1" applyFont="1" applyFill="1" applyBorder="1" applyAlignment="1"/>
    <xf numFmtId="3" fontId="33" fillId="23" borderId="180" xfId="6" applyNumberFormat="1" applyFont="1" applyFill="1" applyBorder="1" applyAlignment="1">
      <alignment vertical="center"/>
    </xf>
    <xf numFmtId="3" fontId="31" fillId="23" borderId="180" xfId="4" applyNumberFormat="1" applyFont="1" applyFill="1" applyBorder="1" applyAlignment="1">
      <alignment vertical="center"/>
    </xf>
    <xf numFmtId="3" fontId="27" fillId="21" borderId="180" xfId="4" applyNumberFormat="1" applyFont="1" applyFill="1" applyBorder="1" applyAlignment="1">
      <alignment horizontal="right" vertical="center"/>
    </xf>
    <xf numFmtId="0" fontId="28" fillId="55" borderId="181" xfId="0" quotePrefix="1" applyFont="1" applyFill="1" applyBorder="1" applyAlignment="1">
      <alignment horizontal="center" vertical="top"/>
    </xf>
    <xf numFmtId="3" fontId="27" fillId="55" borderId="179" xfId="0" quotePrefix="1" applyNumberFormat="1" applyFont="1" applyFill="1" applyBorder="1" applyAlignment="1">
      <alignment horizontal="right" vertical="top"/>
    </xf>
    <xf numFmtId="43" fontId="27" fillId="55" borderId="179" xfId="1" quotePrefix="1" applyFont="1" applyFill="1" applyBorder="1" applyAlignment="1">
      <alignment horizontal="right" vertical="top"/>
    </xf>
    <xf numFmtId="0" fontId="25" fillId="6" borderId="179" xfId="0" applyFont="1" applyFill="1" applyBorder="1" applyAlignment="1">
      <alignment vertical="center"/>
    </xf>
    <xf numFmtId="3" fontId="25" fillId="6" borderId="183" xfId="0" applyNumberFormat="1" applyFont="1" applyFill="1" applyBorder="1" applyAlignment="1">
      <alignment vertical="center"/>
    </xf>
    <xf numFmtId="43" fontId="25" fillId="6" borderId="188" xfId="1" applyFont="1" applyFill="1" applyBorder="1" applyAlignment="1">
      <alignment vertical="center"/>
    </xf>
    <xf numFmtId="3" fontId="25" fillId="6" borderId="188" xfId="0" applyNumberFormat="1" applyFont="1" applyFill="1" applyBorder="1" applyAlignment="1">
      <alignment vertical="center"/>
    </xf>
    <xf numFmtId="0" fontId="27" fillId="8" borderId="179" xfId="4" applyFont="1" applyFill="1" applyBorder="1" applyAlignment="1">
      <alignment horizontal="left" vertical="center"/>
    </xf>
    <xf numFmtId="3" fontId="27" fillId="8" borderId="180" xfId="4" applyNumberFormat="1" applyFont="1" applyFill="1" applyBorder="1" applyAlignment="1">
      <alignment vertical="top"/>
    </xf>
    <xf numFmtId="43" fontId="27" fillId="8" borderId="180" xfId="1" applyFont="1" applyFill="1" applyBorder="1" applyAlignment="1">
      <alignment vertical="top"/>
    </xf>
    <xf numFmtId="3" fontId="27" fillId="23" borderId="180" xfId="4" applyNumberFormat="1" applyFont="1" applyFill="1" applyBorder="1" applyAlignment="1">
      <alignment vertical="top"/>
    </xf>
    <xf numFmtId="0" fontId="7" fillId="8" borderId="179" xfId="4" applyFont="1" applyFill="1" applyBorder="1" applyAlignment="1">
      <alignment vertical="top"/>
    </xf>
    <xf numFmtId="3" fontId="7" fillId="8" borderId="180" xfId="4" applyNumberFormat="1" applyFont="1" applyFill="1" applyBorder="1" applyAlignment="1">
      <alignment vertical="top"/>
    </xf>
    <xf numFmtId="43" fontId="7" fillId="8" borderId="180" xfId="1" applyFont="1" applyFill="1" applyBorder="1" applyAlignment="1">
      <alignment vertical="top"/>
    </xf>
    <xf numFmtId="3" fontId="7" fillId="25" borderId="180" xfId="4" applyNumberFormat="1" applyFont="1" applyFill="1" applyBorder="1" applyAlignment="1">
      <alignment vertical="top"/>
    </xf>
    <xf numFmtId="0" fontId="7" fillId="8" borderId="179" xfId="4" applyFont="1" applyFill="1" applyBorder="1" applyAlignment="1">
      <alignment vertical="center"/>
    </xf>
    <xf numFmtId="3" fontId="7" fillId="8" borderId="180" xfId="4" applyNumberFormat="1" applyFont="1" applyFill="1" applyBorder="1" applyAlignment="1">
      <alignment vertical="center"/>
    </xf>
    <xf numFmtId="43" fontId="31" fillId="8" borderId="180" xfId="1" applyFont="1" applyFill="1" applyBorder="1" applyAlignment="1">
      <alignment vertical="center"/>
    </xf>
    <xf numFmtId="43" fontId="7" fillId="8" borderId="180" xfId="1" applyFont="1" applyFill="1" applyBorder="1" applyAlignment="1">
      <alignment vertical="center"/>
    </xf>
    <xf numFmtId="0" fontId="7" fillId="8" borderId="181" xfId="4" applyFont="1" applyFill="1" applyBorder="1" applyAlignment="1">
      <alignment vertical="top"/>
    </xf>
    <xf numFmtId="3" fontId="31" fillId="8" borderId="180" xfId="4" applyNumberFormat="1" applyFont="1" applyFill="1" applyBorder="1" applyAlignment="1">
      <alignment vertical="top"/>
    </xf>
    <xf numFmtId="43" fontId="31" fillId="8" borderId="180" xfId="1" applyFont="1" applyFill="1" applyBorder="1" applyAlignment="1">
      <alignment vertical="top"/>
    </xf>
    <xf numFmtId="0" fontId="7" fillId="8" borderId="191" xfId="4" applyFont="1" applyFill="1" applyBorder="1" applyAlignment="1">
      <alignment vertical="top"/>
    </xf>
    <xf numFmtId="3" fontId="31" fillId="8" borderId="190" xfId="4" applyNumberFormat="1" applyFont="1" applyFill="1" applyBorder="1" applyAlignment="1">
      <alignment vertical="top"/>
    </xf>
    <xf numFmtId="3" fontId="25" fillId="6" borderId="181" xfId="4" applyNumberFormat="1" applyFont="1" applyFill="1" applyBorder="1" applyAlignment="1">
      <alignment vertical="center"/>
    </xf>
    <xf numFmtId="3" fontId="25" fillId="22" borderId="180" xfId="4" applyNumberFormat="1" applyFont="1" applyFill="1" applyBorder="1" applyAlignment="1">
      <alignment vertical="center"/>
    </xf>
    <xf numFmtId="3" fontId="31" fillId="0" borderId="180" xfId="4" applyNumberFormat="1" applyFont="1" applyFill="1" applyBorder="1" applyAlignment="1">
      <alignment horizontal="right" vertical="center"/>
    </xf>
    <xf numFmtId="43" fontId="7" fillId="0" borderId="180" xfId="1" applyFont="1" applyFill="1" applyBorder="1" applyAlignment="1">
      <alignment vertical="top"/>
    </xf>
    <xf numFmtId="3" fontId="31" fillId="0" borderId="190" xfId="4" applyNumberFormat="1" applyFont="1" applyFill="1" applyBorder="1" applyAlignment="1"/>
    <xf numFmtId="3" fontId="31" fillId="0" borderId="190" xfId="4" applyNumberFormat="1" applyFont="1" applyFill="1" applyBorder="1" applyAlignment="1">
      <alignment horizontal="right" vertical="center"/>
    </xf>
    <xf numFmtId="3" fontId="29" fillId="0" borderId="190" xfId="4" applyNumberFormat="1" applyFont="1" applyFill="1" applyBorder="1" applyAlignment="1">
      <alignment horizontal="right" vertical="center"/>
    </xf>
    <xf numFmtId="43" fontId="33" fillId="0" borderId="174" xfId="1" applyFont="1" applyFill="1" applyBorder="1" applyAlignment="1">
      <alignment vertical="center"/>
    </xf>
    <xf numFmtId="0" fontId="32" fillId="0" borderId="35" xfId="0" applyFont="1" applyFill="1" applyBorder="1" applyAlignment="1">
      <alignment horizontal="center" vertical="center" wrapText="1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18" fillId="56" borderId="0" xfId="0" applyNumberFormat="1" applyFont="1" applyFill="1" applyBorder="1" applyAlignment="1">
      <alignment vertical="top"/>
    </xf>
    <xf numFmtId="0" fontId="29" fillId="0" borderId="119" xfId="4" applyFont="1" applyFill="1" applyBorder="1" applyAlignment="1">
      <alignment vertical="center"/>
    </xf>
    <xf numFmtId="3" fontId="31" fillId="25" borderId="180" xfId="4" applyNumberFormat="1" applyFont="1" applyFill="1" applyBorder="1" applyAlignment="1">
      <alignment vertical="center"/>
    </xf>
    <xf numFmtId="3" fontId="31" fillId="0" borderId="180" xfId="4" applyNumberFormat="1" applyFont="1" applyFill="1" applyBorder="1" applyAlignment="1">
      <alignment vertical="top"/>
    </xf>
    <xf numFmtId="3" fontId="7" fillId="8" borderId="183" xfId="4" applyNumberFormat="1" applyFont="1" applyFill="1" applyBorder="1" applyAlignment="1">
      <alignment vertical="center" wrapText="1"/>
    </xf>
    <xf numFmtId="3" fontId="7" fillId="8" borderId="180" xfId="0" applyNumberFormat="1" applyFont="1" applyFill="1" applyBorder="1" applyAlignment="1">
      <alignment vertical="center"/>
    </xf>
    <xf numFmtId="3" fontId="32" fillId="8" borderId="179" xfId="6" applyNumberFormat="1" applyFont="1" applyFill="1" applyBorder="1" applyAlignment="1">
      <alignment vertical="center"/>
    </xf>
    <xf numFmtId="3" fontId="27" fillId="0" borderId="176" xfId="4" applyNumberFormat="1" applyFont="1" applyFill="1" applyBorder="1" applyAlignment="1">
      <alignment horizontal="right" vertical="center"/>
    </xf>
    <xf numFmtId="43" fontId="7" fillId="0" borderId="171" xfId="1" applyFont="1" applyFill="1" applyBorder="1" applyAlignment="1">
      <alignment horizontal="right" vertical="center"/>
    </xf>
    <xf numFmtId="43" fontId="7" fillId="0" borderId="171" xfId="1" applyNumberFormat="1" applyFont="1" applyFill="1" applyBorder="1" applyAlignment="1">
      <alignment horizontal="right" vertical="center"/>
    </xf>
    <xf numFmtId="3" fontId="31" fillId="23" borderId="179" xfId="4" applyNumberFormat="1" applyFont="1" applyFill="1" applyBorder="1" applyAlignment="1">
      <alignment vertical="center"/>
    </xf>
    <xf numFmtId="43" fontId="27" fillId="0" borderId="171" xfId="1" applyFont="1" applyFill="1" applyBorder="1" applyAlignment="1">
      <alignment horizontal="right" vertical="center"/>
    </xf>
    <xf numFmtId="3" fontId="33" fillId="0" borderId="35" xfId="6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horizontal="right" vertical="center"/>
    </xf>
    <xf numFmtId="3" fontId="27" fillId="21" borderId="72" xfId="4" applyNumberFormat="1" applyFont="1" applyFill="1" applyBorder="1" applyAlignment="1">
      <alignment horizontal="right" vertical="center"/>
    </xf>
    <xf numFmtId="3" fontId="27" fillId="21" borderId="189" xfId="4" applyNumberFormat="1" applyFont="1" applyFill="1" applyBorder="1" applyAlignment="1">
      <alignment horizontal="right" vertical="center"/>
    </xf>
    <xf numFmtId="3" fontId="27" fillId="25" borderId="179" xfId="0" applyNumberFormat="1" applyFont="1" applyFill="1" applyBorder="1" applyAlignment="1">
      <alignment vertical="center"/>
    </xf>
    <xf numFmtId="0" fontId="7" fillId="3" borderId="1" xfId="0" quotePrefix="1" applyFont="1" applyFill="1" applyBorder="1" applyAlignment="1">
      <alignment horizontal="center"/>
    </xf>
    <xf numFmtId="3" fontId="69" fillId="5" borderId="83" xfId="0" applyNumberFormat="1" applyFont="1" applyFill="1" applyBorder="1" applyAlignment="1">
      <alignment horizontal="right" vertical="center" wrapText="1"/>
    </xf>
    <xf numFmtId="3" fontId="36" fillId="3" borderId="82" xfId="0" applyNumberFormat="1" applyFont="1" applyFill="1" applyBorder="1" applyAlignment="1">
      <alignment vertical="center" wrapText="1"/>
    </xf>
    <xf numFmtId="3" fontId="36" fillId="3" borderId="66" xfId="0" applyNumberFormat="1" applyFont="1" applyFill="1" applyBorder="1" applyAlignment="1">
      <alignment vertical="center" wrapText="1"/>
    </xf>
    <xf numFmtId="3" fontId="7" fillId="0" borderId="26" xfId="0" applyNumberFormat="1" applyFont="1" applyFill="1" applyBorder="1" applyAlignment="1">
      <alignment vertical="center" wrapText="1"/>
    </xf>
    <xf numFmtId="3" fontId="69" fillId="7" borderId="187" xfId="0" applyNumberFormat="1" applyFont="1" applyFill="1" applyBorder="1" applyAlignment="1">
      <alignment horizontal="right" vertical="center" wrapText="1"/>
    </xf>
    <xf numFmtId="3" fontId="64" fillId="9" borderId="82" xfId="0" applyNumberFormat="1" applyFont="1" applyFill="1" applyBorder="1" applyAlignment="1">
      <alignment horizontal="right" vertical="center" wrapText="1"/>
    </xf>
    <xf numFmtId="3" fontId="6" fillId="3" borderId="82" xfId="0" applyNumberFormat="1" applyFont="1" applyFill="1" applyBorder="1" applyAlignment="1">
      <alignment vertical="center" wrapText="1"/>
    </xf>
    <xf numFmtId="3" fontId="6" fillId="3" borderId="82" xfId="0" applyNumberFormat="1" applyFont="1" applyFill="1" applyBorder="1" applyAlignment="1">
      <alignment horizontal="center" vertical="center" wrapText="1"/>
    </xf>
    <xf numFmtId="3" fontId="64" fillId="9" borderId="187" xfId="0" applyNumberFormat="1" applyFont="1" applyFill="1" applyBorder="1" applyAlignment="1">
      <alignment vertical="center" wrapText="1"/>
    </xf>
    <xf numFmtId="3" fontId="29" fillId="2" borderId="154" xfId="4" applyNumberFormat="1" applyFont="1" applyFill="1" applyBorder="1" applyAlignment="1">
      <alignment vertical="center" wrapText="1"/>
    </xf>
    <xf numFmtId="3" fontId="28" fillId="25" borderId="154" xfId="4" applyNumberFormat="1" applyFont="1" applyFill="1" applyBorder="1" applyAlignment="1">
      <alignment horizontal="right" vertical="center"/>
    </xf>
    <xf numFmtId="43" fontId="25" fillId="6" borderId="154" xfId="1" applyFont="1" applyFill="1" applyBorder="1" applyAlignment="1">
      <alignment horizontal="right" vertical="center"/>
    </xf>
    <xf numFmtId="43" fontId="27" fillId="0" borderId="154" xfId="1" applyFont="1" applyFill="1" applyBorder="1" applyAlignment="1">
      <alignment horizontal="right" vertical="center"/>
    </xf>
    <xf numFmtId="3" fontId="31" fillId="0" borderId="195" xfId="4" applyNumberFormat="1" applyFont="1" applyFill="1" applyBorder="1" applyAlignment="1">
      <alignment vertical="center"/>
    </xf>
    <xf numFmtId="43" fontId="31" fillId="0" borderId="154" xfId="1" applyFont="1" applyFill="1" applyBorder="1" applyAlignment="1">
      <alignment horizontal="right" vertical="center"/>
    </xf>
    <xf numFmtId="0" fontId="28" fillId="62" borderId="154" xfId="4" applyFont="1" applyFill="1" applyBorder="1" applyAlignment="1">
      <alignment vertical="top"/>
    </xf>
    <xf numFmtId="3" fontId="63" fillId="62" borderId="154" xfId="6" applyNumberFormat="1" applyFont="1" applyFill="1" applyBorder="1" applyAlignment="1">
      <alignment vertical="center"/>
    </xf>
    <xf numFmtId="43" fontId="38" fillId="62" borderId="180" xfId="1" applyFont="1" applyFill="1" applyBorder="1" applyAlignment="1">
      <alignment horizontal="right" vertical="center"/>
    </xf>
    <xf numFmtId="43" fontId="28" fillId="62" borderId="154" xfId="1" applyFont="1" applyFill="1" applyBorder="1" applyAlignment="1">
      <alignment horizontal="right" vertical="center"/>
    </xf>
    <xf numFmtId="3" fontId="38" fillId="62" borderId="154" xfId="4" applyNumberFormat="1" applyFont="1" applyFill="1" applyBorder="1" applyAlignment="1">
      <alignment horizontal="right" vertical="center"/>
    </xf>
    <xf numFmtId="0" fontId="28" fillId="61" borderId="154" xfId="4" applyFont="1" applyFill="1" applyBorder="1" applyAlignment="1">
      <alignment vertical="top"/>
    </xf>
    <xf numFmtId="3" fontId="63" fillId="61" borderId="154" xfId="6" applyNumberFormat="1" applyFont="1" applyFill="1" applyBorder="1" applyAlignment="1">
      <alignment vertical="center"/>
    </xf>
    <xf numFmtId="43" fontId="38" fillId="61" borderId="180" xfId="1" applyFont="1" applyFill="1" applyBorder="1" applyAlignment="1">
      <alignment horizontal="right" vertical="center"/>
    </xf>
    <xf numFmtId="43" fontId="28" fillId="61" borderId="154" xfId="1" applyFont="1" applyFill="1" applyBorder="1" applyAlignment="1">
      <alignment horizontal="right" vertical="center"/>
    </xf>
    <xf numFmtId="3" fontId="38" fillId="61" borderId="154" xfId="4" applyNumberFormat="1" applyFont="1" applyFill="1" applyBorder="1" applyAlignment="1">
      <alignment horizontal="right" vertical="center"/>
    </xf>
    <xf numFmtId="0" fontId="7" fillId="62" borderId="154" xfId="4" applyFont="1" applyFill="1" applyBorder="1" applyAlignment="1">
      <alignment vertical="top"/>
    </xf>
    <xf numFmtId="3" fontId="32" fillId="62" borderId="154" xfId="6" applyNumberFormat="1" applyFont="1" applyFill="1" applyBorder="1" applyAlignment="1">
      <alignment vertical="center"/>
    </xf>
    <xf numFmtId="43" fontId="7" fillId="62" borderId="180" xfId="1" applyFont="1" applyFill="1" applyBorder="1" applyAlignment="1">
      <alignment horizontal="right" vertical="center"/>
    </xf>
    <xf numFmtId="43" fontId="7" fillId="62" borderId="154" xfId="1" applyFont="1" applyFill="1" applyBorder="1" applyAlignment="1">
      <alignment horizontal="right" vertical="center"/>
    </xf>
    <xf numFmtId="3" fontId="7" fillId="62" borderId="154" xfId="4" applyNumberFormat="1" applyFont="1" applyFill="1" applyBorder="1" applyAlignment="1">
      <alignment horizontal="right" vertical="center"/>
    </xf>
    <xf numFmtId="0" fontId="7" fillId="61" borderId="154" xfId="4" applyFont="1" applyFill="1" applyBorder="1" applyAlignment="1">
      <alignment vertical="top"/>
    </xf>
    <xf numFmtId="0" fontId="32" fillId="61" borderId="154" xfId="0" applyFont="1" applyFill="1" applyBorder="1" applyAlignment="1">
      <alignment horizontal="center" vertical="center" wrapText="1"/>
    </xf>
    <xf numFmtId="3" fontId="32" fillId="61" borderId="154" xfId="6" applyNumberFormat="1" applyFont="1" applyFill="1" applyBorder="1" applyAlignment="1">
      <alignment vertical="center"/>
    </xf>
    <xf numFmtId="43" fontId="7" fillId="61" borderId="180" xfId="1" applyFont="1" applyFill="1" applyBorder="1" applyAlignment="1">
      <alignment horizontal="right" vertical="center"/>
    </xf>
    <xf numFmtId="43" fontId="7" fillId="61" borderId="154" xfId="1" applyFont="1" applyFill="1" applyBorder="1" applyAlignment="1">
      <alignment horizontal="right" vertical="center"/>
    </xf>
    <xf numFmtId="3" fontId="7" fillId="61" borderId="154" xfId="4" applyNumberFormat="1" applyFont="1" applyFill="1" applyBorder="1" applyAlignment="1">
      <alignment horizontal="right" vertical="center"/>
    </xf>
    <xf numFmtId="43" fontId="24" fillId="6" borderId="154" xfId="1" applyFont="1" applyFill="1" applyBorder="1" applyAlignment="1"/>
    <xf numFmtId="43" fontId="25" fillId="6" borderId="174" xfId="1" applyFont="1" applyFill="1" applyBorder="1" applyAlignment="1">
      <alignment horizontal="right" vertical="center"/>
    </xf>
    <xf numFmtId="43" fontId="27" fillId="0" borderId="174" xfId="1" applyFont="1" applyFill="1" applyBorder="1" applyAlignment="1">
      <alignment horizontal="right" vertical="center"/>
    </xf>
    <xf numFmtId="43" fontId="31" fillId="0" borderId="173" xfId="1" applyFont="1" applyFill="1" applyBorder="1" applyAlignment="1">
      <alignment vertical="center"/>
    </xf>
    <xf numFmtId="43" fontId="31" fillId="0" borderId="174" xfId="1" applyFont="1" applyFill="1" applyBorder="1" applyAlignment="1">
      <alignment horizontal="right" vertical="center"/>
    </xf>
    <xf numFmtId="0" fontId="38" fillId="62" borderId="174" xfId="4" applyFont="1" applyFill="1" applyBorder="1" applyAlignment="1">
      <alignment vertical="top"/>
    </xf>
    <xf numFmtId="3" fontId="63" fillId="62" borderId="174" xfId="6" applyNumberFormat="1" applyFont="1" applyFill="1" applyBorder="1" applyAlignment="1">
      <alignment vertical="center"/>
    </xf>
    <xf numFmtId="43" fontId="38" fillId="62" borderId="174" xfId="1" applyFont="1" applyFill="1" applyBorder="1" applyAlignment="1">
      <alignment horizontal="right" vertical="center"/>
    </xf>
    <xf numFmtId="43" fontId="28" fillId="62" borderId="174" xfId="1" applyFont="1" applyFill="1" applyBorder="1" applyAlignment="1">
      <alignment horizontal="right" vertical="center"/>
    </xf>
    <xf numFmtId="3" fontId="38" fillId="62" borderId="174" xfId="4" applyNumberFormat="1" applyFont="1" applyFill="1" applyBorder="1" applyAlignment="1">
      <alignment horizontal="right" vertical="center"/>
    </xf>
    <xf numFmtId="3" fontId="38" fillId="25" borderId="174" xfId="4" applyNumberFormat="1" applyFont="1" applyFill="1" applyBorder="1" applyAlignment="1">
      <alignment horizontal="right" vertical="center"/>
    </xf>
    <xf numFmtId="3" fontId="28" fillId="25" borderId="174" xfId="4" applyNumberFormat="1" applyFont="1" applyFill="1" applyBorder="1" applyAlignment="1">
      <alignment horizontal="right" vertical="center"/>
    </xf>
    <xf numFmtId="0" fontId="38" fillId="57" borderId="174" xfId="4" applyFont="1" applyFill="1" applyBorder="1" applyAlignment="1">
      <alignment vertical="top"/>
    </xf>
    <xf numFmtId="3" fontId="63" fillId="57" borderId="174" xfId="6" applyNumberFormat="1" applyFont="1" applyFill="1" applyBorder="1" applyAlignment="1">
      <alignment vertical="center"/>
    </xf>
    <xf numFmtId="43" fontId="38" fillId="57" borderId="174" xfId="1" applyFont="1" applyFill="1" applyBorder="1" applyAlignment="1">
      <alignment horizontal="right" vertical="center"/>
    </xf>
    <xf numFmtId="43" fontId="28" fillId="57" borderId="174" xfId="1" applyFont="1" applyFill="1" applyBorder="1" applyAlignment="1">
      <alignment horizontal="right" vertical="center"/>
    </xf>
    <xf numFmtId="3" fontId="38" fillId="57" borderId="174" xfId="4" applyNumberFormat="1" applyFont="1" applyFill="1" applyBorder="1" applyAlignment="1">
      <alignment horizontal="right" vertical="center"/>
    </xf>
    <xf numFmtId="3" fontId="31" fillId="25" borderId="180" xfId="4" applyNumberFormat="1" applyFont="1" applyFill="1" applyBorder="1" applyAlignment="1">
      <alignment horizontal="right" vertical="center"/>
    </xf>
    <xf numFmtId="0" fontId="39" fillId="0" borderId="180" xfId="0" applyFont="1" applyBorder="1"/>
    <xf numFmtId="3" fontId="38" fillId="25" borderId="180" xfId="4" applyNumberFormat="1" applyFont="1" applyFill="1" applyBorder="1" applyAlignment="1">
      <alignment horizontal="right" vertical="center"/>
    </xf>
    <xf numFmtId="43" fontId="7" fillId="0" borderId="174" xfId="1" applyFont="1" applyFill="1" applyBorder="1" applyAlignment="1">
      <alignment horizontal="right" vertical="center"/>
    </xf>
    <xf numFmtId="0" fontId="63" fillId="0" borderId="174" xfId="0" applyFont="1" applyFill="1" applyBorder="1" applyAlignment="1">
      <alignment horizontal="center" vertical="center" wrapText="1"/>
    </xf>
    <xf numFmtId="0" fontId="63" fillId="57" borderId="174" xfId="0" applyFont="1" applyFill="1" applyBorder="1" applyAlignment="1">
      <alignment horizontal="center" vertical="center" wrapText="1"/>
    </xf>
    <xf numFmtId="43" fontId="24" fillId="6" borderId="174" xfId="1" applyFont="1" applyFill="1" applyBorder="1" applyAlignment="1"/>
    <xf numFmtId="43" fontId="24" fillId="32" borderId="180" xfId="1" applyFont="1" applyFill="1" applyBorder="1" applyAlignment="1"/>
    <xf numFmtId="3" fontId="31" fillId="32" borderId="180" xfId="4" applyNumberFormat="1" applyFont="1" applyFill="1" applyBorder="1" applyAlignment="1"/>
    <xf numFmtId="43" fontId="31" fillId="32" borderId="180" xfId="1" applyFont="1" applyFill="1" applyBorder="1" applyAlignment="1"/>
    <xf numFmtId="41" fontId="24" fillId="6" borderId="179" xfId="4" applyNumberFormat="1" applyFont="1" applyFill="1" applyBorder="1" applyAlignment="1">
      <alignment vertical="center"/>
    </xf>
    <xf numFmtId="41" fontId="33" fillId="0" borderId="180" xfId="6" applyNumberFormat="1" applyFont="1" applyFill="1" applyBorder="1" applyAlignment="1">
      <alignment vertical="center"/>
    </xf>
    <xf numFmtId="41" fontId="7" fillId="0" borderId="190" xfId="4" applyNumberFormat="1" applyFont="1" applyFill="1" applyBorder="1" applyAlignment="1">
      <alignment horizontal="right" vertical="center"/>
    </xf>
    <xf numFmtId="43" fontId="24" fillId="6" borderId="179" xfId="1" applyNumberFormat="1" applyFont="1" applyFill="1" applyBorder="1" applyAlignment="1">
      <alignment vertical="center"/>
    </xf>
    <xf numFmtId="43" fontId="7" fillId="0" borderId="171" xfId="4" applyNumberFormat="1" applyFont="1" applyFill="1" applyBorder="1" applyAlignment="1">
      <alignment horizontal="right" vertical="center"/>
    </xf>
    <xf numFmtId="166" fontId="31" fillId="0" borderId="171" xfId="4" applyNumberFormat="1" applyFont="1" applyFill="1" applyBorder="1" applyAlignment="1">
      <alignment vertical="center"/>
    </xf>
    <xf numFmtId="166" fontId="7" fillId="0" borderId="171" xfId="1" applyNumberFormat="1" applyFont="1" applyFill="1" applyBorder="1" applyAlignment="1">
      <alignment horizontal="right" vertical="center"/>
    </xf>
    <xf numFmtId="43" fontId="27" fillId="0" borderId="171" xfId="1" applyNumberFormat="1" applyFont="1" applyFill="1" applyBorder="1" applyAlignment="1">
      <alignment horizontal="right" vertical="center"/>
    </xf>
    <xf numFmtId="43" fontId="27" fillId="0" borderId="171" xfId="4" applyNumberFormat="1" applyFont="1" applyFill="1" applyBorder="1" applyAlignment="1">
      <alignment horizontal="right" vertical="center"/>
    </xf>
    <xf numFmtId="3" fontId="24" fillId="6" borderId="179" xfId="1" applyNumberFormat="1" applyFont="1" applyFill="1" applyBorder="1" applyAlignment="1">
      <alignment vertical="center"/>
    </xf>
    <xf numFmtId="166" fontId="27" fillId="0" borderId="171" xfId="1" applyNumberFormat="1" applyFont="1" applyFill="1" applyBorder="1" applyAlignment="1">
      <alignment horizontal="right" vertical="center"/>
    </xf>
    <xf numFmtId="43" fontId="33" fillId="0" borderId="180" xfId="1" applyNumberFormat="1" applyFont="1" applyFill="1" applyBorder="1" applyAlignment="1">
      <alignment vertical="center"/>
    </xf>
    <xf numFmtId="166" fontId="7" fillId="0" borderId="179" xfId="1" applyNumberFormat="1" applyFont="1" applyFill="1" applyBorder="1" applyAlignment="1">
      <alignment horizontal="right" vertical="center"/>
    </xf>
    <xf numFmtId="43" fontId="7" fillId="0" borderId="180" xfId="1" applyNumberFormat="1" applyFont="1" applyFill="1" applyBorder="1" applyAlignment="1">
      <alignment horizontal="right" vertical="center"/>
    </xf>
    <xf numFmtId="43" fontId="7" fillId="0" borderId="179" xfId="1" applyNumberFormat="1" applyFont="1" applyFill="1" applyBorder="1" applyAlignment="1">
      <alignment horizontal="right" vertical="center"/>
    </xf>
    <xf numFmtId="3" fontId="27" fillId="2" borderId="36" xfId="4" applyNumberFormat="1" applyFont="1" applyFill="1" applyBorder="1" applyAlignment="1">
      <alignment vertical="center" wrapText="1"/>
    </xf>
    <xf numFmtId="43" fontId="33" fillId="0" borderId="35" xfId="1" applyNumberFormat="1" applyFont="1" applyFill="1" applyBorder="1" applyAlignment="1">
      <alignment vertical="center"/>
    </xf>
    <xf numFmtId="43" fontId="33" fillId="0" borderId="35" xfId="6" applyNumberFormat="1" applyFont="1" applyFill="1" applyBorder="1" applyAlignment="1">
      <alignment vertical="center"/>
    </xf>
    <xf numFmtId="43" fontId="7" fillId="0" borderId="190" xfId="1" applyNumberFormat="1" applyFont="1" applyFill="1" applyBorder="1" applyAlignment="1">
      <alignment horizontal="right" vertical="center"/>
    </xf>
    <xf numFmtId="43" fontId="7" fillId="0" borderId="190" xfId="4" applyNumberFormat="1" applyFont="1" applyFill="1" applyBorder="1" applyAlignment="1">
      <alignment horizontal="right" vertical="center"/>
    </xf>
    <xf numFmtId="0" fontId="68" fillId="0" borderId="196" xfId="0" applyFont="1" applyBorder="1" applyAlignment="1">
      <alignment horizontal="center" vertical="center"/>
    </xf>
    <xf numFmtId="3" fontId="8" fillId="6" borderId="163" xfId="0" applyNumberFormat="1" applyFont="1" applyFill="1" applyBorder="1"/>
    <xf numFmtId="3" fontId="6" fillId="6" borderId="118" xfId="0" applyNumberFormat="1" applyFont="1" applyFill="1" applyBorder="1"/>
    <xf numFmtId="3" fontId="36" fillId="15" borderId="51" xfId="0" applyNumberFormat="1" applyFont="1" applyFill="1" applyBorder="1" applyAlignment="1">
      <alignment vertical="center"/>
    </xf>
    <xf numFmtId="3" fontId="8" fillId="6" borderId="118" xfId="0" applyNumberFormat="1" applyFont="1" applyFill="1" applyBorder="1"/>
    <xf numFmtId="3" fontId="8" fillId="8" borderId="163" xfId="0" applyNumberFormat="1" applyFont="1" applyFill="1" applyBorder="1"/>
    <xf numFmtId="3" fontId="8" fillId="8" borderId="118" xfId="0" applyNumberFormat="1" applyFont="1" applyFill="1" applyBorder="1"/>
    <xf numFmtId="3" fontId="19" fillId="16" borderId="51" xfId="5" applyNumberFormat="1" applyFont="1" applyFill="1" applyBorder="1"/>
    <xf numFmtId="3" fontId="68" fillId="17" borderId="7" xfId="0" applyNumberFormat="1" applyFont="1" applyFill="1" applyBorder="1"/>
    <xf numFmtId="3" fontId="36" fillId="18" borderId="24" xfId="0" applyNumberFormat="1" applyFont="1" applyFill="1" applyBorder="1" applyAlignment="1">
      <alignment vertical="center"/>
    </xf>
    <xf numFmtId="3" fontId="6" fillId="11" borderId="18" xfId="0" applyNumberFormat="1" applyFont="1" applyFill="1" applyBorder="1"/>
    <xf numFmtId="3" fontId="6" fillId="11" borderId="163" xfId="0" applyNumberFormat="1" applyFont="1" applyFill="1" applyBorder="1"/>
    <xf numFmtId="3" fontId="6" fillId="11" borderId="118" xfId="0" applyNumberFormat="1" applyFont="1" applyFill="1" applyBorder="1"/>
    <xf numFmtId="3" fontId="82" fillId="18" borderId="51" xfId="0" applyNumberFormat="1" applyFont="1" applyFill="1" applyBorder="1" applyAlignment="1">
      <alignment vertical="top"/>
    </xf>
    <xf numFmtId="3" fontId="36" fillId="18" borderId="51" xfId="0" applyNumberFormat="1" applyFont="1" applyFill="1" applyBorder="1"/>
    <xf numFmtId="0" fontId="68" fillId="0" borderId="156" xfId="0" applyFont="1" applyBorder="1" applyAlignment="1">
      <alignment horizontal="center" vertical="center"/>
    </xf>
    <xf numFmtId="3" fontId="8" fillId="6" borderId="179" xfId="0" applyNumberFormat="1" applyFont="1" applyFill="1" applyBorder="1"/>
    <xf numFmtId="3" fontId="6" fillId="6" borderId="195" xfId="0" applyNumberFormat="1" applyFont="1" applyFill="1" applyBorder="1"/>
    <xf numFmtId="3" fontId="8" fillId="6" borderId="195" xfId="0" applyNumberFormat="1" applyFont="1" applyFill="1" applyBorder="1"/>
    <xf numFmtId="3" fontId="8" fillId="8" borderId="179" xfId="0" applyNumberFormat="1" applyFont="1" applyFill="1" applyBorder="1"/>
    <xf numFmtId="3" fontId="8" fillId="8" borderId="195" xfId="0" applyNumberFormat="1" applyFont="1" applyFill="1" applyBorder="1"/>
    <xf numFmtId="3" fontId="68" fillId="17" borderId="9" xfId="0" applyNumberFormat="1" applyFont="1" applyFill="1" applyBorder="1"/>
    <xf numFmtId="3" fontId="6" fillId="11" borderId="179" xfId="0" applyNumberFormat="1" applyFont="1" applyFill="1" applyBorder="1"/>
    <xf numFmtId="3" fontId="6" fillId="11" borderId="195" xfId="0" applyNumberFormat="1" applyFont="1" applyFill="1" applyBorder="1"/>
    <xf numFmtId="0" fontId="68" fillId="0" borderId="5" xfId="0" applyFont="1" applyBorder="1" applyAlignment="1">
      <alignment horizontal="center" vertical="center"/>
    </xf>
    <xf numFmtId="3" fontId="62" fillId="2" borderId="11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78" fillId="0" borderId="11" xfId="0" applyNumberFormat="1" applyFont="1" applyFill="1" applyBorder="1" applyAlignment="1">
      <alignment vertical="center" wrapText="1"/>
    </xf>
    <xf numFmtId="0" fontId="8" fillId="15" borderId="5" xfId="0" applyFont="1" applyFill="1" applyBorder="1"/>
    <xf numFmtId="3" fontId="36" fillId="15" borderId="25" xfId="0" applyNumberFormat="1" applyFont="1" applyFill="1" applyBorder="1" applyAlignment="1">
      <alignment vertical="center"/>
    </xf>
    <xf numFmtId="3" fontId="8" fillId="6" borderId="119" xfId="0" applyNumberFormat="1" applyFont="1" applyFill="1" applyBorder="1"/>
    <xf numFmtId="3" fontId="6" fillId="6" borderId="74" xfId="0" applyNumberFormat="1" applyFont="1" applyFill="1" applyBorder="1"/>
    <xf numFmtId="3" fontId="82" fillId="12" borderId="11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8" fillId="6" borderId="74" xfId="0" applyNumberFormat="1" applyFont="1" applyFill="1" applyBorder="1"/>
    <xf numFmtId="3" fontId="82" fillId="12" borderId="11" xfId="0" applyNumberFormat="1" applyFont="1" applyFill="1" applyBorder="1"/>
    <xf numFmtId="3" fontId="82" fillId="12" borderId="21" xfId="0" applyNumberFormat="1" applyFont="1" applyFill="1" applyBorder="1"/>
    <xf numFmtId="0" fontId="68" fillId="0" borderId="129" xfId="0" applyFont="1" applyBorder="1" applyAlignment="1">
      <alignment horizontal="center" vertical="center"/>
    </xf>
    <xf numFmtId="0" fontId="8" fillId="16" borderId="5" xfId="0" applyFont="1" applyFill="1" applyBorder="1"/>
    <xf numFmtId="3" fontId="36" fillId="16" borderId="25" xfId="5" applyNumberFormat="1" applyFont="1" applyFill="1" applyBorder="1" applyAlignment="1">
      <alignment vertical="center"/>
    </xf>
    <xf numFmtId="3" fontId="8" fillId="8" borderId="119" xfId="0" applyNumberFormat="1" applyFont="1" applyFill="1" applyBorder="1"/>
    <xf numFmtId="3" fontId="8" fillId="8" borderId="74" xfId="0" applyNumberFormat="1" applyFont="1" applyFill="1" applyBorder="1"/>
    <xf numFmtId="3" fontId="83" fillId="17" borderId="11" xfId="0" applyNumberFormat="1" applyFont="1" applyFill="1" applyBorder="1"/>
    <xf numFmtId="3" fontId="83" fillId="8" borderId="11" xfId="0" applyNumberFormat="1" applyFont="1" applyFill="1" applyBorder="1"/>
    <xf numFmtId="3" fontId="19" fillId="8" borderId="11" xfId="0" applyNumberFormat="1" applyFont="1" applyFill="1" applyBorder="1"/>
    <xf numFmtId="3" fontId="19" fillId="16" borderId="52" xfId="5" applyNumberFormat="1" applyFont="1" applyFill="1" applyBorder="1"/>
    <xf numFmtId="3" fontId="68" fillId="17" borderId="21" xfId="0" applyNumberFormat="1" applyFont="1" applyFill="1" applyBorder="1"/>
    <xf numFmtId="0" fontId="8" fillId="18" borderId="5" xfId="0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6" fillId="11" borderId="19" xfId="0" applyNumberFormat="1" applyFont="1" applyFill="1" applyBorder="1"/>
    <xf numFmtId="3" fontId="6" fillId="11" borderId="119" xfId="0" applyNumberFormat="1" applyFont="1" applyFill="1" applyBorder="1"/>
    <xf numFmtId="3" fontId="6" fillId="11" borderId="74" xfId="0" applyNumberFormat="1" applyFont="1" applyFill="1" applyBorder="1"/>
    <xf numFmtId="3" fontId="82" fillId="18" borderId="52" xfId="0" applyNumberFormat="1" applyFont="1" applyFill="1" applyBorder="1" applyAlignment="1">
      <alignment vertical="top"/>
    </xf>
    <xf numFmtId="3" fontId="82" fillId="2" borderId="11" xfId="0" applyNumberFormat="1" applyFont="1" applyFill="1" applyBorder="1" applyAlignment="1">
      <alignment vertical="top"/>
    </xf>
    <xf numFmtId="3" fontId="36" fillId="18" borderId="52" xfId="0" applyNumberFormat="1" applyFont="1" applyFill="1" applyBorder="1"/>
    <xf numFmtId="3" fontId="8" fillId="18" borderId="25" xfId="0" applyNumberFormat="1" applyFont="1" applyFill="1" applyBorder="1"/>
    <xf numFmtId="3" fontId="38" fillId="0" borderId="180" xfId="4" applyNumberFormat="1" applyFont="1" applyFill="1" applyBorder="1" applyAlignment="1">
      <alignment horizontal="right" vertical="center"/>
    </xf>
    <xf numFmtId="0" fontId="39" fillId="0" borderId="170" xfId="0" applyFont="1" applyBorder="1"/>
    <xf numFmtId="3" fontId="37" fillId="0" borderId="180" xfId="0" applyNumberFormat="1" applyFont="1" applyBorder="1"/>
    <xf numFmtId="3" fontId="8" fillId="0" borderId="180" xfId="0" applyNumberFormat="1" applyFont="1" applyBorder="1" applyAlignment="1">
      <alignment vertical="top"/>
    </xf>
    <xf numFmtId="0" fontId="24" fillId="0" borderId="43" xfId="4" applyFont="1" applyFill="1" applyBorder="1" applyAlignment="1">
      <alignment vertical="center" wrapText="1"/>
    </xf>
    <xf numFmtId="3" fontId="23" fillId="6" borderId="155" xfId="6" applyNumberFormat="1" applyFont="1" applyFill="1" applyBorder="1" applyAlignment="1">
      <alignment horizontal="right" vertical="center"/>
    </xf>
    <xf numFmtId="43" fontId="23" fillId="6" borderId="155" xfId="1" applyFont="1" applyFill="1" applyBorder="1" applyAlignment="1">
      <alignment horizontal="right" vertical="center"/>
    </xf>
    <xf numFmtId="3" fontId="25" fillId="22" borderId="165" xfId="4" applyNumberFormat="1" applyFont="1" applyFill="1" applyBorder="1" applyAlignment="1">
      <alignment horizontal="right" vertical="center"/>
    </xf>
    <xf numFmtId="3" fontId="33" fillId="0" borderId="155" xfId="6" applyNumberFormat="1" applyFont="1" applyFill="1" applyBorder="1" applyAlignment="1">
      <alignment horizontal="right" vertical="center"/>
    </xf>
    <xf numFmtId="43" fontId="33" fillId="0" borderId="155" xfId="1" applyFont="1" applyFill="1" applyBorder="1" applyAlignment="1">
      <alignment horizontal="right" vertical="center"/>
    </xf>
    <xf numFmtId="43" fontId="31" fillId="0" borderId="155" xfId="1" applyFont="1" applyFill="1" applyBorder="1" applyAlignment="1">
      <alignment horizontal="right" vertical="center"/>
    </xf>
    <xf numFmtId="43" fontId="31" fillId="0" borderId="195" xfId="1" applyFont="1" applyFill="1" applyBorder="1" applyAlignment="1">
      <alignment vertical="center"/>
    </xf>
    <xf numFmtId="3" fontId="24" fillId="22" borderId="165" xfId="4" applyNumberFormat="1" applyFont="1" applyFill="1" applyBorder="1" applyAlignment="1">
      <alignment horizontal="right" vertical="center"/>
    </xf>
    <xf numFmtId="3" fontId="32" fillId="0" borderId="165" xfId="6" applyNumberFormat="1" applyFont="1" applyFill="1" applyBorder="1" applyAlignment="1">
      <alignment vertical="center"/>
    </xf>
    <xf numFmtId="3" fontId="25" fillId="6" borderId="165" xfId="4" applyNumberFormat="1" applyFont="1" applyFill="1" applyBorder="1" applyAlignment="1">
      <alignment horizontal="right" vertical="center"/>
    </xf>
    <xf numFmtId="3" fontId="33" fillId="0" borderId="165" xfId="6" applyNumberFormat="1" applyFont="1" applyFill="1" applyBorder="1" applyAlignment="1">
      <alignment vertical="center"/>
    </xf>
    <xf numFmtId="3" fontId="7" fillId="0" borderId="165" xfId="4" applyNumberFormat="1" applyFont="1" applyFill="1" applyBorder="1" applyAlignment="1">
      <alignment horizontal="right" vertical="center"/>
    </xf>
    <xf numFmtId="3" fontId="27" fillId="2" borderId="165" xfId="4" applyNumberFormat="1" applyFont="1" applyFill="1" applyBorder="1" applyAlignment="1">
      <alignment vertical="center"/>
    </xf>
    <xf numFmtId="3" fontId="7" fillId="0" borderId="155" xfId="0" applyNumberFormat="1" applyFont="1" applyFill="1" applyBorder="1" applyAlignment="1">
      <alignment vertical="top"/>
    </xf>
    <xf numFmtId="3" fontId="27" fillId="0" borderId="165" xfId="4" applyNumberFormat="1" applyFont="1" applyFill="1" applyBorder="1" applyAlignment="1">
      <alignment horizontal="right" vertical="center"/>
    </xf>
    <xf numFmtId="3" fontId="31" fillId="0" borderId="165" xfId="4" applyNumberFormat="1" applyFont="1" applyFill="1" applyBorder="1" applyAlignment="1">
      <alignment vertical="center"/>
    </xf>
    <xf numFmtId="3" fontId="31" fillId="23" borderId="190" xfId="4" applyNumberFormat="1" applyFont="1" applyFill="1" applyBorder="1" applyAlignment="1">
      <alignment vertical="center"/>
    </xf>
    <xf numFmtId="0" fontId="23" fillId="0" borderId="157" xfId="0" applyFont="1" applyFill="1" applyBorder="1" applyAlignment="1">
      <alignment horizontal="center" vertical="center" wrapText="1"/>
    </xf>
    <xf numFmtId="3" fontId="31" fillId="0" borderId="155" xfId="4" applyNumberFormat="1" applyFont="1" applyFill="1" applyBorder="1" applyAlignment="1">
      <alignment horizontal="right" vertical="center"/>
    </xf>
    <xf numFmtId="0" fontId="25" fillId="6" borderId="159" xfId="4" applyFont="1" applyFill="1" applyBorder="1" applyAlignment="1">
      <alignment horizontal="center" vertical="center"/>
    </xf>
    <xf numFmtId="0" fontId="7" fillId="0" borderId="160" xfId="4" applyFont="1" applyFill="1" applyBorder="1" applyAlignment="1">
      <alignment vertical="center"/>
    </xf>
    <xf numFmtId="0" fontId="27" fillId="2" borderId="160" xfId="4" applyFont="1" applyFill="1" applyBorder="1" applyAlignment="1">
      <alignment vertical="center"/>
    </xf>
    <xf numFmtId="43" fontId="32" fillId="0" borderId="155" xfId="1" applyFont="1" applyFill="1" applyBorder="1" applyAlignment="1">
      <alignment vertical="center"/>
    </xf>
    <xf numFmtId="3" fontId="27" fillId="2" borderId="154" xfId="4" applyNumberFormat="1" applyFont="1" applyFill="1" applyBorder="1" applyAlignment="1">
      <alignment vertical="center"/>
    </xf>
    <xf numFmtId="43" fontId="7" fillId="0" borderId="164" xfId="1" applyFont="1" applyFill="1" applyBorder="1" applyAlignment="1">
      <alignment horizontal="right" vertical="center"/>
    </xf>
    <xf numFmtId="43" fontId="32" fillId="0" borderId="165" xfId="1" applyFont="1" applyFill="1" applyBorder="1" applyAlignment="1">
      <alignment vertical="center"/>
    </xf>
    <xf numFmtId="43" fontId="7" fillId="0" borderId="72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vertical="center"/>
    </xf>
    <xf numFmtId="3" fontId="25" fillId="6" borderId="165" xfId="4" applyNumberFormat="1" applyFont="1" applyFill="1" applyBorder="1" applyAlignment="1">
      <alignment vertical="center"/>
    </xf>
    <xf numFmtId="43" fontId="25" fillId="6" borderId="165" xfId="1" applyFont="1" applyFill="1" applyBorder="1" applyAlignment="1">
      <alignment vertical="center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56" xfId="4" applyNumberFormat="1" applyFont="1" applyFill="1" applyBorder="1" applyAlignment="1">
      <alignment horizontal="right" vertical="center"/>
    </xf>
    <xf numFmtId="43" fontId="33" fillId="0" borderId="165" xfId="1" applyFont="1" applyFill="1" applyBorder="1" applyAlignment="1">
      <alignment vertical="center"/>
    </xf>
    <xf numFmtId="43" fontId="24" fillId="6" borderId="165" xfId="1" applyFont="1" applyFill="1" applyBorder="1" applyAlignment="1">
      <alignment vertical="center"/>
    </xf>
    <xf numFmtId="3" fontId="24" fillId="6" borderId="165" xfId="4" applyNumberFormat="1" applyFont="1" applyFill="1" applyBorder="1" applyAlignment="1">
      <alignment vertical="center"/>
    </xf>
    <xf numFmtId="3" fontId="24" fillId="26" borderId="105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0" xfId="6" applyNumberFormat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43" fontId="29" fillId="2" borderId="179" xfId="1" applyFont="1" applyFill="1" applyBorder="1" applyAlignment="1">
      <alignment vertical="center"/>
    </xf>
    <xf numFmtId="43" fontId="31" fillId="0" borderId="179" xfId="1" applyFont="1" applyFill="1" applyBorder="1" applyAlignment="1">
      <alignment vertical="center"/>
    </xf>
    <xf numFmtId="3" fontId="29" fillId="2" borderId="155" xfId="4" applyNumberFormat="1" applyFont="1" applyFill="1" applyBorder="1" applyAlignment="1">
      <alignment vertical="center"/>
    </xf>
    <xf numFmtId="3" fontId="32" fillId="0" borderId="20" xfId="0" applyNumberFormat="1" applyFont="1" applyBorder="1" applyAlignment="1">
      <alignment horizontal="center" vertical="center"/>
    </xf>
    <xf numFmtId="43" fontId="29" fillId="2" borderId="155" xfId="1" applyFont="1" applyFill="1" applyBorder="1" applyAlignment="1">
      <alignment vertical="center"/>
    </xf>
    <xf numFmtId="3" fontId="8" fillId="0" borderId="190" xfId="4" applyNumberFormat="1" applyFont="1" applyFill="1" applyBorder="1" applyAlignment="1">
      <alignment horizontal="right" vertical="center"/>
    </xf>
    <xf numFmtId="3" fontId="8" fillId="0" borderId="132" xfId="4" applyNumberFormat="1" applyFont="1" applyFill="1" applyBorder="1" applyAlignment="1">
      <alignment horizontal="right" vertical="center"/>
    </xf>
    <xf numFmtId="0" fontId="31" fillId="0" borderId="21" xfId="4" applyFont="1" applyFill="1" applyBorder="1" applyAlignment="1">
      <alignment vertical="center"/>
    </xf>
    <xf numFmtId="3" fontId="31" fillId="0" borderId="132" xfId="4" applyNumberFormat="1" applyFont="1" applyFill="1" applyBorder="1" applyAlignment="1">
      <alignment horizontal="right" vertical="center"/>
    </xf>
    <xf numFmtId="0" fontId="24" fillId="8" borderId="180" xfId="4" applyFont="1" applyFill="1" applyBorder="1" applyAlignment="1">
      <alignment vertical="center" wrapText="1"/>
    </xf>
    <xf numFmtId="0" fontId="24" fillId="8" borderId="180" xfId="4" applyFont="1" applyFill="1" applyBorder="1" applyAlignment="1">
      <alignment horizontal="center" vertical="center" wrapText="1"/>
    </xf>
    <xf numFmtId="0" fontId="24" fillId="6" borderId="180" xfId="4" applyFont="1" applyFill="1" applyBorder="1" applyAlignment="1">
      <alignment horizontal="left" vertical="center"/>
    </xf>
    <xf numFmtId="3" fontId="29" fillId="2" borderId="180" xfId="4" applyNumberFormat="1" applyFont="1" applyFill="1" applyBorder="1" applyAlignment="1">
      <alignment vertical="top" wrapText="1"/>
    </xf>
    <xf numFmtId="0" fontId="7" fillId="0" borderId="180" xfId="4" applyFont="1" applyFill="1" applyBorder="1" applyAlignment="1">
      <alignment vertical="top"/>
    </xf>
    <xf numFmtId="0" fontId="29" fillId="2" borderId="180" xfId="4" applyFont="1" applyFill="1" applyBorder="1" applyAlignment="1">
      <alignment vertical="top"/>
    </xf>
    <xf numFmtId="0" fontId="32" fillId="0" borderId="190" xfId="0" applyFont="1" applyBorder="1"/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22" borderId="35" xfId="4" applyNumberFormat="1" applyFont="1" applyFill="1" applyBorder="1" applyAlignment="1">
      <alignment horizontal="right" vertical="center"/>
    </xf>
    <xf numFmtId="0" fontId="32" fillId="0" borderId="116" xfId="0" applyFont="1" applyBorder="1" applyAlignment="1">
      <alignment vertical="center"/>
    </xf>
    <xf numFmtId="3" fontId="25" fillId="6" borderId="170" xfId="4" applyNumberFormat="1" applyFont="1" applyFill="1" applyBorder="1" applyAlignment="1">
      <alignment horizontal="right" vertical="center"/>
    </xf>
    <xf numFmtId="3" fontId="25" fillId="22" borderId="170" xfId="4" applyNumberFormat="1" applyFont="1" applyFill="1" applyBorder="1" applyAlignment="1">
      <alignment horizontal="right" vertical="center"/>
    </xf>
    <xf numFmtId="3" fontId="32" fillId="0" borderId="170" xfId="6" applyNumberFormat="1" applyFont="1" applyFill="1" applyBorder="1" applyAlignment="1">
      <alignment vertical="center"/>
    </xf>
    <xf numFmtId="3" fontId="24" fillId="6" borderId="180" xfId="4" applyNumberFormat="1" applyFont="1" applyFill="1" applyBorder="1" applyAlignment="1">
      <alignment horizontal="right" vertical="center"/>
    </xf>
    <xf numFmtId="3" fontId="29" fillId="2" borderId="180" xfId="4" applyNumberFormat="1" applyFont="1" applyFill="1" applyBorder="1" applyAlignment="1">
      <alignment vertical="center" wrapText="1"/>
    </xf>
    <xf numFmtId="0" fontId="7" fillId="0" borderId="190" xfId="4" applyFont="1" applyFill="1" applyBorder="1" applyAlignment="1">
      <alignment vertical="center"/>
    </xf>
    <xf numFmtId="0" fontId="7" fillId="0" borderId="174" xfId="4" applyFont="1" applyFill="1" applyBorder="1" applyAlignment="1">
      <alignment vertical="center"/>
    </xf>
    <xf numFmtId="0" fontId="27" fillId="2" borderId="92" xfId="4" applyFont="1" applyFill="1" applyBorder="1" applyAlignment="1">
      <alignment vertical="top"/>
    </xf>
    <xf numFmtId="43" fontId="27" fillId="2" borderId="179" xfId="1" applyFont="1" applyFill="1" applyBorder="1" applyAlignment="1">
      <alignment vertical="top"/>
    </xf>
    <xf numFmtId="3" fontId="31" fillId="2" borderId="9" xfId="0" applyNumberFormat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0" borderId="9" xfId="1" applyFont="1" applyFill="1" applyBorder="1" applyAlignment="1">
      <alignment vertical="top"/>
    </xf>
    <xf numFmtId="0" fontId="31" fillId="0" borderId="21" xfId="0" applyFont="1" applyFill="1" applyBorder="1" applyAlignment="1">
      <alignment horizontal="left" vertical="center" wrapText="1"/>
    </xf>
    <xf numFmtId="3" fontId="31" fillId="0" borderId="180" xfId="0" applyNumberFormat="1" applyFont="1" applyFill="1" applyBorder="1" applyAlignment="1">
      <alignment horizontal="right" vertical="center"/>
    </xf>
    <xf numFmtId="3" fontId="25" fillId="25" borderId="10" xfId="0" applyNumberFormat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0" fontId="7" fillId="6" borderId="172" xfId="0" applyFont="1" applyFill="1" applyBorder="1" applyAlignment="1">
      <alignment horizontal="left" vertical="center" wrapText="1"/>
    </xf>
    <xf numFmtId="43" fontId="31" fillId="0" borderId="180" xfId="1" applyFont="1" applyFill="1" applyBorder="1" applyAlignment="1">
      <alignment vertical="top"/>
    </xf>
    <xf numFmtId="0" fontId="27" fillId="2" borderId="163" xfId="4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/>
    </xf>
    <xf numFmtId="3" fontId="38" fillId="0" borderId="154" xfId="0" applyNumberFormat="1" applyFont="1" applyFill="1" applyBorder="1" applyAlignment="1">
      <alignment vertical="center"/>
    </xf>
    <xf numFmtId="3" fontId="38" fillId="0" borderId="116" xfId="0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0" fontId="7" fillId="0" borderId="119" xfId="0" applyFont="1" applyFill="1" applyBorder="1" applyAlignment="1">
      <alignment vertical="center" wrapText="1"/>
    </xf>
    <xf numFmtId="0" fontId="7" fillId="0" borderId="74" xfId="0" applyFont="1" applyFill="1" applyBorder="1" applyAlignment="1">
      <alignment vertical="center" wrapText="1"/>
    </xf>
    <xf numFmtId="0" fontId="19" fillId="0" borderId="66" xfId="4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0" fontId="25" fillId="8" borderId="21" xfId="0" applyFont="1" applyFill="1" applyBorder="1" applyAlignment="1">
      <alignment vertical="center" wrapText="1"/>
    </xf>
    <xf numFmtId="3" fontId="31" fillId="8" borderId="7" xfId="0" applyNumberFormat="1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3" fontId="27" fillId="0" borderId="87" xfId="0" applyNumberFormat="1" applyFont="1" applyFill="1" applyBorder="1" applyAlignment="1">
      <alignment vertical="center"/>
    </xf>
    <xf numFmtId="0" fontId="8" fillId="0" borderId="21" xfId="4" applyFont="1" applyFill="1" applyBorder="1" applyAlignment="1">
      <alignment vertical="center" wrapText="1"/>
    </xf>
    <xf numFmtId="3" fontId="31" fillId="0" borderId="87" xfId="0" applyNumberFormat="1" applyFont="1" applyFill="1" applyBorder="1" applyAlignment="1">
      <alignment vertical="center"/>
    </xf>
    <xf numFmtId="3" fontId="28" fillId="0" borderId="87" xfId="0" applyNumberFormat="1" applyFont="1" applyFill="1" applyBorder="1" applyAlignment="1">
      <alignment vertical="center"/>
    </xf>
    <xf numFmtId="3" fontId="31" fillId="32" borderId="9" xfId="0" applyNumberFormat="1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3" fontId="27" fillId="32" borderId="89" xfId="0" applyNumberFormat="1" applyFont="1" applyFill="1" applyBorder="1" applyAlignment="1">
      <alignment vertical="top"/>
    </xf>
    <xf numFmtId="0" fontId="31" fillId="0" borderId="93" xfId="0" applyFont="1" applyFill="1" applyBorder="1" applyAlignment="1">
      <alignment horizontal="left" vertical="center" wrapText="1"/>
    </xf>
    <xf numFmtId="3" fontId="31" fillId="32" borderId="13" xfId="0" applyNumberFormat="1" applyFont="1" applyFill="1" applyBorder="1" applyAlignment="1">
      <alignment horizontal="right" vertical="center"/>
    </xf>
    <xf numFmtId="3" fontId="31" fillId="32" borderId="116" xfId="0" applyNumberFormat="1" applyFont="1" applyFill="1" applyBorder="1" applyAlignment="1">
      <alignment horizontal="right" vertical="center"/>
    </xf>
    <xf numFmtId="3" fontId="24" fillId="22" borderId="179" xfId="0" applyNumberFormat="1" applyFont="1" applyFill="1" applyBorder="1" applyAlignment="1">
      <alignment vertical="top"/>
    </xf>
    <xf numFmtId="3" fontId="25" fillId="2" borderId="179" xfId="0" applyNumberFormat="1" applyFont="1" applyFill="1" applyBorder="1" applyAlignment="1">
      <alignment vertical="center"/>
    </xf>
    <xf numFmtId="3" fontId="27" fillId="2" borderId="179" xfId="0" applyNumberFormat="1" applyFont="1" applyFill="1" applyBorder="1" applyAlignment="1">
      <alignment vertical="center"/>
    </xf>
    <xf numFmtId="3" fontId="29" fillId="26" borderId="179" xfId="0" applyNumberFormat="1" applyFont="1" applyFill="1" applyBorder="1" applyAlignment="1">
      <alignment vertical="center"/>
    </xf>
    <xf numFmtId="3" fontId="31" fillId="2" borderId="131" xfId="0" applyNumberFormat="1" applyFont="1" applyFill="1" applyBorder="1" applyAlignment="1">
      <alignment vertical="top"/>
    </xf>
    <xf numFmtId="3" fontId="31" fillId="2" borderId="116" xfId="0" applyNumberFormat="1" applyFont="1" applyFill="1" applyBorder="1" applyAlignment="1">
      <alignment vertical="top"/>
    </xf>
    <xf numFmtId="3" fontId="31" fillId="32" borderId="116" xfId="0" applyNumberFormat="1" applyFont="1" applyFill="1" applyBorder="1" applyAlignment="1">
      <alignment vertical="top"/>
    </xf>
    <xf numFmtId="3" fontId="27" fillId="0" borderId="121" xfId="4" applyNumberFormat="1" applyFont="1" applyFill="1" applyBorder="1" applyAlignment="1">
      <alignment vertical="center" wrapText="1"/>
    </xf>
    <xf numFmtId="0" fontId="32" fillId="0" borderId="121" xfId="0" applyFont="1" applyBorder="1" applyAlignment="1">
      <alignment vertical="center"/>
    </xf>
    <xf numFmtId="0" fontId="25" fillId="6" borderId="165" xfId="4" applyFont="1" applyFill="1" applyBorder="1" applyAlignment="1">
      <alignment horizontal="left" vertical="center"/>
    </xf>
    <xf numFmtId="0" fontId="31" fillId="6" borderId="165" xfId="0" applyFont="1" applyFill="1" applyBorder="1" applyAlignment="1">
      <alignment vertical="top"/>
    </xf>
    <xf numFmtId="3" fontId="25" fillId="6" borderId="165" xfId="0" applyNumberFormat="1" applyFont="1" applyFill="1" applyBorder="1" applyAlignment="1">
      <alignment vertical="top"/>
    </xf>
    <xf numFmtId="3" fontId="25" fillId="22" borderId="165" xfId="0" applyNumberFormat="1" applyFont="1" applyFill="1" applyBorder="1" applyAlignment="1">
      <alignment vertical="top"/>
    </xf>
    <xf numFmtId="3" fontId="27" fillId="0" borderId="165" xfId="4" applyNumberFormat="1" applyFont="1" applyFill="1" applyBorder="1" applyAlignment="1">
      <alignment vertical="top" wrapText="1"/>
    </xf>
    <xf numFmtId="3" fontId="27" fillId="0" borderId="165" xfId="0" applyNumberFormat="1" applyFont="1" applyFill="1" applyBorder="1" applyAlignment="1">
      <alignment vertical="top"/>
    </xf>
    <xf numFmtId="3" fontId="25" fillId="25" borderId="165" xfId="0" applyNumberFormat="1" applyFont="1" applyFill="1" applyBorder="1" applyAlignment="1">
      <alignment vertical="top"/>
    </xf>
    <xf numFmtId="0" fontId="32" fillId="0" borderId="165" xfId="0" applyFont="1" applyBorder="1"/>
    <xf numFmtId="3" fontId="31" fillId="0" borderId="165" xfId="0" applyNumberFormat="1" applyFont="1" applyFill="1" applyBorder="1" applyAlignment="1">
      <alignment vertical="top"/>
    </xf>
    <xf numFmtId="3" fontId="31" fillId="2" borderId="165" xfId="0" applyNumberFormat="1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0" fontId="32" fillId="0" borderId="165" xfId="0" applyFont="1" applyBorder="1" applyAlignment="1">
      <alignment vertical="center"/>
    </xf>
    <xf numFmtId="3" fontId="31" fillId="2" borderId="165" xfId="0" applyNumberFormat="1" applyFont="1" applyFill="1" applyBorder="1" applyAlignment="1">
      <alignment vertical="center"/>
    </xf>
    <xf numFmtId="3" fontId="31" fillId="23" borderId="165" xfId="0" applyNumberFormat="1" applyFont="1" applyFill="1" applyBorder="1" applyAlignment="1">
      <alignment vertical="top"/>
    </xf>
    <xf numFmtId="0" fontId="33" fillId="0" borderId="165" xfId="0" applyFont="1" applyBorder="1" applyAlignment="1">
      <alignment vertical="center"/>
    </xf>
    <xf numFmtId="3" fontId="27" fillId="0" borderId="165" xfId="0" applyNumberFormat="1" applyFont="1" applyFill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65" xfId="0" applyFont="1" applyFill="1" applyBorder="1" applyAlignment="1">
      <alignment vertical="center"/>
    </xf>
    <xf numFmtId="3" fontId="25" fillId="6" borderId="165" xfId="0" applyNumberFormat="1" applyFont="1" applyFill="1" applyBorder="1" applyAlignment="1">
      <alignment vertical="center"/>
    </xf>
    <xf numFmtId="3" fontId="27" fillId="0" borderId="165" xfId="4" applyNumberFormat="1" applyFont="1" applyFill="1" applyBorder="1" applyAlignment="1">
      <alignment vertical="center" wrapText="1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0" borderId="35" xfId="0" applyNumberFormat="1" applyFont="1" applyFill="1" applyBorder="1" applyAlignment="1">
      <alignment vertical="top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21" xfId="4" applyNumberFormat="1" applyFont="1" applyFill="1" applyBorder="1" applyAlignment="1">
      <alignment vertical="center" wrapText="1"/>
    </xf>
    <xf numFmtId="0" fontId="31" fillId="6" borderId="180" xfId="0" applyFont="1" applyFill="1" applyBorder="1" applyAlignment="1">
      <alignment vertical="top"/>
    </xf>
    <xf numFmtId="3" fontId="27" fillId="0" borderId="180" xfId="4" applyNumberFormat="1" applyFont="1" applyFill="1" applyBorder="1" applyAlignment="1">
      <alignment vertical="top" wrapText="1"/>
    </xf>
    <xf numFmtId="0" fontId="32" fillId="0" borderId="180" xfId="0" applyFont="1" applyBorder="1"/>
    <xf numFmtId="3" fontId="31" fillId="2" borderId="180" xfId="0" applyNumberFormat="1" applyFont="1" applyFill="1" applyBorder="1" applyAlignment="1">
      <alignment vertical="top"/>
    </xf>
    <xf numFmtId="0" fontId="32" fillId="0" borderId="180" xfId="0" applyFont="1" applyBorder="1" applyAlignment="1">
      <alignment vertical="center"/>
    </xf>
    <xf numFmtId="3" fontId="31" fillId="2" borderId="180" xfId="0" applyNumberFormat="1" applyFont="1" applyFill="1" applyBorder="1" applyAlignment="1">
      <alignment vertical="center"/>
    </xf>
    <xf numFmtId="0" fontId="33" fillId="0" borderId="180" xfId="0" applyFont="1" applyBorder="1" applyAlignment="1">
      <alignment vertical="center"/>
    </xf>
    <xf numFmtId="0" fontId="31" fillId="6" borderId="180" xfId="0" applyFont="1" applyFill="1" applyBorder="1" applyAlignment="1">
      <alignment vertical="center"/>
    </xf>
    <xf numFmtId="43" fontId="27" fillId="0" borderId="35" xfId="1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3" fontId="31" fillId="0" borderId="197" xfId="4" applyNumberFormat="1" applyFont="1" applyFill="1" applyBorder="1" applyAlignment="1">
      <alignment vertical="center"/>
    </xf>
    <xf numFmtId="43" fontId="31" fillId="0" borderId="197" xfId="1" applyFont="1" applyFill="1" applyBorder="1" applyAlignment="1"/>
    <xf numFmtId="3" fontId="31" fillId="2" borderId="35" xfId="0" applyNumberFormat="1" applyFont="1" applyFill="1" applyBorder="1" applyAlignment="1">
      <alignment vertical="center"/>
    </xf>
    <xf numFmtId="3" fontId="31" fillId="23" borderId="35" xfId="0" applyNumberFormat="1" applyFont="1" applyFill="1" applyBorder="1" applyAlignment="1">
      <alignment vertical="top"/>
    </xf>
    <xf numFmtId="0" fontId="24" fillId="8" borderId="19" xfId="4" applyFont="1" applyFill="1" applyBorder="1" applyAlignment="1">
      <alignment horizontal="left" vertical="center" wrapText="1"/>
    </xf>
    <xf numFmtId="3" fontId="31" fillId="0" borderId="132" xfId="4" applyNumberFormat="1" applyFont="1" applyFill="1" applyBorder="1" applyAlignment="1">
      <alignment vertical="top"/>
    </xf>
    <xf numFmtId="3" fontId="7" fillId="0" borderId="156" xfId="4" applyNumberFormat="1" applyFont="1" applyFill="1" applyBorder="1" applyAlignment="1">
      <alignment vertical="center"/>
    </xf>
    <xf numFmtId="0" fontId="7" fillId="32" borderId="74" xfId="4" applyFont="1" applyFill="1" applyBorder="1" applyAlignment="1">
      <alignment vertical="top"/>
    </xf>
    <xf numFmtId="3" fontId="27" fillId="23" borderId="180" xfId="4" applyNumberFormat="1" applyFont="1" applyFill="1" applyBorder="1" applyAlignment="1">
      <alignment vertical="center"/>
    </xf>
    <xf numFmtId="0" fontId="24" fillId="8" borderId="21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0" fontId="7" fillId="8" borderId="18" xfId="0" applyFont="1" applyFill="1" applyBorder="1" applyAlignment="1">
      <alignment vertical="center"/>
    </xf>
    <xf numFmtId="3" fontId="24" fillId="6" borderId="179" xfId="1" applyNumberFormat="1" applyFont="1" applyFill="1" applyBorder="1" applyAlignment="1">
      <alignment horizontal="right" vertical="center"/>
    </xf>
    <xf numFmtId="3" fontId="27" fillId="0" borderId="176" xfId="1" applyNumberFormat="1" applyFont="1" applyFill="1" applyBorder="1" applyAlignment="1">
      <alignment horizontal="right" vertical="center"/>
    </xf>
    <xf numFmtId="43" fontId="27" fillId="0" borderId="176" xfId="1" applyFont="1" applyFill="1" applyBorder="1" applyAlignment="1">
      <alignment horizontal="right" vertical="center"/>
    </xf>
    <xf numFmtId="43" fontId="31" fillId="0" borderId="179" xfId="1" applyFont="1" applyFill="1" applyBorder="1" applyAlignment="1"/>
    <xf numFmtId="3" fontId="31" fillId="0" borderId="179" xfId="1" applyNumberFormat="1" applyFont="1" applyFill="1" applyBorder="1" applyAlignment="1">
      <alignment horizontal="right"/>
    </xf>
    <xf numFmtId="3" fontId="33" fillId="0" borderId="180" xfId="1" applyNumberFormat="1" applyFont="1" applyFill="1" applyBorder="1" applyAlignment="1">
      <alignment horizontal="right" vertical="center"/>
    </xf>
    <xf numFmtId="43" fontId="31" fillId="0" borderId="171" xfId="4" applyNumberFormat="1" applyFont="1" applyFill="1" applyBorder="1" applyAlignment="1">
      <alignment vertical="center"/>
    </xf>
    <xf numFmtId="0" fontId="28" fillId="0" borderId="183" xfId="4" applyFont="1" applyFill="1" applyBorder="1" applyAlignment="1">
      <alignment horizontal="right" vertical="center"/>
    </xf>
    <xf numFmtId="3" fontId="28" fillId="0" borderId="171" xfId="4" applyNumberFormat="1" applyFont="1" applyFill="1" applyBorder="1" applyAlignment="1">
      <alignment vertical="center"/>
    </xf>
    <xf numFmtId="41" fontId="28" fillId="0" borderId="171" xfId="1" applyNumberFormat="1" applyFont="1" applyFill="1" applyBorder="1" applyAlignment="1"/>
    <xf numFmtId="43" fontId="33" fillId="0" borderId="180" xfId="6" applyNumberFormat="1" applyFont="1" applyFill="1" applyBorder="1" applyAlignment="1">
      <alignment vertical="center"/>
    </xf>
    <xf numFmtId="3" fontId="32" fillId="0" borderId="171" xfId="6" applyNumberFormat="1" applyFont="1" applyFill="1" applyBorder="1" applyAlignment="1">
      <alignment vertical="center"/>
    </xf>
    <xf numFmtId="43" fontId="32" fillId="0" borderId="171" xfId="6" applyNumberFormat="1" applyFont="1" applyFill="1" applyBorder="1" applyAlignment="1">
      <alignment vertical="center"/>
    </xf>
    <xf numFmtId="43" fontId="33" fillId="0" borderId="171" xfId="6" applyNumberFormat="1" applyFont="1" applyFill="1" applyBorder="1" applyAlignment="1">
      <alignment vertical="center"/>
    </xf>
    <xf numFmtId="41" fontId="28" fillId="0" borderId="171" xfId="1" applyNumberFormat="1" applyFont="1" applyFill="1" applyBorder="1" applyAlignment="1">
      <alignment horizontal="right" vertical="center"/>
    </xf>
    <xf numFmtId="3" fontId="28" fillId="0" borderId="171" xfId="4" applyNumberFormat="1" applyFont="1" applyFill="1" applyBorder="1" applyAlignment="1">
      <alignment horizontal="right" vertical="center"/>
    </xf>
    <xf numFmtId="43" fontId="63" fillId="0" borderId="180" xfId="6" applyNumberFormat="1" applyFont="1" applyFill="1" applyBorder="1" applyAlignment="1">
      <alignment vertical="center"/>
    </xf>
    <xf numFmtId="43" fontId="32" fillId="0" borderId="180" xfId="6" applyNumberFormat="1" applyFont="1" applyFill="1" applyBorder="1" applyAlignment="1">
      <alignment vertical="center"/>
    </xf>
    <xf numFmtId="41" fontId="28" fillId="0" borderId="179" xfId="1" applyNumberFormat="1" applyFont="1" applyFill="1" applyBorder="1" applyAlignment="1"/>
    <xf numFmtId="3" fontId="31" fillId="2" borderId="190" xfId="0" applyNumberFormat="1" applyFont="1" applyFill="1" applyBorder="1" applyAlignment="1">
      <alignment vertical="center"/>
    </xf>
    <xf numFmtId="3" fontId="31" fillId="23" borderId="190" xfId="0" applyNumberFormat="1" applyFont="1" applyFill="1" applyBorder="1" applyAlignment="1">
      <alignment vertical="top"/>
    </xf>
    <xf numFmtId="43" fontId="27" fillId="2" borderId="180" xfId="1" applyFont="1" applyFill="1" applyBorder="1" applyAlignment="1">
      <alignment vertical="center"/>
    </xf>
    <xf numFmtId="3" fontId="17" fillId="6" borderId="181" xfId="4" applyNumberFormat="1" applyFont="1" applyFill="1" applyBorder="1" applyAlignment="1">
      <alignment vertical="center"/>
    </xf>
    <xf numFmtId="3" fontId="7" fillId="0" borderId="190" xfId="4" applyNumberFormat="1" applyFont="1" applyFill="1" applyBorder="1" applyAlignment="1"/>
    <xf numFmtId="3" fontId="31" fillId="23" borderId="35" xfId="4" applyNumberFormat="1" applyFont="1" applyFill="1" applyBorder="1" applyAlignment="1">
      <alignment vertical="center"/>
    </xf>
    <xf numFmtId="0" fontId="38" fillId="0" borderId="35" xfId="4" applyFont="1" applyFill="1" applyBorder="1" applyAlignment="1">
      <alignment vertical="top"/>
    </xf>
    <xf numFmtId="3" fontId="63" fillId="0" borderId="35" xfId="6" applyNumberFormat="1" applyFont="1" applyFill="1" applyBorder="1" applyAlignment="1">
      <alignment vertical="center"/>
    </xf>
    <xf numFmtId="3" fontId="38" fillId="0" borderId="35" xfId="4" applyNumberFormat="1" applyFont="1" applyFill="1" applyBorder="1" applyAlignment="1">
      <alignment horizontal="right" vertical="center"/>
    </xf>
    <xf numFmtId="3" fontId="38" fillId="25" borderId="35" xfId="4" applyNumberFormat="1" applyFont="1" applyFill="1" applyBorder="1" applyAlignment="1">
      <alignment horizontal="right" vertical="center"/>
    </xf>
    <xf numFmtId="3" fontId="8" fillId="6" borderId="35" xfId="0" applyNumberFormat="1" applyFont="1" applyFill="1" applyBorder="1"/>
    <xf numFmtId="3" fontId="8" fillId="6" borderId="8" xfId="0" applyNumberFormat="1" applyFont="1" applyFill="1" applyBorder="1"/>
    <xf numFmtId="3" fontId="8" fillId="6" borderId="21" xfId="0" applyNumberFormat="1" applyFont="1" applyFill="1" applyBorder="1"/>
    <xf numFmtId="3" fontId="8" fillId="6" borderId="9" xfId="0" applyNumberFormat="1" applyFont="1" applyFill="1" applyBorder="1"/>
    <xf numFmtId="43" fontId="29" fillId="0" borderId="180" xfId="1" applyFont="1" applyFill="1" applyBorder="1" applyAlignment="1">
      <alignment horizontal="right" vertical="center"/>
    </xf>
    <xf numFmtId="3" fontId="7" fillId="0" borderId="190" xfId="0" applyNumberFormat="1" applyFont="1" applyFill="1" applyBorder="1" applyAlignment="1">
      <alignment vertical="top"/>
    </xf>
    <xf numFmtId="43" fontId="7" fillId="0" borderId="190" xfId="1" applyFont="1" applyFill="1" applyBorder="1" applyAlignment="1">
      <alignment vertical="top"/>
    </xf>
    <xf numFmtId="3" fontId="7" fillId="25" borderId="190" xfId="4" applyNumberFormat="1" applyFont="1" applyFill="1" applyBorder="1" applyAlignment="1">
      <alignment vertical="top"/>
    </xf>
    <xf numFmtId="3" fontId="7" fillId="0" borderId="180" xfId="0" applyNumberFormat="1" applyFont="1" applyFill="1" applyBorder="1" applyAlignment="1">
      <alignment vertical="top"/>
    </xf>
    <xf numFmtId="3" fontId="24" fillId="34" borderId="180" xfId="4" applyNumberFormat="1" applyFont="1" applyFill="1" applyBorder="1" applyAlignment="1">
      <alignment horizontal="center" vertical="center"/>
    </xf>
    <xf numFmtId="3" fontId="7" fillId="0" borderId="188" xfId="4" applyNumberFormat="1" applyFont="1" applyFill="1" applyBorder="1" applyAlignment="1">
      <alignment vertical="top"/>
    </xf>
    <xf numFmtId="0" fontId="37" fillId="0" borderId="180" xfId="0" applyFont="1" applyBorder="1" applyAlignment="1">
      <alignment vertical="center"/>
    </xf>
    <xf numFmtId="0" fontId="39" fillId="0" borderId="180" xfId="0" applyFont="1" applyBorder="1" applyAlignment="1">
      <alignment vertical="center"/>
    </xf>
    <xf numFmtId="0" fontId="25" fillId="0" borderId="24" xfId="0" applyFont="1" applyBorder="1" applyAlignment="1">
      <alignment vertical="top"/>
    </xf>
    <xf numFmtId="0" fontId="21" fillId="0" borderId="24" xfId="0" applyFont="1" applyBorder="1" applyAlignment="1">
      <alignment horizontal="center" vertical="top" wrapText="1"/>
    </xf>
    <xf numFmtId="2" fontId="31" fillId="0" borderId="197" xfId="0" applyNumberFormat="1" applyFont="1" applyFill="1" applyBorder="1" applyAlignment="1">
      <alignment vertical="center"/>
    </xf>
    <xf numFmtId="2" fontId="17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horizontal="center" vertical="top" wrapText="1"/>
    </xf>
    <xf numFmtId="0" fontId="19" fillId="0" borderId="24" xfId="0" applyFont="1" applyBorder="1" applyAlignment="1">
      <alignment vertical="top"/>
    </xf>
    <xf numFmtId="3" fontId="31" fillId="0" borderId="180" xfId="0" applyNumberFormat="1" applyFont="1" applyFill="1" applyBorder="1" applyAlignment="1">
      <alignment horizontal="right"/>
    </xf>
    <xf numFmtId="0" fontId="7" fillId="0" borderId="190" xfId="4" applyFont="1" applyFill="1" applyBorder="1" applyAlignment="1">
      <alignment vertical="top"/>
    </xf>
    <xf numFmtId="3" fontId="27" fillId="23" borderId="180" xfId="4" applyNumberFormat="1" applyFont="1" applyFill="1" applyBorder="1" applyAlignment="1">
      <alignment horizontal="right" vertical="center"/>
    </xf>
    <xf numFmtId="0" fontId="7" fillId="59" borderId="180" xfId="4" applyFont="1" applyFill="1" applyBorder="1" applyAlignment="1">
      <alignment vertical="top"/>
    </xf>
    <xf numFmtId="3" fontId="32" fillId="59" borderId="180" xfId="6" applyNumberFormat="1" applyFont="1" applyFill="1" applyBorder="1" applyAlignment="1">
      <alignment vertical="center"/>
    </xf>
    <xf numFmtId="3" fontId="7" fillId="59" borderId="180" xfId="4" applyNumberFormat="1" applyFont="1" applyFill="1" applyBorder="1" applyAlignment="1">
      <alignment horizontal="right" vertical="center"/>
    </xf>
    <xf numFmtId="3" fontId="31" fillId="59" borderId="180" xfId="4" applyNumberFormat="1" applyFont="1" applyFill="1" applyBorder="1" applyAlignment="1">
      <alignment horizontal="right" vertical="center"/>
    </xf>
    <xf numFmtId="3" fontId="7" fillId="25" borderId="180" xfId="4" applyNumberFormat="1" applyFont="1" applyFill="1" applyBorder="1" applyAlignment="1">
      <alignment horizontal="right" vertical="center"/>
    </xf>
    <xf numFmtId="0" fontId="7" fillId="62" borderId="180" xfId="4" applyFont="1" applyFill="1" applyBorder="1" applyAlignment="1">
      <alignment vertical="top"/>
    </xf>
    <xf numFmtId="3" fontId="32" fillId="62" borderId="180" xfId="6" applyNumberFormat="1" applyFont="1" applyFill="1" applyBorder="1" applyAlignment="1">
      <alignment vertical="center"/>
    </xf>
    <xf numFmtId="3" fontId="7" fillId="62" borderId="180" xfId="4" applyNumberFormat="1" applyFont="1" applyFill="1" applyBorder="1" applyAlignment="1">
      <alignment horizontal="right" vertical="center"/>
    </xf>
    <xf numFmtId="3" fontId="31" fillId="62" borderId="180" xfId="4" applyNumberFormat="1" applyFont="1" applyFill="1" applyBorder="1" applyAlignment="1">
      <alignment horizontal="right" vertical="center"/>
    </xf>
    <xf numFmtId="0" fontId="32" fillId="62" borderId="180" xfId="0" applyFont="1" applyFill="1" applyBorder="1" applyAlignment="1">
      <alignment horizontal="center" vertical="center" wrapText="1"/>
    </xf>
    <xf numFmtId="0" fontId="25" fillId="6" borderId="181" xfId="4" applyFont="1" applyFill="1" applyBorder="1" applyAlignment="1">
      <alignment horizontal="center" vertical="center"/>
    </xf>
    <xf numFmtId="3" fontId="32" fillId="0" borderId="197" xfId="6" applyNumberFormat="1" applyFont="1" applyFill="1" applyBorder="1" applyAlignment="1">
      <alignment vertical="center"/>
    </xf>
    <xf numFmtId="0" fontId="68" fillId="0" borderId="188" xfId="0" applyFont="1" applyBorder="1" applyAlignment="1">
      <alignment horizontal="center" vertical="center"/>
    </xf>
    <xf numFmtId="0" fontId="68" fillId="0" borderId="198" xfId="0" applyFont="1" applyBorder="1" applyAlignment="1">
      <alignment horizontal="center" vertical="center"/>
    </xf>
    <xf numFmtId="0" fontId="68" fillId="0" borderId="176" xfId="0" applyFont="1" applyBorder="1" applyAlignment="1">
      <alignment horizontal="center" vertical="center"/>
    </xf>
    <xf numFmtId="0" fontId="68" fillId="0" borderId="176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3" fontId="8" fillId="6" borderId="180" xfId="0" applyNumberFormat="1" applyFont="1" applyFill="1" applyBorder="1"/>
    <xf numFmtId="3" fontId="8" fillId="6" borderId="183" xfId="0" applyNumberFormat="1" applyFont="1" applyFill="1" applyBorder="1"/>
    <xf numFmtId="3" fontId="6" fillId="6" borderId="180" xfId="0" applyNumberFormat="1" applyFont="1" applyFill="1" applyBorder="1"/>
    <xf numFmtId="0" fontId="6" fillId="0" borderId="199" xfId="0" applyFont="1" applyFill="1" applyBorder="1" applyAlignment="1">
      <alignment vertical="center" wrapText="1"/>
    </xf>
    <xf numFmtId="0" fontId="31" fillId="55" borderId="199" xfId="4" applyFont="1" applyFill="1" applyBorder="1" applyAlignment="1">
      <alignment horizontal="left" vertical="center"/>
    </xf>
    <xf numFmtId="0" fontId="27" fillId="2" borderId="199" xfId="4" applyFont="1" applyFill="1" applyBorder="1" applyAlignment="1">
      <alignment vertical="top"/>
    </xf>
    <xf numFmtId="3" fontId="27" fillId="0" borderId="155" xfId="0" applyNumberFormat="1" applyFont="1" applyFill="1" applyBorder="1" applyAlignment="1">
      <alignment vertical="top"/>
    </xf>
    <xf numFmtId="3" fontId="27" fillId="25" borderId="165" xfId="0" applyNumberFormat="1" applyFont="1" applyFill="1" applyBorder="1" applyAlignment="1">
      <alignment vertical="top"/>
    </xf>
    <xf numFmtId="0" fontId="25" fillId="0" borderId="0" xfId="0" applyFont="1" applyBorder="1" applyAlignment="1">
      <alignment vertical="center"/>
    </xf>
    <xf numFmtId="0" fontId="18" fillId="0" borderId="180" xfId="0" applyFont="1" applyBorder="1" applyAlignment="1">
      <alignment vertical="center"/>
    </xf>
    <xf numFmtId="3" fontId="8" fillId="0" borderId="180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 wrapText="1"/>
    </xf>
    <xf numFmtId="0" fontId="29" fillId="8" borderId="199" xfId="4" applyFont="1" applyFill="1" applyBorder="1" applyAlignment="1">
      <alignment vertical="top"/>
    </xf>
    <xf numFmtId="3" fontId="27" fillId="8" borderId="165" xfId="4" applyNumberFormat="1" applyFont="1" applyFill="1" applyBorder="1" applyAlignment="1">
      <alignment vertical="top"/>
    </xf>
    <xf numFmtId="0" fontId="7" fillId="8" borderId="199" xfId="4" applyFont="1" applyFill="1" applyBorder="1" applyAlignment="1">
      <alignment vertical="top" wrapText="1"/>
    </xf>
    <xf numFmtId="3" fontId="7" fillId="8" borderId="165" xfId="4" applyNumberFormat="1" applyFont="1" applyFill="1" applyBorder="1" applyAlignment="1">
      <alignment vertical="top"/>
    </xf>
    <xf numFmtId="0" fontId="7" fillId="8" borderId="199" xfId="4" applyFont="1" applyFill="1" applyBorder="1" applyAlignment="1">
      <alignment vertical="top"/>
    </xf>
    <xf numFmtId="0" fontId="31" fillId="8" borderId="197" xfId="4" applyFont="1" applyFill="1" applyBorder="1" applyAlignment="1">
      <alignment horizontal="left" vertical="center"/>
    </xf>
    <xf numFmtId="3" fontId="7" fillId="8" borderId="190" xfId="4" applyNumberFormat="1" applyFont="1" applyFill="1" applyBorder="1" applyAlignment="1">
      <alignment vertical="top"/>
    </xf>
    <xf numFmtId="0" fontId="24" fillId="6" borderId="199" xfId="4" applyFont="1" applyFill="1" applyBorder="1" applyAlignment="1">
      <alignment horizontal="left" vertical="center"/>
    </xf>
    <xf numFmtId="3" fontId="24" fillId="22" borderId="165" xfId="4" applyNumberFormat="1" applyFont="1" applyFill="1" applyBorder="1" applyAlignment="1">
      <alignment vertical="center"/>
    </xf>
    <xf numFmtId="0" fontId="29" fillId="0" borderId="199" xfId="4" applyFont="1" applyFill="1" applyBorder="1" applyAlignment="1">
      <alignment vertical="top"/>
    </xf>
    <xf numFmtId="3" fontId="29" fillId="0" borderId="165" xfId="4" applyNumberFormat="1" applyFont="1" applyFill="1" applyBorder="1" applyAlignment="1">
      <alignment horizontal="right" vertical="center"/>
    </xf>
    <xf numFmtId="3" fontId="29" fillId="25" borderId="165" xfId="4" applyNumberFormat="1" applyFont="1" applyFill="1" applyBorder="1" applyAlignment="1">
      <alignment horizontal="right" vertical="center"/>
    </xf>
    <xf numFmtId="0" fontId="7" fillId="0" borderId="199" xfId="4" applyFont="1" applyFill="1" applyBorder="1" applyAlignment="1">
      <alignment vertical="top"/>
    </xf>
    <xf numFmtId="3" fontId="7" fillId="0" borderId="165" xfId="4" applyNumberFormat="1" applyFont="1" applyFill="1" applyBorder="1" applyAlignment="1"/>
    <xf numFmtId="3" fontId="7" fillId="0" borderId="165" xfId="4" applyNumberFormat="1" applyFont="1" applyFill="1" applyBorder="1" applyAlignment="1">
      <alignment vertical="top"/>
    </xf>
    <xf numFmtId="3" fontId="7" fillId="25" borderId="165" xfId="4" applyNumberFormat="1" applyFont="1" applyFill="1" applyBorder="1" applyAlignment="1">
      <alignment vertical="center"/>
    </xf>
    <xf numFmtId="0" fontId="7" fillId="32" borderId="199" xfId="4" applyFont="1" applyFill="1" applyBorder="1" applyAlignment="1">
      <alignment vertical="top"/>
    </xf>
    <xf numFmtId="0" fontId="29" fillId="0" borderId="199" xfId="4" applyFont="1" applyFill="1" applyBorder="1" applyAlignment="1">
      <alignment horizontal="left" vertical="center"/>
    </xf>
    <xf numFmtId="0" fontId="29" fillId="8" borderId="181" xfId="4" applyFont="1" applyFill="1" applyBorder="1" applyAlignment="1">
      <alignment vertical="center"/>
    </xf>
    <xf numFmtId="3" fontId="29" fillId="23" borderId="165" xfId="4" applyNumberFormat="1" applyFont="1" applyFill="1" applyBorder="1" applyAlignment="1">
      <alignment vertical="center"/>
    </xf>
    <xf numFmtId="3" fontId="31" fillId="23" borderId="165" xfId="4" applyNumberFormat="1" applyFont="1" applyFill="1" applyBorder="1" applyAlignment="1">
      <alignment horizontal="right" vertical="center"/>
    </xf>
    <xf numFmtId="3" fontId="7" fillId="8" borderId="181" xfId="4" applyNumberFormat="1" applyFont="1" applyFill="1" applyBorder="1" applyAlignment="1">
      <alignment vertical="center" wrapText="1"/>
    </xf>
    <xf numFmtId="3" fontId="27" fillId="23" borderId="165" xfId="4" applyNumberFormat="1" applyFont="1" applyFill="1" applyBorder="1" applyAlignment="1">
      <alignment vertical="center"/>
    </xf>
    <xf numFmtId="0" fontId="7" fillId="8" borderId="181" xfId="4" applyFont="1" applyFill="1" applyBorder="1" applyAlignment="1">
      <alignment vertical="center" wrapText="1"/>
    </xf>
    <xf numFmtId="0" fontId="7" fillId="8" borderId="199" xfId="4" applyFont="1" applyFill="1" applyBorder="1" applyAlignment="1">
      <alignment vertical="center" wrapText="1"/>
    </xf>
    <xf numFmtId="0" fontId="25" fillId="6" borderId="199" xfId="4" applyFont="1" applyFill="1" applyBorder="1" applyAlignment="1">
      <alignment horizontal="left" vertical="center"/>
    </xf>
    <xf numFmtId="3" fontId="27" fillId="8" borderId="199" xfId="4" applyNumberFormat="1" applyFont="1" applyFill="1" applyBorder="1" applyAlignment="1">
      <alignment vertical="center" wrapText="1"/>
    </xf>
    <xf numFmtId="3" fontId="27" fillId="8" borderId="181" xfId="4" applyNumberFormat="1" applyFont="1" applyFill="1" applyBorder="1" applyAlignment="1">
      <alignment vertical="center" wrapText="1"/>
    </xf>
    <xf numFmtId="0" fontId="27" fillId="8" borderId="199" xfId="4" applyFont="1" applyFill="1" applyBorder="1" applyAlignment="1">
      <alignment vertical="center"/>
    </xf>
    <xf numFmtId="0" fontId="27" fillId="8" borderId="181" xfId="4" applyFont="1" applyFill="1" applyBorder="1" applyAlignment="1">
      <alignment vertical="center"/>
    </xf>
    <xf numFmtId="0" fontId="7" fillId="8" borderId="181" xfId="4" applyFont="1" applyFill="1" applyBorder="1" applyAlignment="1">
      <alignment vertical="center"/>
    </xf>
    <xf numFmtId="3" fontId="7" fillId="8" borderId="165" xfId="4" applyNumberFormat="1" applyFont="1" applyFill="1" applyBorder="1" applyAlignment="1">
      <alignment vertical="center"/>
    </xf>
    <xf numFmtId="0" fontId="18" fillId="8" borderId="41" xfId="4" applyFont="1" applyFill="1" applyBorder="1" applyAlignment="1">
      <alignment vertical="center" wrapText="1"/>
    </xf>
    <xf numFmtId="0" fontId="17" fillId="13" borderId="5" xfId="4" applyFont="1" applyFill="1" applyBorder="1" applyAlignment="1">
      <alignment horizontal="center" vertical="center"/>
    </xf>
    <xf numFmtId="0" fontId="24" fillId="13" borderId="45" xfId="4" applyFont="1" applyFill="1" applyBorder="1" applyAlignment="1">
      <alignment vertical="center" wrapText="1"/>
    </xf>
    <xf numFmtId="0" fontId="24" fillId="13" borderId="14" xfId="4" applyFont="1" applyFill="1" applyBorder="1" applyAlignment="1">
      <alignment vertical="center" wrapText="1"/>
    </xf>
    <xf numFmtId="0" fontId="7" fillId="13" borderId="3" xfId="4" applyFont="1" applyFill="1" applyBorder="1" applyAlignment="1">
      <alignment horizontal="right" vertical="center"/>
    </xf>
    <xf numFmtId="3" fontId="7" fillId="13" borderId="2" xfId="4" applyNumberFormat="1" applyFont="1" applyFill="1" applyBorder="1" applyAlignment="1">
      <alignment horizontal="right" vertical="center"/>
    </xf>
    <xf numFmtId="3" fontId="7" fillId="24" borderId="76" xfId="4" applyNumberFormat="1" applyFont="1" applyFill="1" applyBorder="1" applyAlignment="1">
      <alignment horizontal="right" vertical="center"/>
    </xf>
    <xf numFmtId="3" fontId="7" fillId="24" borderId="68" xfId="4" applyNumberFormat="1" applyFont="1" applyFill="1" applyBorder="1" applyAlignment="1">
      <alignment horizontal="right" vertical="center"/>
    </xf>
    <xf numFmtId="3" fontId="18" fillId="13" borderId="42" xfId="4" applyNumberFormat="1" applyFont="1" applyFill="1" applyBorder="1" applyAlignment="1">
      <alignment horizontal="center" vertical="center"/>
    </xf>
    <xf numFmtId="3" fontId="29" fillId="13" borderId="181" xfId="4" applyNumberFormat="1" applyFont="1" applyFill="1" applyBorder="1" applyAlignment="1">
      <alignment vertical="center" wrapText="1"/>
    </xf>
    <xf numFmtId="3" fontId="7" fillId="13" borderId="181" xfId="4" applyNumberFormat="1" applyFont="1" applyFill="1" applyBorder="1" applyAlignment="1">
      <alignment vertical="center" wrapText="1"/>
    </xf>
    <xf numFmtId="0" fontId="7" fillId="13" borderId="181" xfId="4" applyFont="1" applyFill="1" applyBorder="1" applyAlignment="1">
      <alignment vertical="center"/>
    </xf>
    <xf numFmtId="0" fontId="29" fillId="13" borderId="181" xfId="4" applyFont="1" applyFill="1" applyBorder="1" applyAlignment="1">
      <alignment vertical="center"/>
    </xf>
    <xf numFmtId="3" fontId="29" fillId="24" borderId="165" xfId="4" applyNumberFormat="1" applyFont="1" applyFill="1" applyBorder="1" applyAlignment="1">
      <alignment horizontal="right" vertical="center"/>
    </xf>
    <xf numFmtId="0" fontId="27" fillId="13" borderId="181" xfId="4" applyFont="1" applyFill="1" applyBorder="1" applyAlignment="1">
      <alignment vertical="center"/>
    </xf>
    <xf numFmtId="3" fontId="32" fillId="13" borderId="197" xfId="6" applyNumberFormat="1" applyFont="1" applyFill="1" applyBorder="1" applyAlignment="1">
      <alignment vertical="center"/>
    </xf>
    <xf numFmtId="2" fontId="22" fillId="0" borderId="0" xfId="0" applyNumberFormat="1" applyFont="1" applyBorder="1" applyAlignment="1">
      <alignment horizontal="center" vertical="center" wrapText="1"/>
    </xf>
    <xf numFmtId="3" fontId="7" fillId="23" borderId="165" xfId="0" applyNumberFormat="1" applyFont="1" applyFill="1" applyBorder="1" applyAlignment="1">
      <alignment vertical="center"/>
    </xf>
    <xf numFmtId="2" fontId="7" fillId="28" borderId="181" xfId="0" applyNumberFormat="1" applyFont="1" applyFill="1" applyBorder="1" applyAlignment="1">
      <alignment vertical="center" wrapText="1"/>
    </xf>
    <xf numFmtId="2" fontId="24" fillId="8" borderId="125" xfId="0" applyNumberFormat="1" applyFont="1" applyFill="1" applyBorder="1" applyAlignment="1">
      <alignment vertical="center"/>
    </xf>
    <xf numFmtId="3" fontId="29" fillId="8" borderId="165" xfId="0" applyNumberFormat="1" applyFont="1" applyFill="1" applyBorder="1" applyAlignment="1">
      <alignment vertical="center"/>
    </xf>
    <xf numFmtId="3" fontId="29" fillId="23" borderId="165" xfId="0" applyNumberFormat="1" applyFont="1" applyFill="1" applyBorder="1" applyAlignment="1">
      <alignment vertical="center"/>
    </xf>
    <xf numFmtId="3" fontId="31" fillId="8" borderId="9" xfId="0" applyNumberFormat="1" applyFont="1" applyFill="1" applyBorder="1" applyAlignment="1">
      <alignment vertical="center"/>
    </xf>
    <xf numFmtId="2" fontId="17" fillId="32" borderId="25" xfId="0" applyNumberFormat="1" applyFont="1" applyFill="1" applyBorder="1" applyAlignment="1">
      <alignment vertical="center"/>
    </xf>
    <xf numFmtId="2" fontId="18" fillId="32" borderId="67" xfId="0" applyNumberFormat="1" applyFont="1" applyFill="1" applyBorder="1" applyAlignment="1">
      <alignment horizontal="center" vertical="center" wrapText="1"/>
    </xf>
    <xf numFmtId="2" fontId="18" fillId="32" borderId="0" xfId="0" applyNumberFormat="1" applyFont="1" applyFill="1" applyBorder="1" applyAlignment="1">
      <alignment vertical="center"/>
    </xf>
    <xf numFmtId="3" fontId="29" fillId="8" borderId="155" xfId="0" applyNumberFormat="1" applyFont="1" applyFill="1" applyBorder="1" applyAlignment="1">
      <alignment vertical="center"/>
    </xf>
    <xf numFmtId="3" fontId="31" fillId="8" borderId="165" xfId="0" applyNumberFormat="1" applyFont="1" applyFill="1" applyBorder="1" applyAlignment="1">
      <alignment vertical="center"/>
    </xf>
    <xf numFmtId="3" fontId="31" fillId="8" borderId="155" xfId="0" applyNumberFormat="1" applyFont="1" applyFill="1" applyBorder="1" applyAlignment="1">
      <alignment vertical="center"/>
    </xf>
    <xf numFmtId="3" fontId="31" fillId="8" borderId="190" xfId="0" applyNumberFormat="1" applyFont="1" applyFill="1" applyBorder="1" applyAlignment="1">
      <alignment vertical="center"/>
    </xf>
    <xf numFmtId="3" fontId="31" fillId="8" borderId="197" xfId="0" applyNumberFormat="1" applyFont="1" applyFill="1" applyBorder="1" applyAlignment="1">
      <alignment vertical="center"/>
    </xf>
    <xf numFmtId="3" fontId="27" fillId="2" borderId="199" xfId="4" applyNumberFormat="1" applyFont="1" applyFill="1" applyBorder="1" applyAlignment="1">
      <alignment vertical="center" wrapText="1"/>
    </xf>
    <xf numFmtId="0" fontId="31" fillId="0" borderId="199" xfId="4" applyFont="1" applyFill="1" applyBorder="1" applyAlignment="1">
      <alignment vertical="center"/>
    </xf>
    <xf numFmtId="0" fontId="27" fillId="2" borderId="199" xfId="4" applyFont="1" applyFill="1" applyBorder="1" applyAlignment="1">
      <alignment vertical="center"/>
    </xf>
    <xf numFmtId="43" fontId="31" fillId="0" borderId="197" xfId="1" applyFont="1" applyFill="1" applyBorder="1" applyAlignment="1">
      <alignment horizontal="right" vertical="center"/>
    </xf>
    <xf numFmtId="0" fontId="7" fillId="0" borderId="199" xfId="4" applyFont="1" applyFill="1" applyBorder="1" applyAlignment="1">
      <alignment horizontal="left" vertical="center"/>
    </xf>
    <xf numFmtId="3" fontId="24" fillId="22" borderId="155" xfId="4" applyNumberFormat="1" applyFont="1" applyFill="1" applyBorder="1" applyAlignment="1">
      <alignment horizontal="right" vertical="center"/>
    </xf>
    <xf numFmtId="0" fontId="7" fillId="0" borderId="129" xfId="4" applyFont="1" applyFill="1" applyBorder="1" applyAlignment="1">
      <alignment horizontal="left" vertical="center"/>
    </xf>
    <xf numFmtId="3" fontId="31" fillId="0" borderId="197" xfId="4" applyNumberFormat="1" applyFont="1" applyFill="1" applyBorder="1" applyAlignment="1">
      <alignment horizontal="right" vertical="center"/>
    </xf>
    <xf numFmtId="3" fontId="31" fillId="25" borderId="197" xfId="4" applyNumberFormat="1" applyFont="1" applyFill="1" applyBorder="1" applyAlignment="1">
      <alignment horizontal="right" vertical="center"/>
    </xf>
    <xf numFmtId="0" fontId="25" fillId="2" borderId="5" xfId="0" applyFont="1" applyFill="1" applyBorder="1" applyAlignment="1">
      <alignment horizontal="center" vertical="top"/>
    </xf>
    <xf numFmtId="9" fontId="25" fillId="2" borderId="21" xfId="2" applyFont="1" applyFill="1" applyBorder="1" applyAlignment="1">
      <alignment horizontal="center" vertical="top"/>
    </xf>
    <xf numFmtId="0" fontId="21" fillId="2" borderId="181" xfId="0" applyFont="1" applyFill="1" applyBorder="1" applyAlignment="1">
      <alignment horizontal="center" vertical="top"/>
    </xf>
    <xf numFmtId="0" fontId="21" fillId="2" borderId="165" xfId="0" applyFont="1" applyFill="1" applyBorder="1" applyAlignment="1">
      <alignment horizontal="center" vertical="top"/>
    </xf>
    <xf numFmtId="0" fontId="21" fillId="2" borderId="165" xfId="0" quotePrefix="1" applyFont="1" applyFill="1" applyBorder="1" applyAlignment="1">
      <alignment horizontal="center" vertical="top"/>
    </xf>
    <xf numFmtId="0" fontId="21" fillId="26" borderId="165" xfId="0" quotePrefix="1" applyFont="1" applyFill="1" applyBorder="1" applyAlignment="1">
      <alignment horizontal="center" vertical="top"/>
    </xf>
    <xf numFmtId="0" fontId="21" fillId="2" borderId="175" xfId="0" quotePrefix="1" applyFont="1" applyFill="1" applyBorder="1" applyAlignment="1">
      <alignment horizontal="center" vertical="top"/>
    </xf>
    <xf numFmtId="0" fontId="25" fillId="8" borderId="26" xfId="0" applyFont="1" applyFill="1" applyBorder="1" applyAlignment="1">
      <alignment vertical="center"/>
    </xf>
    <xf numFmtId="3" fontId="27" fillId="23" borderId="165" xfId="4" applyNumberFormat="1" applyFont="1" applyFill="1" applyBorder="1" applyAlignment="1">
      <alignment vertical="top"/>
    </xf>
    <xf numFmtId="3" fontId="7" fillId="23" borderId="165" xfId="4" applyNumberFormat="1" applyFont="1" applyFill="1" applyBorder="1" applyAlignment="1">
      <alignment vertical="top"/>
    </xf>
    <xf numFmtId="0" fontId="18" fillId="0" borderId="124" xfId="4" applyFont="1" applyFill="1" applyBorder="1" applyAlignment="1">
      <alignment horizontal="center" vertical="center" wrapText="1"/>
    </xf>
    <xf numFmtId="3" fontId="24" fillId="6" borderId="181" xfId="4" applyNumberFormat="1" applyFont="1" applyFill="1" applyBorder="1" applyAlignment="1">
      <alignment vertical="center"/>
    </xf>
    <xf numFmtId="3" fontId="25" fillId="6" borderId="163" xfId="4" applyNumberFormat="1" applyFont="1" applyFill="1" applyBorder="1" applyAlignment="1">
      <alignment vertical="center"/>
    </xf>
    <xf numFmtId="3" fontId="25" fillId="22" borderId="165" xfId="4" applyNumberFormat="1" applyFont="1" applyFill="1" applyBorder="1" applyAlignment="1">
      <alignment vertical="center"/>
    </xf>
    <xf numFmtId="3" fontId="29" fillId="0" borderId="158" xfId="4" applyNumberFormat="1" applyFont="1" applyFill="1" applyBorder="1" applyAlignment="1">
      <alignment horizontal="right" vertical="center"/>
    </xf>
    <xf numFmtId="3" fontId="27" fillId="25" borderId="165" xfId="4" applyNumberFormat="1" applyFont="1" applyFill="1" applyBorder="1" applyAlignment="1">
      <alignment horizontal="right" vertical="center"/>
    </xf>
    <xf numFmtId="0" fontId="7" fillId="0" borderId="199" xfId="4" applyFont="1" applyFill="1" applyBorder="1" applyAlignment="1"/>
    <xf numFmtId="3" fontId="31" fillId="0" borderId="158" xfId="4" applyNumberFormat="1" applyFont="1" applyFill="1" applyBorder="1" applyAlignment="1"/>
    <xf numFmtId="3" fontId="31" fillId="0" borderId="165" xfId="4" applyNumberFormat="1" applyFont="1" applyFill="1" applyBorder="1" applyAlignment="1"/>
    <xf numFmtId="3" fontId="29" fillId="0" borderId="163" xfId="4" applyNumberFormat="1" applyFont="1" applyFill="1" applyBorder="1" applyAlignment="1">
      <alignment horizontal="right" vertical="center"/>
    </xf>
    <xf numFmtId="3" fontId="31" fillId="0" borderId="165" xfId="4" applyNumberFormat="1" applyFont="1" applyFill="1" applyBorder="1" applyAlignment="1">
      <alignment horizontal="right" vertical="center"/>
    </xf>
    <xf numFmtId="3" fontId="31" fillId="0" borderId="158" xfId="4" applyNumberFormat="1" applyFont="1" applyFill="1" applyBorder="1" applyAlignment="1">
      <alignment horizontal="right" vertical="center"/>
    </xf>
    <xf numFmtId="3" fontId="7" fillId="0" borderId="158" xfId="4" applyNumberFormat="1" applyFont="1" applyFill="1" applyBorder="1" applyAlignment="1">
      <alignment horizontal="right" vertical="center"/>
    </xf>
    <xf numFmtId="3" fontId="24" fillId="6" borderId="163" xfId="4" applyNumberFormat="1" applyFont="1" applyFill="1" applyBorder="1" applyAlignment="1">
      <alignment vertical="center"/>
    </xf>
    <xf numFmtId="3" fontId="31" fillId="0" borderId="190" xfId="4" applyNumberFormat="1" applyFont="1" applyFill="1" applyBorder="1" applyAlignment="1">
      <alignment vertical="top"/>
    </xf>
    <xf numFmtId="0" fontId="24" fillId="0" borderId="11" xfId="4" applyFont="1" applyFill="1" applyBorder="1" applyAlignment="1">
      <alignment vertical="center"/>
    </xf>
    <xf numFmtId="0" fontId="18" fillId="0" borderId="43" xfId="4" applyFont="1" applyFill="1" applyBorder="1" applyAlignment="1">
      <alignment vertical="center" wrapText="1"/>
    </xf>
    <xf numFmtId="43" fontId="7" fillId="23" borderId="98" xfId="1" applyFont="1" applyFill="1" applyBorder="1" applyAlignment="1">
      <alignment horizontal="center" vertical="center"/>
    </xf>
    <xf numFmtId="3" fontId="8" fillId="0" borderId="190" xfId="0" applyNumberFormat="1" applyFont="1" applyFill="1" applyBorder="1" applyAlignment="1">
      <alignment vertical="center" wrapText="1"/>
    </xf>
    <xf numFmtId="0" fontId="23" fillId="0" borderId="43" xfId="0" applyFont="1" applyFill="1" applyBorder="1" applyAlignment="1">
      <alignment vertical="center" wrapText="1"/>
    </xf>
    <xf numFmtId="0" fontId="23" fillId="0" borderId="41" xfId="0" applyFont="1" applyFill="1" applyBorder="1" applyAlignment="1">
      <alignment vertical="center" wrapText="1"/>
    </xf>
    <xf numFmtId="0" fontId="38" fillId="0" borderId="180" xfId="4" applyFont="1" applyFill="1" applyBorder="1" applyAlignment="1">
      <alignment vertical="top"/>
    </xf>
    <xf numFmtId="3" fontId="63" fillId="0" borderId="180" xfId="6" applyNumberFormat="1" applyFont="1" applyFill="1" applyBorder="1" applyAlignment="1">
      <alignment vertical="center"/>
    </xf>
    <xf numFmtId="0" fontId="29" fillId="2" borderId="184" xfId="4" applyFont="1" applyFill="1" applyBorder="1" applyAlignment="1">
      <alignment vertical="center"/>
    </xf>
    <xf numFmtId="43" fontId="25" fillId="6" borderId="155" xfId="1" applyFont="1" applyFill="1" applyBorder="1" applyAlignment="1">
      <alignment horizontal="right" vertical="center"/>
    </xf>
    <xf numFmtId="43" fontId="31" fillId="0" borderId="156" xfId="1" applyFont="1" applyFill="1" applyBorder="1" applyAlignment="1">
      <alignment vertical="center"/>
    </xf>
    <xf numFmtId="0" fontId="31" fillId="0" borderId="129" xfId="4" applyFont="1" applyFill="1" applyBorder="1" applyAlignment="1">
      <alignment vertical="center"/>
    </xf>
    <xf numFmtId="43" fontId="31" fillId="0" borderId="165" xfId="1" applyFont="1" applyFill="1" applyBorder="1" applyAlignment="1">
      <alignment vertical="center"/>
    </xf>
    <xf numFmtId="3" fontId="24" fillId="32" borderId="155" xfId="4" applyNumberFormat="1" applyFont="1" applyFill="1" applyBorder="1" applyAlignment="1">
      <alignment vertical="center"/>
    </xf>
    <xf numFmtId="43" fontId="24" fillId="32" borderId="155" xfId="1" applyFont="1" applyFill="1" applyBorder="1" applyAlignment="1">
      <alignment vertical="center"/>
    </xf>
    <xf numFmtId="3" fontId="25" fillId="6" borderId="179" xfId="1" applyNumberFormat="1" applyFont="1" applyFill="1" applyBorder="1" applyAlignment="1">
      <alignment vertical="top"/>
    </xf>
    <xf numFmtId="3" fontId="27" fillId="2" borderId="179" xfId="1" applyNumberFormat="1" applyFont="1" applyFill="1" applyBorder="1" applyAlignment="1">
      <alignment vertical="top"/>
    </xf>
    <xf numFmtId="3" fontId="31" fillId="0" borderId="9" xfId="1" applyNumberFormat="1" applyFont="1" applyFill="1" applyBorder="1" applyAlignment="1">
      <alignment vertical="top"/>
    </xf>
    <xf numFmtId="3" fontId="27" fillId="0" borderId="179" xfId="1" applyNumberFormat="1" applyFont="1" applyFill="1" applyBorder="1" applyAlignment="1">
      <alignment vertical="top"/>
    </xf>
    <xf numFmtId="3" fontId="31" fillId="0" borderId="13" xfId="1" applyNumberFormat="1" applyFont="1" applyFill="1" applyBorder="1" applyAlignment="1">
      <alignment horizontal="right" vertical="center"/>
    </xf>
    <xf numFmtId="3" fontId="31" fillId="0" borderId="190" xfId="1" applyNumberFormat="1" applyFont="1" applyFill="1" applyBorder="1" applyAlignment="1">
      <alignment horizontal="right" vertical="center"/>
    </xf>
    <xf numFmtId="3" fontId="25" fillId="32" borderId="155" xfId="0" applyNumberFormat="1" applyFont="1" applyFill="1" applyBorder="1" applyAlignment="1">
      <alignment vertical="top"/>
    </xf>
    <xf numFmtId="3" fontId="31" fillId="22" borderId="165" xfId="0" applyNumberFormat="1" applyFont="1" applyFill="1" applyBorder="1" applyAlignment="1">
      <alignment vertical="top"/>
    </xf>
    <xf numFmtId="3" fontId="25" fillId="32" borderId="9" xfId="0" applyNumberFormat="1" applyFont="1" applyFill="1" applyBorder="1" applyAlignment="1">
      <alignment vertical="top"/>
    </xf>
    <xf numFmtId="3" fontId="31" fillId="32" borderId="155" xfId="0" applyNumberFormat="1" applyFont="1" applyFill="1" applyBorder="1" applyAlignment="1">
      <alignment vertical="top"/>
    </xf>
    <xf numFmtId="3" fontId="27" fillId="32" borderId="155" xfId="0" applyNumberFormat="1" applyFont="1" applyFill="1" applyBorder="1" applyAlignment="1">
      <alignment vertical="top"/>
    </xf>
    <xf numFmtId="3" fontId="31" fillId="32" borderId="197" xfId="4" applyNumberFormat="1" applyFont="1" applyFill="1" applyBorder="1" applyAlignment="1"/>
    <xf numFmtId="3" fontId="31" fillId="32" borderId="190" xfId="0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vertical="top"/>
    </xf>
    <xf numFmtId="3" fontId="7" fillId="23" borderId="158" xfId="4" applyNumberFormat="1" applyFont="1" applyFill="1" applyBorder="1" applyAlignment="1">
      <alignment horizontal="right" vertical="center"/>
    </xf>
    <xf numFmtId="3" fontId="7" fillId="0" borderId="190" xfId="4" applyNumberFormat="1" applyFont="1" applyFill="1" applyBorder="1" applyAlignment="1">
      <alignment vertical="center"/>
    </xf>
    <xf numFmtId="3" fontId="29" fillId="0" borderId="122" xfId="4" applyNumberFormat="1" applyFont="1" applyFill="1" applyBorder="1" applyAlignment="1">
      <alignment horizontal="right" vertical="center"/>
    </xf>
    <xf numFmtId="3" fontId="29" fillId="0" borderId="121" xfId="4" applyNumberFormat="1" applyFont="1" applyFill="1" applyBorder="1" applyAlignment="1">
      <alignment horizontal="right" vertical="center"/>
    </xf>
    <xf numFmtId="3" fontId="29" fillId="25" borderId="121" xfId="4" applyNumberFormat="1" applyFont="1" applyFill="1" applyBorder="1" applyAlignment="1">
      <alignment horizontal="right" vertical="center"/>
    </xf>
    <xf numFmtId="3" fontId="31" fillId="0" borderId="120" xfId="4" applyNumberFormat="1" applyFont="1" applyFill="1" applyBorder="1" applyAlignment="1">
      <alignment horizontal="right" vertical="center"/>
    </xf>
    <xf numFmtId="3" fontId="7" fillId="0" borderId="35" xfId="112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9" fillId="2" borderId="121" xfId="4" applyNumberFormat="1" applyFont="1" applyFill="1" applyBorder="1" applyAlignment="1">
      <alignment horizontal="right" vertical="center"/>
    </xf>
    <xf numFmtId="3" fontId="29" fillId="0" borderId="123" xfId="4" applyNumberFormat="1" applyFont="1" applyFill="1" applyBorder="1" applyAlignment="1">
      <alignment horizontal="right" vertical="center"/>
    </xf>
    <xf numFmtId="3" fontId="29" fillId="0" borderId="120" xfId="4" applyNumberFormat="1" applyFont="1" applyFill="1" applyBorder="1" applyAlignment="1">
      <alignment horizontal="right" vertical="center"/>
    </xf>
    <xf numFmtId="0" fontId="4" fillId="0" borderId="116" xfId="112" applyFont="1" applyBorder="1" applyAlignment="1">
      <alignment vertical="center"/>
    </xf>
    <xf numFmtId="0" fontId="24" fillId="6" borderId="184" xfId="4" applyFont="1" applyFill="1" applyBorder="1" applyAlignment="1">
      <alignment horizontal="left" vertical="center"/>
    </xf>
    <xf numFmtId="3" fontId="25" fillId="6" borderId="179" xfId="4" applyNumberFormat="1" applyFont="1" applyFill="1" applyBorder="1" applyAlignment="1">
      <alignment vertical="center"/>
    </xf>
    <xf numFmtId="3" fontId="24" fillId="22" borderId="180" xfId="4" applyNumberFormat="1" applyFont="1" applyFill="1" applyBorder="1" applyAlignment="1">
      <alignment vertical="center"/>
    </xf>
    <xf numFmtId="3" fontId="27" fillId="0" borderId="179" xfId="4" applyNumberFormat="1" applyFont="1" applyFill="1" applyBorder="1" applyAlignment="1">
      <alignment vertical="center"/>
    </xf>
    <xf numFmtId="3" fontId="29" fillId="0" borderId="179" xfId="4" applyNumberFormat="1" applyFont="1" applyFill="1" applyBorder="1" applyAlignment="1">
      <alignment vertical="center"/>
    </xf>
    <xf numFmtId="3" fontId="27" fillId="25" borderId="179" xfId="4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3" fontId="7" fillId="0" borderId="179" xfId="4" applyNumberFormat="1" applyFont="1" applyFill="1" applyBorder="1" applyAlignment="1">
      <alignment vertical="center"/>
    </xf>
    <xf numFmtId="0" fontId="28" fillId="0" borderId="184" xfId="4" applyFont="1" applyFill="1" applyBorder="1" applyAlignment="1">
      <alignment vertical="center"/>
    </xf>
    <xf numFmtId="3" fontId="28" fillId="0" borderId="179" xfId="4" applyNumberFormat="1" applyFont="1" applyFill="1" applyBorder="1" applyAlignment="1">
      <alignment horizontal="right" vertical="center"/>
    </xf>
    <xf numFmtId="3" fontId="28" fillId="25" borderId="179" xfId="4" applyNumberFormat="1" applyFont="1" applyFill="1" applyBorder="1" applyAlignment="1">
      <alignment horizontal="right" vertical="center"/>
    </xf>
    <xf numFmtId="3" fontId="28" fillId="0" borderId="180" xfId="4" applyNumberFormat="1" applyFont="1" applyFill="1" applyBorder="1" applyAlignment="1">
      <alignment horizontal="right" vertical="center"/>
    </xf>
    <xf numFmtId="0" fontId="31" fillId="0" borderId="177" xfId="4" applyFont="1" applyFill="1" applyBorder="1" applyAlignment="1">
      <alignment vertical="center"/>
    </xf>
    <xf numFmtId="3" fontId="31" fillId="0" borderId="176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28" fillId="25" borderId="171" xfId="4" applyNumberFormat="1" applyFont="1" applyFill="1" applyBorder="1" applyAlignment="1">
      <alignment horizontal="right" vertical="center"/>
    </xf>
    <xf numFmtId="3" fontId="39" fillId="0" borderId="0" xfId="0" applyNumberFormat="1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3" fontId="33" fillId="0" borderId="179" xfId="114" applyNumberFormat="1" applyFont="1" applyFill="1" applyBorder="1" applyAlignment="1">
      <alignment vertical="center"/>
    </xf>
    <xf numFmtId="3" fontId="33" fillId="0" borderId="180" xfId="114" applyNumberFormat="1" applyFont="1" applyFill="1" applyBorder="1" applyAlignment="1">
      <alignment vertical="center"/>
    </xf>
    <xf numFmtId="0" fontId="4" fillId="0" borderId="180" xfId="112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43" fontId="25" fillId="6" borderId="155" xfId="1" applyFont="1" applyFill="1" applyBorder="1" applyAlignment="1">
      <alignment vertical="center"/>
    </xf>
    <xf numFmtId="3" fontId="24" fillId="22" borderId="154" xfId="4" applyNumberFormat="1" applyFont="1" applyFill="1" applyBorder="1" applyAlignment="1">
      <alignment vertical="center"/>
    </xf>
    <xf numFmtId="3" fontId="29" fillId="0" borderId="155" xfId="4" applyNumberFormat="1" applyFont="1" applyFill="1" applyBorder="1" applyAlignment="1">
      <alignment vertical="center"/>
    </xf>
    <xf numFmtId="43" fontId="29" fillId="0" borderId="155" xfId="1" applyFont="1" applyFill="1" applyBorder="1" applyAlignment="1">
      <alignment vertical="center"/>
    </xf>
    <xf numFmtId="3" fontId="27" fillId="25" borderId="155" xfId="4" applyNumberFormat="1" applyFont="1" applyFill="1" applyBorder="1" applyAlignment="1">
      <alignment vertical="center"/>
    </xf>
    <xf numFmtId="43" fontId="29" fillId="0" borderId="155" xfId="1" applyFont="1" applyFill="1" applyBorder="1" applyAlignment="1">
      <alignment horizontal="right" vertical="center"/>
    </xf>
    <xf numFmtId="3" fontId="31" fillId="0" borderId="164" xfId="4" applyNumberFormat="1" applyFont="1" applyFill="1" applyBorder="1" applyAlignment="1">
      <alignment horizontal="right" vertical="center"/>
    </xf>
    <xf numFmtId="43" fontId="28" fillId="0" borderId="155" xfId="1" applyFont="1" applyFill="1" applyBorder="1" applyAlignment="1">
      <alignment horizontal="right" vertical="center"/>
    </xf>
    <xf numFmtId="43" fontId="27" fillId="0" borderId="155" xfId="1" applyFont="1" applyFill="1" applyBorder="1" applyAlignment="1">
      <alignment horizontal="right" vertical="center"/>
    </xf>
    <xf numFmtId="43" fontId="31" fillId="0" borderId="164" xfId="1" applyFont="1" applyFill="1" applyBorder="1" applyAlignment="1">
      <alignment horizontal="right" vertical="center"/>
    </xf>
    <xf numFmtId="3" fontId="77" fillId="2" borderId="0" xfId="0" applyNumberFormat="1" applyFont="1" applyFill="1" applyBorder="1" applyAlignment="1">
      <alignment horizontal="center" vertical="center"/>
    </xf>
    <xf numFmtId="1" fontId="62" fillId="13" borderId="0" xfId="0" applyNumberFormat="1" applyFont="1" applyFill="1" applyBorder="1" applyAlignment="1">
      <alignment horizontal="center" vertical="center" wrapText="1"/>
    </xf>
    <xf numFmtId="3" fontId="7" fillId="13" borderId="179" xfId="4" applyNumberFormat="1" applyFont="1" applyFill="1" applyBorder="1" applyAlignment="1">
      <alignment horizontal="right" vertical="center"/>
    </xf>
    <xf numFmtId="3" fontId="31" fillId="25" borderId="171" xfId="4" applyNumberFormat="1" applyFont="1" applyFill="1" applyBorder="1" applyAlignment="1">
      <alignment horizontal="right" vertical="center"/>
    </xf>
    <xf numFmtId="3" fontId="25" fillId="26" borderId="24" xfId="4" applyNumberFormat="1" applyFont="1" applyFill="1" applyBorder="1" applyAlignment="1">
      <alignment horizontal="center" vertical="center"/>
    </xf>
    <xf numFmtId="0" fontId="27" fillId="13" borderId="199" xfId="4" applyFont="1" applyFill="1" applyBorder="1" applyAlignment="1">
      <alignment vertical="center"/>
    </xf>
    <xf numFmtId="3" fontId="27" fillId="13" borderId="179" xfId="4" applyNumberFormat="1" applyFont="1" applyFill="1" applyBorder="1" applyAlignment="1">
      <alignment horizontal="right" vertical="center"/>
    </xf>
    <xf numFmtId="3" fontId="7" fillId="13" borderId="9" xfId="4" applyNumberFormat="1" applyFont="1" applyFill="1" applyBorder="1" applyAlignment="1">
      <alignment horizontal="right" vertical="center"/>
    </xf>
    <xf numFmtId="0" fontId="7" fillId="8" borderId="43" xfId="4" applyFont="1" applyFill="1" applyBorder="1" applyAlignment="1">
      <alignment horizontal="center" vertical="center"/>
    </xf>
    <xf numFmtId="3" fontId="23" fillId="6" borderId="99" xfId="6" applyNumberFormat="1" applyFont="1" applyFill="1" applyBorder="1" applyAlignment="1">
      <alignment horizontal="right" vertical="center"/>
    </xf>
    <xf numFmtId="43" fontId="23" fillId="6" borderId="99" xfId="1" applyFont="1" applyFill="1" applyBorder="1" applyAlignment="1">
      <alignment horizontal="right" vertical="center"/>
    </xf>
    <xf numFmtId="3" fontId="33" fillId="0" borderId="99" xfId="6" applyNumberFormat="1" applyFont="1" applyFill="1" applyBorder="1" applyAlignment="1">
      <alignment horizontal="right" vertical="center"/>
    </xf>
    <xf numFmtId="43" fontId="33" fillId="0" borderId="99" xfId="1" applyFont="1" applyFill="1" applyBorder="1" applyAlignment="1">
      <alignment horizontal="right" vertical="center"/>
    </xf>
    <xf numFmtId="43" fontId="31" fillId="0" borderId="99" xfId="1" applyFont="1" applyFill="1" applyBorder="1" applyAlignment="1">
      <alignment horizontal="right" vertical="center"/>
    </xf>
    <xf numFmtId="3" fontId="31" fillId="0" borderId="99" xfId="4" applyNumberFormat="1" applyFont="1" applyFill="1" applyBorder="1" applyAlignment="1">
      <alignment horizontal="right" vertical="center"/>
    </xf>
    <xf numFmtId="3" fontId="33" fillId="0" borderId="99" xfId="6" applyNumberFormat="1" applyFont="1" applyFill="1" applyBorder="1" applyAlignment="1">
      <alignment vertical="center"/>
    </xf>
    <xf numFmtId="43" fontId="33" fillId="0" borderId="99" xfId="1" applyFont="1" applyFill="1" applyBorder="1" applyAlignment="1">
      <alignment vertical="center"/>
    </xf>
    <xf numFmtId="0" fontId="31" fillId="0" borderId="108" xfId="4" applyFont="1" applyFill="1" applyBorder="1" applyAlignment="1">
      <alignment vertical="center"/>
    </xf>
    <xf numFmtId="3" fontId="24" fillId="6" borderId="99" xfId="4" applyNumberFormat="1" applyFont="1" applyFill="1" applyBorder="1" applyAlignment="1">
      <alignment vertical="center"/>
    </xf>
    <xf numFmtId="43" fontId="24" fillId="6" borderId="99" xfId="1" applyFont="1" applyFill="1" applyBorder="1" applyAlignment="1">
      <alignment vertical="center"/>
    </xf>
    <xf numFmtId="3" fontId="27" fillId="2" borderId="99" xfId="4" applyNumberFormat="1" applyFont="1" applyFill="1" applyBorder="1" applyAlignment="1">
      <alignment vertical="center"/>
    </xf>
    <xf numFmtId="43" fontId="29" fillId="2" borderId="99" xfId="1" applyFont="1" applyFill="1" applyBorder="1" applyAlignment="1">
      <alignment vertical="center"/>
    </xf>
    <xf numFmtId="3" fontId="29" fillId="2" borderId="99" xfId="4" applyNumberFormat="1" applyFont="1" applyFill="1" applyBorder="1" applyAlignment="1">
      <alignment vertical="center"/>
    </xf>
    <xf numFmtId="0" fontId="17" fillId="8" borderId="125" xfId="4" applyFont="1" applyFill="1" applyBorder="1" applyAlignment="1">
      <alignment vertical="top"/>
    </xf>
    <xf numFmtId="0" fontId="27" fillId="55" borderId="154" xfId="4" applyFont="1" applyFill="1" applyBorder="1" applyAlignment="1">
      <alignment horizontal="left" vertical="center"/>
    </xf>
    <xf numFmtId="3" fontId="27" fillId="55" borderId="154" xfId="4" applyNumberFormat="1" applyFont="1" applyFill="1" applyBorder="1" applyAlignment="1">
      <alignment horizontal="right" vertical="center"/>
    </xf>
    <xf numFmtId="3" fontId="27" fillId="21" borderId="154" xfId="4" applyNumberFormat="1" applyFont="1" applyFill="1" applyBorder="1" applyAlignment="1">
      <alignment horizontal="right" vertical="center"/>
    </xf>
    <xf numFmtId="0" fontId="18" fillId="8" borderId="157" xfId="4" applyFont="1" applyFill="1" applyBorder="1" applyAlignment="1">
      <alignment horizontal="center" vertical="top"/>
    </xf>
    <xf numFmtId="0" fontId="17" fillId="8" borderId="6" xfId="4" applyFont="1" applyFill="1" applyBorder="1" applyAlignment="1">
      <alignment vertical="top"/>
    </xf>
    <xf numFmtId="0" fontId="27" fillId="55" borderId="154" xfId="0" applyFont="1" applyFill="1" applyBorder="1" applyAlignment="1">
      <alignment horizontal="left" vertical="top"/>
    </xf>
    <xf numFmtId="0" fontId="28" fillId="55" borderId="154" xfId="0" quotePrefix="1" applyFont="1" applyFill="1" applyBorder="1" applyAlignment="1">
      <alignment horizontal="center" vertical="top"/>
    </xf>
    <xf numFmtId="3" fontId="27" fillId="55" borderId="154" xfId="0" quotePrefix="1" applyNumberFormat="1" applyFont="1" applyFill="1" applyBorder="1" applyAlignment="1">
      <alignment horizontal="right" vertical="top"/>
    </xf>
    <xf numFmtId="3" fontId="18" fillId="8" borderId="157" xfId="4" applyNumberFormat="1" applyFont="1" applyFill="1" applyBorder="1" applyAlignment="1">
      <alignment horizontal="center" vertical="top"/>
    </xf>
    <xf numFmtId="3" fontId="29" fillId="8" borderId="154" xfId="4" applyNumberFormat="1" applyFont="1" applyFill="1" applyBorder="1" applyAlignment="1">
      <alignment vertical="top" wrapText="1"/>
    </xf>
    <xf numFmtId="3" fontId="29" fillId="8" borderId="154" xfId="4" applyNumberFormat="1" applyFont="1" applyFill="1" applyBorder="1" applyAlignment="1">
      <alignment horizontal="right" vertical="center"/>
    </xf>
    <xf numFmtId="3" fontId="29" fillId="23" borderId="154" xfId="4" applyNumberFormat="1" applyFont="1" applyFill="1" applyBorder="1" applyAlignment="1">
      <alignment horizontal="right" vertical="center"/>
    </xf>
    <xf numFmtId="3" fontId="7" fillId="8" borderId="154" xfId="4" applyNumberFormat="1" applyFont="1" applyFill="1" applyBorder="1" applyAlignment="1">
      <alignment vertical="top" wrapText="1"/>
    </xf>
    <xf numFmtId="3" fontId="32" fillId="8" borderId="154" xfId="0" applyNumberFormat="1" applyFont="1" applyFill="1" applyBorder="1"/>
    <xf numFmtId="0" fontId="7" fillId="8" borderId="154" xfId="4" applyFont="1" applyFill="1" applyBorder="1" applyAlignment="1">
      <alignment vertical="top" wrapText="1"/>
    </xf>
    <xf numFmtId="3" fontId="7" fillId="23" borderId="154" xfId="4" applyNumberFormat="1" applyFont="1" applyFill="1" applyBorder="1" applyAlignment="1">
      <alignment horizontal="right" vertical="center"/>
    </xf>
    <xf numFmtId="0" fontId="7" fillId="8" borderId="180" xfId="4" applyFont="1" applyFill="1" applyBorder="1" applyAlignment="1">
      <alignment vertical="top" wrapText="1"/>
    </xf>
    <xf numFmtId="3" fontId="7" fillId="8" borderId="180" xfId="4" applyNumberFormat="1" applyFont="1" applyFill="1" applyBorder="1" applyAlignment="1">
      <alignment vertical="top" wrapText="1"/>
    </xf>
    <xf numFmtId="3" fontId="7" fillId="23" borderId="180" xfId="4" applyNumberFormat="1" applyFont="1" applyFill="1" applyBorder="1" applyAlignment="1">
      <alignment horizontal="right" vertical="center"/>
    </xf>
    <xf numFmtId="0" fontId="18" fillId="8" borderId="175" xfId="4" applyFont="1" applyFill="1" applyBorder="1" applyAlignment="1">
      <alignment horizontal="center" vertical="top"/>
    </xf>
    <xf numFmtId="0" fontId="29" fillId="8" borderId="154" xfId="4" applyFont="1" applyFill="1" applyBorder="1" applyAlignment="1">
      <alignment vertical="top"/>
    </xf>
    <xf numFmtId="0" fontId="7" fillId="8" borderId="163" xfId="4" applyFont="1" applyFill="1" applyBorder="1" applyAlignment="1">
      <alignment vertical="top" wrapText="1"/>
    </xf>
    <xf numFmtId="3" fontId="31" fillId="8" borderId="154" xfId="4" applyNumberFormat="1" applyFont="1" applyFill="1" applyBorder="1" applyAlignment="1">
      <alignment horizontal="right" vertical="center"/>
    </xf>
    <xf numFmtId="3" fontId="7" fillId="8" borderId="158" xfId="4" applyNumberFormat="1" applyFont="1" applyFill="1" applyBorder="1" applyAlignment="1">
      <alignment vertical="top" wrapText="1"/>
    </xf>
    <xf numFmtId="3" fontId="32" fillId="8" borderId="154" xfId="6" applyNumberFormat="1" applyFont="1" applyFill="1" applyBorder="1" applyAlignment="1">
      <alignment vertical="center"/>
    </xf>
    <xf numFmtId="0" fontId="25" fillId="6" borderId="158" xfId="4" applyFont="1" applyFill="1" applyBorder="1" applyAlignment="1">
      <alignment horizontal="left" vertical="center"/>
    </xf>
    <xf numFmtId="3" fontId="29" fillId="8" borderId="158" xfId="4" applyNumberFormat="1" applyFont="1" applyFill="1" applyBorder="1" applyAlignment="1">
      <alignment vertical="top" wrapText="1"/>
    </xf>
    <xf numFmtId="3" fontId="27" fillId="8" borderId="154" xfId="4" applyNumberFormat="1" applyFont="1" applyFill="1" applyBorder="1" applyAlignment="1">
      <alignment vertical="top" wrapText="1"/>
    </xf>
    <xf numFmtId="3" fontId="33" fillId="8" borderId="154" xfId="6" applyNumberFormat="1" applyFont="1" applyFill="1" applyBorder="1" applyAlignment="1">
      <alignment vertical="center"/>
    </xf>
    <xf numFmtId="0" fontId="7" fillId="8" borderId="158" xfId="4" applyFont="1" applyFill="1" applyBorder="1" applyAlignment="1">
      <alignment vertical="top" wrapText="1"/>
    </xf>
    <xf numFmtId="0" fontId="7" fillId="8" borderId="154" xfId="4" applyFont="1" applyFill="1" applyBorder="1" applyAlignment="1">
      <alignment horizontal="left" vertical="center"/>
    </xf>
    <xf numFmtId="0" fontId="17" fillId="8" borderId="6" xfId="4" applyFont="1" applyFill="1" applyBorder="1" applyAlignment="1">
      <alignment vertical="center"/>
    </xf>
    <xf numFmtId="0" fontId="27" fillId="8" borderId="158" xfId="4" applyFont="1" applyFill="1" applyBorder="1" applyAlignment="1">
      <alignment vertical="center"/>
    </xf>
    <xf numFmtId="0" fontId="27" fillId="8" borderId="154" xfId="4" applyFont="1" applyFill="1" applyBorder="1" applyAlignment="1">
      <alignment vertical="center"/>
    </xf>
    <xf numFmtId="0" fontId="18" fillId="8" borderId="157" xfId="4" applyFont="1" applyFill="1" applyBorder="1" applyAlignment="1">
      <alignment horizontal="center" vertical="center"/>
    </xf>
    <xf numFmtId="3" fontId="32" fillId="8" borderId="164" xfId="6" applyNumberFormat="1" applyFont="1" applyFill="1" applyBorder="1" applyAlignment="1">
      <alignment vertical="center"/>
    </xf>
    <xf numFmtId="0" fontId="18" fillId="8" borderId="124" xfId="4" applyFont="1" applyFill="1" applyBorder="1" applyAlignment="1">
      <alignment horizontal="center" vertical="center"/>
    </xf>
    <xf numFmtId="0" fontId="17" fillId="8" borderId="22" xfId="4" applyFont="1" applyFill="1" applyBorder="1" applyAlignment="1">
      <alignment vertical="top"/>
    </xf>
    <xf numFmtId="0" fontId="7" fillId="8" borderId="116" xfId="4" applyFont="1" applyFill="1" applyBorder="1" applyAlignment="1">
      <alignment vertical="center"/>
    </xf>
    <xf numFmtId="3" fontId="32" fillId="8" borderId="116" xfId="6" applyNumberFormat="1" applyFont="1" applyFill="1" applyBorder="1" applyAlignment="1">
      <alignment vertical="center"/>
    </xf>
    <xf numFmtId="3" fontId="18" fillId="8" borderId="117" xfId="4" applyNumberFormat="1" applyFont="1" applyFill="1" applyBorder="1" applyAlignment="1">
      <alignment horizontal="center" vertical="top"/>
    </xf>
    <xf numFmtId="0" fontId="37" fillId="0" borderId="98" xfId="0" applyFont="1" applyBorder="1" applyAlignment="1">
      <alignment wrapText="1"/>
    </xf>
    <xf numFmtId="3" fontId="7" fillId="8" borderId="17" xfId="0" applyNumberFormat="1" applyFont="1" applyFill="1" applyBorder="1" applyAlignment="1">
      <alignment vertical="top"/>
    </xf>
    <xf numFmtId="0" fontId="4" fillId="0" borderId="0" xfId="0" applyFont="1" applyAlignment="1">
      <alignment vertical="center"/>
    </xf>
    <xf numFmtId="0" fontId="7" fillId="0" borderId="118" xfId="4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horizontal="left" vertical="center"/>
    </xf>
    <xf numFmtId="3" fontId="4" fillId="0" borderId="0" xfId="0" applyNumberFormat="1" applyFont="1" applyAlignment="1">
      <alignment vertical="center"/>
    </xf>
    <xf numFmtId="3" fontId="4" fillId="0" borderId="170" xfId="0" applyNumberFormat="1" applyFont="1" applyBorder="1" applyAlignment="1">
      <alignment vertical="center"/>
    </xf>
    <xf numFmtId="0" fontId="29" fillId="8" borderId="21" xfId="4" applyFont="1" applyFill="1" applyBorder="1" applyAlignment="1">
      <alignment vertical="center"/>
    </xf>
    <xf numFmtId="0" fontId="7" fillId="8" borderId="37" xfId="4" applyFont="1" applyFill="1" applyBorder="1" applyAlignment="1">
      <alignment vertical="center"/>
    </xf>
    <xf numFmtId="3" fontId="23" fillId="0" borderId="181" xfId="0" applyNumberFormat="1" applyFont="1" applyBorder="1" applyAlignment="1">
      <alignment horizontal="center" vertical="center" wrapText="1"/>
    </xf>
    <xf numFmtId="3" fontId="31" fillId="56" borderId="180" xfId="0" applyNumberFormat="1" applyFont="1" applyFill="1" applyBorder="1" applyAlignment="1">
      <alignment vertical="top"/>
    </xf>
    <xf numFmtId="3" fontId="31" fillId="56" borderId="179" xfId="0" applyNumberFormat="1" applyFont="1" applyFill="1" applyBorder="1" applyAlignment="1">
      <alignment vertical="top"/>
    </xf>
    <xf numFmtId="0" fontId="31" fillId="6" borderId="176" xfId="0" applyFont="1" applyFill="1" applyBorder="1" applyAlignment="1">
      <alignment vertical="center"/>
    </xf>
    <xf numFmtId="3" fontId="25" fillId="6" borderId="176" xfId="0" applyNumberFormat="1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31" fillId="28" borderId="39" xfId="0" applyNumberFormat="1" applyFont="1" applyFill="1" applyBorder="1" applyAlignment="1">
      <alignment vertical="center"/>
    </xf>
    <xf numFmtId="3" fontId="32" fillId="8" borderId="50" xfId="6" applyNumberFormat="1" applyFont="1" applyFill="1" applyBorder="1" applyAlignment="1">
      <alignment vertical="center"/>
    </xf>
    <xf numFmtId="3" fontId="31" fillId="23" borderId="39" xfId="4" applyNumberFormat="1" applyFont="1" applyFill="1" applyBorder="1" applyAlignment="1">
      <alignment vertical="center"/>
    </xf>
    <xf numFmtId="0" fontId="25" fillId="6" borderId="84" xfId="4" applyFont="1" applyFill="1" applyBorder="1" applyAlignment="1">
      <alignment horizontal="left" vertical="center"/>
    </xf>
    <xf numFmtId="0" fontId="25" fillId="6" borderId="38" xfId="4" applyFont="1" applyFill="1" applyBorder="1" applyAlignment="1">
      <alignment horizontal="left" vertical="center"/>
    </xf>
    <xf numFmtId="3" fontId="24" fillId="6" borderId="39" xfId="4" applyNumberFormat="1" applyFont="1" applyFill="1" applyBorder="1" applyAlignment="1">
      <alignment vertical="center"/>
    </xf>
    <xf numFmtId="3" fontId="29" fillId="8" borderId="84" xfId="4" applyNumberFormat="1" applyFont="1" applyFill="1" applyBorder="1" applyAlignment="1">
      <alignment vertical="center" wrapText="1"/>
    </xf>
    <xf numFmtId="3" fontId="32" fillId="8" borderId="38" xfId="6" applyNumberFormat="1" applyFont="1" applyFill="1" applyBorder="1" applyAlignment="1">
      <alignment vertical="center"/>
    </xf>
    <xf numFmtId="3" fontId="33" fillId="8" borderId="50" xfId="6" applyNumberFormat="1" applyFont="1" applyFill="1" applyBorder="1" applyAlignment="1">
      <alignment vertical="center"/>
    </xf>
    <xf numFmtId="3" fontId="7" fillId="8" borderId="84" xfId="4" applyNumberFormat="1" applyFont="1" applyFill="1" applyBorder="1" applyAlignment="1">
      <alignment vertical="center" wrapText="1"/>
    </xf>
    <xf numFmtId="0" fontId="17" fillId="28" borderId="25" xfId="0" applyFont="1" applyFill="1" applyBorder="1" applyAlignment="1">
      <alignment vertical="center"/>
    </xf>
    <xf numFmtId="0" fontId="17" fillId="8" borderId="52" xfId="4" applyFont="1" applyFill="1" applyBorder="1" applyAlignment="1">
      <alignment horizontal="center" vertical="center"/>
    </xf>
    <xf numFmtId="43" fontId="7" fillId="0" borderId="197" xfId="1" applyFont="1" applyFill="1" applyBorder="1" applyAlignment="1">
      <alignment horizontal="right" vertical="center"/>
    </xf>
    <xf numFmtId="0" fontId="7" fillId="8" borderId="199" xfId="4" applyFont="1" applyFill="1" applyBorder="1" applyAlignment="1">
      <alignment vertical="center"/>
    </xf>
    <xf numFmtId="3" fontId="31" fillId="28" borderId="190" xfId="0" applyNumberFormat="1" applyFont="1" applyFill="1" applyBorder="1" applyAlignment="1">
      <alignment vertical="center"/>
    </xf>
    <xf numFmtId="0" fontId="31" fillId="8" borderId="21" xfId="4" applyFont="1" applyFill="1" applyBorder="1" applyAlignment="1">
      <alignment vertical="center"/>
    </xf>
    <xf numFmtId="3" fontId="31" fillId="28" borderId="35" xfId="0" applyNumberFormat="1" applyFont="1" applyFill="1" applyBorder="1" applyAlignment="1">
      <alignment vertical="center"/>
    </xf>
    <xf numFmtId="3" fontId="32" fillId="8" borderId="9" xfId="6" applyNumberFormat="1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center"/>
    </xf>
    <xf numFmtId="3" fontId="27" fillId="25" borderId="9" xfId="4" applyNumberFormat="1" applyFont="1" applyFill="1" applyBorder="1" applyAlignment="1">
      <alignment horizontal="right" vertical="center"/>
    </xf>
    <xf numFmtId="0" fontId="25" fillId="6" borderId="52" xfId="4" applyFont="1" applyFill="1" applyBorder="1" applyAlignment="1">
      <alignment horizontal="left" vertical="center"/>
    </xf>
    <xf numFmtId="0" fontId="25" fillId="6" borderId="50" xfId="4" applyFont="1" applyFill="1" applyBorder="1" applyAlignment="1">
      <alignment horizontal="left" vertical="center"/>
    </xf>
    <xf numFmtId="3" fontId="24" fillId="29" borderId="39" xfId="0" applyNumberFormat="1" applyFont="1" applyFill="1" applyBorder="1" applyAlignment="1">
      <alignment vertical="center"/>
    </xf>
    <xf numFmtId="3" fontId="25" fillId="22" borderId="39" xfId="0" applyNumberFormat="1" applyFont="1" applyFill="1" applyBorder="1" applyAlignment="1">
      <alignment vertical="center"/>
    </xf>
    <xf numFmtId="0" fontId="18" fillId="0" borderId="24" xfId="112" applyFont="1" applyBorder="1" applyAlignment="1">
      <alignment horizontal="center" vertical="center" wrapText="1"/>
    </xf>
    <xf numFmtId="0" fontId="18" fillId="0" borderId="51" xfId="112" applyFont="1" applyBorder="1" applyAlignment="1">
      <alignment horizontal="center" vertical="center" wrapText="1"/>
    </xf>
    <xf numFmtId="0" fontId="18" fillId="0" borderId="3" xfId="112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center" vertical="top"/>
    </xf>
    <xf numFmtId="0" fontId="21" fillId="0" borderId="51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top"/>
    </xf>
    <xf numFmtId="0" fontId="26" fillId="0" borderId="40" xfId="0" applyFont="1" applyBorder="1" applyAlignment="1"/>
    <xf numFmtId="0" fontId="26" fillId="0" borderId="42" xfId="0" applyFont="1" applyBorder="1" applyAlignment="1"/>
    <xf numFmtId="2" fontId="18" fillId="0" borderId="51" xfId="0" applyNumberFormat="1" applyFont="1" applyBorder="1" applyAlignment="1">
      <alignment horizontal="center" vertical="top" wrapText="1"/>
    </xf>
    <xf numFmtId="2" fontId="18" fillId="0" borderId="3" xfId="0" applyNumberFormat="1" applyFont="1" applyBorder="1" applyAlignment="1">
      <alignment horizontal="center" vertical="top" wrapText="1"/>
    </xf>
    <xf numFmtId="0" fontId="8" fillId="0" borderId="51" xfId="0" applyFont="1" applyBorder="1"/>
    <xf numFmtId="0" fontId="18" fillId="0" borderId="24" xfId="112" applyFont="1" applyBorder="1" applyAlignment="1">
      <alignment vertical="center"/>
    </xf>
    <xf numFmtId="0" fontId="18" fillId="0" borderId="51" xfId="112" applyFont="1" applyBorder="1" applyAlignment="1">
      <alignment vertical="center"/>
    </xf>
    <xf numFmtId="0" fontId="18" fillId="0" borderId="3" xfId="112" applyFont="1" applyBorder="1" applyAlignment="1">
      <alignment vertical="center"/>
    </xf>
    <xf numFmtId="0" fontId="18" fillId="0" borderId="24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21" fillId="0" borderId="51" xfId="0" applyFont="1" applyBorder="1" applyAlignment="1">
      <alignment vertical="top"/>
    </xf>
    <xf numFmtId="2" fontId="18" fillId="0" borderId="51" xfId="0" applyNumberFormat="1" applyFont="1" applyBorder="1" applyAlignment="1">
      <alignment vertical="top"/>
    </xf>
    <xf numFmtId="2" fontId="18" fillId="0" borderId="3" xfId="0" applyNumberFormat="1" applyFont="1" applyBorder="1" applyAlignment="1">
      <alignment vertical="top"/>
    </xf>
    <xf numFmtId="0" fontId="18" fillId="0" borderId="24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7" fillId="0" borderId="24" xfId="112" applyFont="1" applyBorder="1" applyAlignment="1">
      <alignment vertical="center"/>
    </xf>
    <xf numFmtId="0" fontId="17" fillId="0" borderId="51" xfId="112" applyFont="1" applyBorder="1" applyAlignment="1">
      <alignment vertical="center"/>
    </xf>
    <xf numFmtId="0" fontId="17" fillId="0" borderId="3" xfId="112" applyFont="1" applyBorder="1" applyAlignment="1">
      <alignment vertical="center"/>
    </xf>
    <xf numFmtId="0" fontId="17" fillId="0" borderId="24" xfId="0" applyFont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25" fillId="0" borderId="51" xfId="0" applyFont="1" applyBorder="1" applyAlignment="1">
      <alignment vertical="top"/>
    </xf>
    <xf numFmtId="0" fontId="25" fillId="0" borderId="3" xfId="0" applyFont="1" applyBorder="1" applyAlignment="1">
      <alignment vertical="top"/>
    </xf>
    <xf numFmtId="0" fontId="20" fillId="0" borderId="24" xfId="0" applyFont="1" applyBorder="1" applyAlignment="1">
      <alignment vertical="top"/>
    </xf>
    <xf numFmtId="0" fontId="20" fillId="0" borderId="51" xfId="0" applyFont="1" applyBorder="1" applyAlignment="1">
      <alignment vertical="top"/>
    </xf>
    <xf numFmtId="0" fontId="20" fillId="0" borderId="3" xfId="0" applyFont="1" applyBorder="1" applyAlignment="1">
      <alignment vertical="top"/>
    </xf>
    <xf numFmtId="0" fontId="19" fillId="0" borderId="51" xfId="0" applyFont="1" applyBorder="1" applyAlignment="1">
      <alignment vertical="top"/>
    </xf>
    <xf numFmtId="0" fontId="19" fillId="0" borderId="3" xfId="0" applyFont="1" applyBorder="1" applyAlignment="1">
      <alignment vertical="top"/>
    </xf>
    <xf numFmtId="2" fontId="17" fillId="0" borderId="51" xfId="0" applyNumberFormat="1" applyFont="1" applyBorder="1" applyAlignment="1">
      <alignment vertical="top"/>
    </xf>
    <xf numFmtId="2" fontId="17" fillId="0" borderId="3" xfId="0" applyNumberFormat="1" applyFont="1" applyBorder="1" applyAlignment="1">
      <alignment vertical="top"/>
    </xf>
    <xf numFmtId="3" fontId="7" fillId="8" borderId="133" xfId="4" applyNumberFormat="1" applyFont="1" applyFill="1" applyBorder="1" applyAlignment="1">
      <alignment vertical="center" wrapText="1"/>
    </xf>
    <xf numFmtId="3" fontId="32" fillId="8" borderId="197" xfId="6" applyNumberFormat="1" applyFont="1" applyFill="1" applyBorder="1" applyAlignment="1">
      <alignment vertical="center"/>
    </xf>
    <xf numFmtId="0" fontId="21" fillId="0" borderId="77" xfId="0" applyFont="1" applyBorder="1" applyAlignment="1">
      <alignment horizontal="center" vertical="top" wrapText="1"/>
    </xf>
    <xf numFmtId="0" fontId="8" fillId="17" borderId="51" xfId="0" applyFont="1" applyFill="1" applyBorder="1" applyAlignment="1">
      <alignment horizontal="right"/>
    </xf>
    <xf numFmtId="0" fontId="36" fillId="0" borderId="50" xfId="0" applyFont="1" applyBorder="1" applyAlignment="1">
      <alignment horizontal="center" vertical="center"/>
    </xf>
    <xf numFmtId="0" fontId="36" fillId="18" borderId="51" xfId="0" applyFont="1" applyFill="1" applyBorder="1" applyAlignment="1">
      <alignment horizontal="center" vertical="center"/>
    </xf>
    <xf numFmtId="0" fontId="82" fillId="0" borderId="51" xfId="0" applyFont="1" applyBorder="1" applyAlignment="1">
      <alignment horizontal="right"/>
    </xf>
    <xf numFmtId="3" fontId="27" fillId="2" borderId="45" xfId="4" applyNumberFormat="1" applyFont="1" applyFill="1" applyBorder="1" applyAlignment="1">
      <alignment vertical="center" wrapText="1"/>
    </xf>
    <xf numFmtId="3" fontId="27" fillId="2" borderId="19" xfId="4" applyNumberFormat="1" applyFont="1" applyFill="1" applyBorder="1" applyAlignment="1">
      <alignment vertical="center" wrapText="1"/>
    </xf>
    <xf numFmtId="43" fontId="31" fillId="0" borderId="197" xfId="1" applyFont="1" applyFill="1" applyBorder="1" applyAlignment="1">
      <alignment vertical="center"/>
    </xf>
    <xf numFmtId="43" fontId="8" fillId="11" borderId="3" xfId="1" applyFont="1" applyFill="1" applyBorder="1"/>
    <xf numFmtId="0" fontId="7" fillId="8" borderId="52" xfId="4" applyFont="1" applyFill="1" applyBorder="1" applyAlignment="1">
      <alignment vertical="top"/>
    </xf>
    <xf numFmtId="0" fontId="24" fillId="8" borderId="52" xfId="4" applyFont="1" applyFill="1" applyBorder="1" applyAlignment="1">
      <alignment horizontal="right" vertical="top"/>
    </xf>
    <xf numFmtId="0" fontId="7" fillId="8" borderId="84" xfId="4" applyFont="1" applyFill="1" applyBorder="1" applyAlignment="1">
      <alignment vertical="top"/>
    </xf>
    <xf numFmtId="0" fontId="7" fillId="8" borderId="84" xfId="4" applyFont="1" applyFill="1" applyBorder="1" applyAlignment="1">
      <alignment vertical="center"/>
    </xf>
    <xf numFmtId="0" fontId="7" fillId="8" borderId="1" xfId="4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center"/>
    </xf>
    <xf numFmtId="2" fontId="35" fillId="8" borderId="5" xfId="0" applyNumberFormat="1" applyFont="1" applyFill="1" applyBorder="1" applyAlignment="1">
      <alignment vertical="top"/>
    </xf>
    <xf numFmtId="0" fontId="60" fillId="13" borderId="22" xfId="0" applyFont="1" applyFill="1" applyBorder="1" applyAlignment="1">
      <alignment vertical="center"/>
    </xf>
    <xf numFmtId="0" fontId="80" fillId="13" borderId="51" xfId="4" applyFont="1" applyFill="1" applyBorder="1" applyAlignment="1">
      <alignment horizontal="center" vertical="center"/>
    </xf>
    <xf numFmtId="0" fontId="69" fillId="13" borderId="51" xfId="4" applyFont="1" applyFill="1" applyBorder="1" applyAlignment="1">
      <alignment horizontal="left" vertical="center"/>
    </xf>
    <xf numFmtId="0" fontId="69" fillId="0" borderId="51" xfId="4" applyFont="1" applyFill="1" applyBorder="1" applyAlignment="1">
      <alignment horizontal="left" vertical="center"/>
    </xf>
    <xf numFmtId="0" fontId="69" fillId="0" borderId="38" xfId="4" applyFont="1" applyFill="1" applyBorder="1" applyAlignment="1">
      <alignment horizontal="left" vertical="center"/>
    </xf>
    <xf numFmtId="0" fontId="7" fillId="0" borderId="51" xfId="0" applyFont="1" applyFill="1" applyBorder="1" applyAlignment="1">
      <alignment vertical="center" wrapText="1"/>
    </xf>
    <xf numFmtId="0" fontId="8" fillId="0" borderId="5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3" fontId="62" fillId="0" borderId="24" xfId="0" applyNumberFormat="1" applyFont="1" applyFill="1" applyBorder="1" applyAlignment="1">
      <alignment vertical="center" wrapText="1"/>
    </xf>
    <xf numFmtId="3" fontId="62" fillId="0" borderId="39" xfId="0" applyNumberFormat="1" applyFont="1" applyFill="1" applyBorder="1" applyAlignment="1">
      <alignment vertical="center" wrapText="1"/>
    </xf>
    <xf numFmtId="2" fontId="27" fillId="55" borderId="38" xfId="4" applyNumberFormat="1" applyFont="1" applyFill="1" applyBorder="1" applyAlignment="1">
      <alignment horizontal="left" vertical="center"/>
    </xf>
    <xf numFmtId="3" fontId="78" fillId="2" borderId="24" xfId="0" applyNumberFormat="1" applyFont="1" applyFill="1" applyBorder="1" applyAlignment="1">
      <alignment vertical="center"/>
    </xf>
    <xf numFmtId="3" fontId="27" fillId="25" borderId="7" xfId="0" applyNumberFormat="1" applyFont="1" applyFill="1" applyBorder="1" applyAlignment="1">
      <alignment horizontal="center" vertical="top"/>
    </xf>
    <xf numFmtId="3" fontId="31" fillId="25" borderId="7" xfId="0" applyNumberFormat="1" applyFont="1" applyFill="1" applyBorder="1" applyAlignment="1">
      <alignment horizontal="center" vertical="center"/>
    </xf>
    <xf numFmtId="3" fontId="25" fillId="22" borderId="69" xfId="0" applyNumberFormat="1" applyFont="1" applyFill="1" applyBorder="1" applyAlignment="1">
      <alignment vertical="center"/>
    </xf>
    <xf numFmtId="3" fontId="31" fillId="25" borderId="31" xfId="4" applyNumberFormat="1" applyFont="1" applyFill="1" applyBorder="1" applyAlignment="1">
      <alignment horizontal="right" vertical="center"/>
    </xf>
    <xf numFmtId="3" fontId="7" fillId="23" borderId="76" xfId="0" applyNumberFormat="1" applyFont="1" applyFill="1" applyBorder="1" applyAlignment="1">
      <alignment vertical="center"/>
    </xf>
    <xf numFmtId="3" fontId="27" fillId="21" borderId="7" xfId="4" applyNumberFormat="1" applyFont="1" applyFill="1" applyBorder="1" applyAlignment="1">
      <alignment horizontal="right" vertical="center"/>
    </xf>
    <xf numFmtId="3" fontId="27" fillId="21" borderId="69" xfId="4" applyNumberFormat="1" applyFont="1" applyFill="1" applyBorder="1" applyAlignment="1">
      <alignment horizontal="right" vertical="center"/>
    </xf>
    <xf numFmtId="3" fontId="27" fillId="23" borderId="69" xfId="4" applyNumberFormat="1" applyFont="1" applyFill="1" applyBorder="1" applyAlignment="1">
      <alignment vertical="top"/>
    </xf>
    <xf numFmtId="3" fontId="7" fillId="25" borderId="69" xfId="4" applyNumberFormat="1" applyFont="1" applyFill="1" applyBorder="1" applyAlignment="1">
      <alignment vertical="top"/>
    </xf>
    <xf numFmtId="3" fontId="28" fillId="60" borderId="7" xfId="0" applyNumberFormat="1" applyFont="1" applyFill="1" applyBorder="1" applyAlignment="1">
      <alignment vertical="center"/>
    </xf>
    <xf numFmtId="2" fontId="25" fillId="23" borderId="31" xfId="0" applyNumberFormat="1" applyFont="1" applyFill="1" applyBorder="1" applyAlignment="1">
      <alignment vertical="center"/>
    </xf>
    <xf numFmtId="2" fontId="25" fillId="23" borderId="31" xfId="0" applyNumberFormat="1" applyFont="1" applyFill="1" applyBorder="1" applyAlignment="1">
      <alignment horizontal="center" vertical="center"/>
    </xf>
    <xf numFmtId="2" fontId="25" fillId="23" borderId="69" xfId="0" applyNumberFormat="1" applyFont="1" applyFill="1" applyBorder="1" applyAlignment="1">
      <alignment horizontal="center" vertical="center"/>
    </xf>
    <xf numFmtId="2" fontId="25" fillId="22" borderId="7" xfId="0" applyNumberFormat="1" applyFont="1" applyFill="1" applyBorder="1" applyAlignment="1">
      <alignment vertical="top"/>
    </xf>
    <xf numFmtId="3" fontId="24" fillId="22" borderId="7" xfId="4" applyNumberFormat="1" applyFont="1" applyFill="1" applyBorder="1" applyAlignment="1">
      <alignment horizontal="right" vertical="center"/>
    </xf>
    <xf numFmtId="3" fontId="27" fillId="25" borderId="69" xfId="4" applyNumberFormat="1" applyFont="1" applyFill="1" applyBorder="1" applyAlignment="1">
      <alignment horizontal="right" vertical="center"/>
    </xf>
    <xf numFmtId="3" fontId="24" fillId="22" borderId="69" xfId="4" applyNumberFormat="1" applyFont="1" applyFill="1" applyBorder="1" applyAlignment="1">
      <alignment horizontal="right" vertical="center"/>
    </xf>
    <xf numFmtId="0" fontId="18" fillId="0" borderId="84" xfId="112" applyFont="1" applyBorder="1" applyAlignment="1">
      <alignment horizontal="center" vertical="center" wrapText="1"/>
    </xf>
    <xf numFmtId="0" fontId="18" fillId="0" borderId="1" xfId="112" applyFont="1" applyBorder="1" applyAlignment="1">
      <alignment horizontal="center" vertical="center" wrapText="1"/>
    </xf>
    <xf numFmtId="3" fontId="18" fillId="8" borderId="52" xfId="4" applyNumberFormat="1" applyFont="1" applyFill="1" applyBorder="1" applyAlignment="1">
      <alignment vertical="top" wrapText="1"/>
    </xf>
    <xf numFmtId="3" fontId="18" fillId="8" borderId="52" xfId="4" applyNumberFormat="1" applyFont="1" applyFill="1" applyBorder="1" applyAlignment="1">
      <alignment vertical="center" wrapText="1"/>
    </xf>
    <xf numFmtId="3" fontId="18" fillId="8" borderId="5" xfId="4" applyNumberFormat="1" applyFont="1" applyFill="1" applyBorder="1" applyAlignment="1">
      <alignment vertical="top" wrapText="1"/>
    </xf>
    <xf numFmtId="2" fontId="20" fillId="8" borderId="52" xfId="0" applyNumberFormat="1" applyFont="1" applyFill="1" applyBorder="1" applyAlignment="1">
      <alignment horizontal="center" vertical="center" wrapText="1"/>
    </xf>
    <xf numFmtId="2" fontId="35" fillId="8" borderId="5" xfId="0" applyNumberFormat="1" applyFont="1" applyFill="1" applyBorder="1" applyAlignment="1">
      <alignment horizontal="center" vertical="center" wrapText="1"/>
    </xf>
    <xf numFmtId="0" fontId="39" fillId="0" borderId="52" xfId="0" applyFont="1" applyBorder="1" applyAlignment="1">
      <alignment horizontal="center" vertical="center" wrapText="1"/>
    </xf>
    <xf numFmtId="0" fontId="20" fillId="0" borderId="52" xfId="4" applyFont="1" applyFill="1" applyBorder="1" applyAlignment="1">
      <alignment horizontal="center" vertical="center" wrapText="1"/>
    </xf>
    <xf numFmtId="0" fontId="78" fillId="2" borderId="66" xfId="0" applyFont="1" applyFill="1" applyBorder="1" applyAlignment="1">
      <alignment vertical="center"/>
    </xf>
    <xf numFmtId="0" fontId="78" fillId="2" borderId="84" xfId="0" applyFont="1" applyFill="1" applyBorder="1" applyAlignment="1">
      <alignment vertical="center"/>
    </xf>
    <xf numFmtId="0" fontId="8" fillId="0" borderId="84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18" fillId="0" borderId="66" xfId="112" applyFont="1" applyBorder="1" applyAlignment="1">
      <alignment horizontal="center" vertical="center" wrapText="1"/>
    </xf>
    <xf numFmtId="3" fontId="24" fillId="6" borderId="23" xfId="4" applyNumberFormat="1" applyFont="1" applyFill="1" applyBorder="1" applyAlignment="1">
      <alignment vertical="center"/>
    </xf>
    <xf numFmtId="2" fontId="17" fillId="8" borderId="25" xfId="0" applyNumberFormat="1" applyFont="1" applyFill="1" applyBorder="1" applyAlignment="1">
      <alignment vertical="top"/>
    </xf>
    <xf numFmtId="2" fontId="27" fillId="21" borderId="72" xfId="4" applyNumberFormat="1" applyFont="1" applyFill="1" applyBorder="1" applyAlignment="1">
      <alignment horizontal="right" vertical="center"/>
    </xf>
    <xf numFmtId="0" fontId="39" fillId="0" borderId="22" xfId="0" applyFont="1" applyFill="1" applyBorder="1" applyAlignment="1">
      <alignment vertical="center"/>
    </xf>
    <xf numFmtId="0" fontId="80" fillId="2" borderId="66" xfId="0" applyFont="1" applyFill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4" fillId="0" borderId="35" xfId="0" applyFont="1" applyBorder="1"/>
    <xf numFmtId="3" fontId="25" fillId="22" borderId="7" xfId="0" applyNumberFormat="1" applyFont="1" applyFill="1" applyBorder="1" applyAlignment="1">
      <alignment vertical="center"/>
    </xf>
    <xf numFmtId="0" fontId="39" fillId="0" borderId="14" xfId="0" applyFont="1" applyFill="1" applyBorder="1" applyAlignment="1">
      <alignment vertical="center"/>
    </xf>
    <xf numFmtId="0" fontId="18" fillId="0" borderId="26" xfId="112" applyFont="1" applyBorder="1" applyAlignment="1">
      <alignment horizontal="center" vertical="center" wrapText="1"/>
    </xf>
    <xf numFmtId="0" fontId="25" fillId="6" borderId="11" xfId="4" applyFont="1" applyFill="1" applyBorder="1" applyAlignment="1">
      <alignment horizontal="left" vertical="center"/>
    </xf>
    <xf numFmtId="43" fontId="31" fillId="25" borderId="13" xfId="1" applyFont="1" applyFill="1" applyBorder="1" applyAlignment="1">
      <alignment vertical="top"/>
    </xf>
    <xf numFmtId="2" fontId="27" fillId="55" borderId="65" xfId="0" applyNumberFormat="1" applyFont="1" applyFill="1" applyBorder="1" applyAlignment="1">
      <alignment horizontal="left" vertical="top"/>
    </xf>
    <xf numFmtId="2" fontId="28" fillId="55" borderId="6" xfId="0" quotePrefix="1" applyNumberFormat="1" applyFont="1" applyFill="1" applyBorder="1" applyAlignment="1">
      <alignment horizontal="center" vertical="top"/>
    </xf>
    <xf numFmtId="2" fontId="27" fillId="55" borderId="27" xfId="0" quotePrefix="1" applyNumberFormat="1" applyFont="1" applyFill="1" applyBorder="1" applyAlignment="1">
      <alignment horizontal="right" vertical="top"/>
    </xf>
    <xf numFmtId="2" fontId="27" fillId="21" borderId="10" xfId="4" applyNumberFormat="1" applyFont="1" applyFill="1" applyBorder="1" applyAlignment="1">
      <alignment horizontal="right" vertical="center"/>
    </xf>
    <xf numFmtId="3" fontId="33" fillId="25" borderId="13" xfId="6" applyNumberFormat="1" applyFont="1" applyFill="1" applyBorder="1" applyAlignment="1">
      <alignment vertical="center"/>
    </xf>
    <xf numFmtId="0" fontId="7" fillId="0" borderId="11" xfId="4" applyFont="1" applyFill="1" applyBorder="1" applyAlignment="1">
      <alignment vertical="center"/>
    </xf>
    <xf numFmtId="0" fontId="39" fillId="0" borderId="6" xfId="0" applyFont="1" applyFill="1" applyBorder="1" applyAlignment="1">
      <alignment vertical="center"/>
    </xf>
    <xf numFmtId="3" fontId="81" fillId="0" borderId="13" xfId="0" applyNumberFormat="1" applyFont="1" applyFill="1" applyBorder="1" applyAlignment="1">
      <alignment vertical="center" wrapText="1"/>
    </xf>
    <xf numFmtId="3" fontId="79" fillId="0" borderId="10" xfId="0" applyNumberFormat="1" applyFont="1" applyFill="1" applyBorder="1" applyAlignment="1">
      <alignment vertical="center" wrapText="1"/>
    </xf>
    <xf numFmtId="0" fontId="80" fillId="2" borderId="26" xfId="0" applyFont="1" applyFill="1" applyBorder="1" applyAlignment="1">
      <alignment vertical="center"/>
    </xf>
    <xf numFmtId="3" fontId="18" fillId="8" borderId="25" xfId="4" applyNumberFormat="1" applyFont="1" applyFill="1" applyBorder="1" applyAlignment="1">
      <alignment vertical="top" wrapText="1"/>
    </xf>
    <xf numFmtId="3" fontId="25" fillId="25" borderId="35" xfId="0" applyNumberFormat="1" applyFont="1" applyFill="1" applyBorder="1" applyAlignment="1">
      <alignment vertical="top"/>
    </xf>
    <xf numFmtId="2" fontId="31" fillId="8" borderId="21" xfId="0" applyNumberFormat="1" applyFont="1" applyFill="1" applyBorder="1" applyAlignment="1">
      <alignment vertical="top"/>
    </xf>
    <xf numFmtId="2" fontId="31" fillId="8" borderId="9" xfId="0" applyNumberFormat="1" applyFont="1" applyFill="1" applyBorder="1" applyAlignment="1">
      <alignment vertical="top"/>
    </xf>
    <xf numFmtId="0" fontId="37" fillId="0" borderId="0" xfId="0" applyFont="1" applyBorder="1" applyAlignment="1">
      <alignment vertical="center"/>
    </xf>
    <xf numFmtId="0" fontId="4" fillId="0" borderId="0" xfId="0" applyFont="1" applyBorder="1"/>
    <xf numFmtId="3" fontId="4" fillId="0" borderId="0" xfId="0" applyNumberFormat="1" applyFont="1" applyBorder="1"/>
    <xf numFmtId="3" fontId="33" fillId="0" borderId="0" xfId="6" applyNumberFormat="1" applyFont="1" applyFill="1" applyBorder="1" applyAlignment="1">
      <alignment vertical="center"/>
    </xf>
    <xf numFmtId="3" fontId="31" fillId="0" borderId="0" xfId="4" applyNumberFormat="1" applyFont="1" applyFill="1" applyBorder="1" applyAlignment="1">
      <alignment vertical="center"/>
    </xf>
    <xf numFmtId="0" fontId="40" fillId="2" borderId="0" xfId="0" applyFont="1" applyFill="1" applyBorder="1" applyAlignment="1">
      <alignment vertical="center"/>
    </xf>
    <xf numFmtId="0" fontId="59" fillId="2" borderId="0" xfId="0" applyFont="1" applyFill="1" applyBorder="1" applyAlignment="1">
      <alignment vertical="center"/>
    </xf>
    <xf numFmtId="0" fontId="59" fillId="36" borderId="0" xfId="0" applyFont="1" applyFill="1" applyBorder="1" applyAlignment="1">
      <alignment vertical="center"/>
    </xf>
    <xf numFmtId="0" fontId="59" fillId="2" borderId="0" xfId="0" applyFont="1" applyFill="1" applyBorder="1" applyAlignment="1">
      <alignment horizontal="center" vertical="center" wrapText="1"/>
    </xf>
    <xf numFmtId="0" fontId="25" fillId="6" borderId="0" xfId="4" applyFont="1" applyFill="1" applyBorder="1" applyAlignment="1">
      <alignment horizontal="left" vertical="center"/>
    </xf>
    <xf numFmtId="0" fontId="31" fillId="55" borderId="0" xfId="4" applyFont="1" applyFill="1" applyBorder="1" applyAlignment="1">
      <alignment horizontal="left" vertical="center"/>
    </xf>
    <xf numFmtId="3" fontId="31" fillId="55" borderId="0" xfId="0" applyNumberFormat="1" applyFont="1" applyFill="1" applyBorder="1" applyAlignment="1">
      <alignment vertical="top"/>
    </xf>
    <xf numFmtId="43" fontId="28" fillId="25" borderId="0" xfId="1" applyFont="1" applyFill="1" applyBorder="1" applyAlignment="1">
      <alignment vertical="center"/>
    </xf>
    <xf numFmtId="2" fontId="17" fillId="8" borderId="0" xfId="0" applyNumberFormat="1" applyFont="1" applyFill="1" applyBorder="1" applyAlignment="1">
      <alignment vertical="top"/>
    </xf>
    <xf numFmtId="2" fontId="25" fillId="6" borderId="0" xfId="4" applyNumberFormat="1" applyFont="1" applyFill="1" applyBorder="1" applyAlignment="1">
      <alignment horizontal="left" vertical="center"/>
    </xf>
    <xf numFmtId="2" fontId="25" fillId="6" borderId="0" xfId="0" applyNumberFormat="1" applyFont="1" applyFill="1" applyBorder="1" applyAlignment="1">
      <alignment vertical="top"/>
    </xf>
    <xf numFmtId="2" fontId="25" fillId="22" borderId="0" xfId="0" applyNumberFormat="1" applyFont="1" applyFill="1" applyBorder="1" applyAlignment="1">
      <alignment vertical="top"/>
    </xf>
    <xf numFmtId="2" fontId="27" fillId="8" borderId="0" xfId="4" applyNumberFormat="1" applyFont="1" applyFill="1" applyBorder="1" applyAlignment="1">
      <alignment vertical="top"/>
    </xf>
    <xf numFmtId="2" fontId="27" fillId="8" borderId="0" xfId="0" applyNumberFormat="1" applyFont="1" applyFill="1" applyBorder="1" applyAlignment="1">
      <alignment vertical="top"/>
    </xf>
    <xf numFmtId="2" fontId="27" fillId="23" borderId="0" xfId="0" applyNumberFormat="1" applyFont="1" applyFill="1" applyBorder="1" applyAlignment="1">
      <alignment vertical="top"/>
    </xf>
    <xf numFmtId="3" fontId="28" fillId="23" borderId="0" xfId="4" applyNumberFormat="1" applyFont="1" applyFill="1" applyBorder="1" applyAlignment="1">
      <alignment horizontal="right" vertical="center"/>
    </xf>
    <xf numFmtId="0" fontId="24" fillId="6" borderId="0" xfId="4" applyFont="1" applyFill="1" applyBorder="1" applyAlignment="1">
      <alignment horizontal="left" vertical="center"/>
    </xf>
    <xf numFmtId="0" fontId="24" fillId="8" borderId="0" xfId="4" applyFont="1" applyFill="1" applyBorder="1" applyAlignment="1">
      <alignment vertical="center" wrapText="1"/>
    </xf>
    <xf numFmtId="0" fontId="24" fillId="8" borderId="0" xfId="4" applyFont="1" applyFill="1" applyBorder="1" applyAlignment="1">
      <alignment horizontal="center" vertical="center" wrapText="1"/>
    </xf>
    <xf numFmtId="3" fontId="25" fillId="8" borderId="0" xfId="4" applyNumberFormat="1" applyFont="1" applyFill="1" applyBorder="1" applyAlignment="1">
      <alignment vertical="center"/>
    </xf>
    <xf numFmtId="3" fontId="25" fillId="8" borderId="0" xfId="4" applyNumberFormat="1" applyFont="1" applyFill="1" applyBorder="1" applyAlignment="1">
      <alignment horizontal="right" vertical="center"/>
    </xf>
    <xf numFmtId="3" fontId="25" fillId="23" borderId="0" xfId="4" applyNumberFormat="1" applyFont="1" applyFill="1" applyBorder="1" applyAlignment="1">
      <alignment horizontal="right" vertical="center"/>
    </xf>
    <xf numFmtId="0" fontId="18" fillId="0" borderId="0" xfId="4" applyFont="1" applyFill="1" applyBorder="1" applyAlignment="1">
      <alignment vertical="center" wrapText="1"/>
    </xf>
    <xf numFmtId="3" fontId="25" fillId="6" borderId="0" xfId="4" applyNumberFormat="1" applyFont="1" applyFill="1" applyBorder="1" applyAlignment="1">
      <alignment horizontal="right" vertical="center"/>
    </xf>
    <xf numFmtId="3" fontId="25" fillId="22" borderId="0" xfId="4" applyNumberFormat="1" applyFont="1" applyFill="1" applyBorder="1" applyAlignment="1">
      <alignment horizontal="right" vertical="center"/>
    </xf>
    <xf numFmtId="0" fontId="39" fillId="0" borderId="0" xfId="0" applyFont="1" applyFill="1" applyBorder="1" applyAlignment="1">
      <alignment vertical="center"/>
    </xf>
    <xf numFmtId="3" fontId="81" fillId="0" borderId="0" xfId="0" applyNumberFormat="1" applyFont="1" applyFill="1" applyBorder="1" applyAlignment="1">
      <alignment vertical="center" wrapText="1"/>
    </xf>
    <xf numFmtId="3" fontId="79" fillId="0" borderId="0" xfId="0" applyNumberFormat="1" applyFont="1" applyFill="1" applyBorder="1" applyAlignment="1">
      <alignment vertical="center" wrapText="1"/>
    </xf>
    <xf numFmtId="0" fontId="80" fillId="2" borderId="0" xfId="0" applyFont="1" applyFill="1" applyBorder="1" applyAlignment="1">
      <alignment vertical="center"/>
    </xf>
    <xf numFmtId="0" fontId="69" fillId="13" borderId="0" xfId="4" applyFont="1" applyFill="1" applyBorder="1" applyAlignment="1">
      <alignment horizontal="left" vertical="center"/>
    </xf>
    <xf numFmtId="0" fontId="31" fillId="6" borderId="200" xfId="0" applyFont="1" applyFill="1" applyBorder="1" applyAlignment="1">
      <alignment vertical="center"/>
    </xf>
    <xf numFmtId="43" fontId="25" fillId="6" borderId="179" xfId="1" applyFont="1" applyFill="1" applyBorder="1" applyAlignment="1">
      <alignment vertical="center"/>
    </xf>
    <xf numFmtId="3" fontId="27" fillId="0" borderId="179" xfId="0" applyNumberFormat="1" applyFont="1" applyFill="1" applyBorder="1" applyAlignment="1">
      <alignment vertical="center"/>
    </xf>
    <xf numFmtId="43" fontId="27" fillId="0" borderId="179" xfId="1" applyFont="1" applyFill="1" applyBorder="1" applyAlignment="1">
      <alignment vertical="center"/>
    </xf>
    <xf numFmtId="0" fontId="63" fillId="58" borderId="199" xfId="0" applyFont="1" applyFill="1" applyBorder="1"/>
    <xf numFmtId="3" fontId="28" fillId="60" borderId="12" xfId="0" applyNumberFormat="1" applyFont="1" applyFill="1" applyBorder="1" applyAlignment="1">
      <alignment vertical="center"/>
    </xf>
    <xf numFmtId="2" fontId="27" fillId="21" borderId="12" xfId="4" applyNumberFormat="1" applyFont="1" applyFill="1" applyBorder="1" applyAlignment="1">
      <alignment horizontal="right" vertical="center"/>
    </xf>
    <xf numFmtId="0" fontId="25" fillId="6" borderId="200" xfId="4" applyFont="1" applyFill="1" applyBorder="1" applyAlignment="1">
      <alignment horizontal="left" vertical="center"/>
    </xf>
    <xf numFmtId="0" fontId="25" fillId="6" borderId="67" xfId="4" applyFont="1" applyFill="1" applyBorder="1" applyAlignment="1">
      <alignment horizontal="left" vertical="center"/>
    </xf>
    <xf numFmtId="0" fontId="33" fillId="0" borderId="23" xfId="0" applyFont="1" applyBorder="1" applyAlignment="1">
      <alignment vertical="center"/>
    </xf>
    <xf numFmtId="2" fontId="27" fillId="55" borderId="67" xfId="4" applyNumberFormat="1" applyFont="1" applyFill="1" applyBorder="1" applyAlignment="1">
      <alignment horizontal="left" vertical="center"/>
    </xf>
    <xf numFmtId="0" fontId="7" fillId="0" borderId="12" xfId="4" applyFont="1" applyFill="1" applyBorder="1" applyAlignment="1">
      <alignment vertical="top"/>
    </xf>
    <xf numFmtId="0" fontId="29" fillId="2" borderId="25" xfId="4" applyFont="1" applyFill="1" applyBorder="1" applyAlignment="1">
      <alignment vertical="center"/>
    </xf>
    <xf numFmtId="3" fontId="62" fillId="0" borderId="12" xfId="0" applyNumberFormat="1" applyFont="1" applyFill="1" applyBorder="1" applyAlignment="1">
      <alignment vertical="center" wrapText="1"/>
    </xf>
    <xf numFmtId="0" fontId="63" fillId="56" borderId="199" xfId="0" applyFont="1" applyFill="1" applyBorder="1" applyAlignment="1">
      <alignment vertical="center"/>
    </xf>
    <xf numFmtId="2" fontId="27" fillId="55" borderId="184" xfId="4" applyNumberFormat="1" applyFont="1" applyFill="1" applyBorder="1" applyAlignment="1">
      <alignment horizontal="left" vertical="center"/>
    </xf>
    <xf numFmtId="3" fontId="62" fillId="0" borderId="8" xfId="0" applyNumberFormat="1" applyFont="1" applyFill="1" applyBorder="1" applyAlignment="1">
      <alignment vertical="center" wrapText="1"/>
    </xf>
    <xf numFmtId="3" fontId="31" fillId="23" borderId="12" xfId="4" applyNumberFormat="1" applyFont="1" applyFill="1" applyBorder="1" applyAlignment="1">
      <alignment vertical="center"/>
    </xf>
    <xf numFmtId="3" fontId="27" fillId="0" borderId="12" xfId="0" applyNumberFormat="1" applyFont="1" applyFill="1" applyBorder="1" applyAlignment="1">
      <alignment vertical="center"/>
    </xf>
    <xf numFmtId="3" fontId="28" fillId="59" borderId="23" xfId="0" applyNumberFormat="1" applyFont="1" applyFill="1" applyBorder="1" applyAlignment="1">
      <alignment vertical="top"/>
    </xf>
    <xf numFmtId="2" fontId="27" fillId="55" borderId="23" xfId="4" applyNumberFormat="1" applyFont="1" applyFill="1" applyBorder="1" applyAlignment="1">
      <alignment horizontal="right" vertical="center"/>
    </xf>
    <xf numFmtId="3" fontId="28" fillId="23" borderId="12" xfId="4" applyNumberFormat="1" applyFont="1" applyFill="1" applyBorder="1" applyAlignment="1">
      <alignment horizontal="right" vertical="center"/>
    </xf>
    <xf numFmtId="3" fontId="27" fillId="2" borderId="23" xfId="4" applyNumberFormat="1" applyFont="1" applyFill="1" applyBorder="1" applyAlignment="1">
      <alignment vertical="center"/>
    </xf>
    <xf numFmtId="3" fontId="62" fillId="0" borderId="72" xfId="0" applyNumberFormat="1" applyFont="1" applyFill="1" applyBorder="1" applyAlignment="1">
      <alignment vertical="center" wrapText="1"/>
    </xf>
    <xf numFmtId="3" fontId="28" fillId="56" borderId="35" xfId="0" applyNumberFormat="1" applyFont="1" applyFill="1" applyBorder="1" applyAlignment="1">
      <alignment vertical="center"/>
    </xf>
    <xf numFmtId="2" fontId="27" fillId="55" borderId="179" xfId="4" applyNumberFormat="1" applyFont="1" applyFill="1" applyBorder="1" applyAlignment="1">
      <alignment horizontal="right" vertical="center"/>
    </xf>
    <xf numFmtId="3" fontId="78" fillId="2" borderId="8" xfId="0" applyNumberFormat="1" applyFont="1" applyFill="1" applyBorder="1" applyAlignment="1">
      <alignment vertical="center"/>
    </xf>
    <xf numFmtId="3" fontId="80" fillId="2" borderId="8" xfId="0" applyNumberFormat="1" applyFont="1" applyFill="1" applyBorder="1" applyAlignment="1">
      <alignment vertical="center"/>
    </xf>
    <xf numFmtId="3" fontId="37" fillId="0" borderId="35" xfId="0" applyNumberFormat="1" applyFont="1" applyBorder="1"/>
    <xf numFmtId="0" fontId="7" fillId="8" borderId="25" xfId="4" applyFont="1" applyFill="1" applyBorder="1" applyAlignment="1">
      <alignment vertical="top"/>
    </xf>
    <xf numFmtId="3" fontId="31" fillId="0" borderId="35" xfId="4" applyNumberFormat="1" applyFont="1" applyFill="1" applyBorder="1" applyAlignment="1">
      <alignment vertical="center"/>
    </xf>
    <xf numFmtId="2" fontId="7" fillId="23" borderId="13" xfId="0" applyNumberFormat="1" applyFont="1" applyFill="1" applyBorder="1" applyAlignment="1">
      <alignment vertical="top"/>
    </xf>
    <xf numFmtId="2" fontId="7" fillId="23" borderId="10" xfId="0" applyNumberFormat="1" applyFont="1" applyFill="1" applyBorder="1" applyAlignment="1">
      <alignment vertical="top"/>
    </xf>
    <xf numFmtId="0" fontId="7" fillId="0" borderId="35" xfId="4" applyFont="1" applyFill="1" applyBorder="1" applyAlignment="1">
      <alignment vertical="top"/>
    </xf>
    <xf numFmtId="3" fontId="32" fillId="0" borderId="35" xfId="6" applyNumberFormat="1" applyFont="1" applyFill="1" applyBorder="1" applyAlignment="1">
      <alignment vertical="center"/>
    </xf>
    <xf numFmtId="0" fontId="7" fillId="0" borderId="21" xfId="4" applyFont="1" applyFill="1" applyBorder="1" applyAlignment="1">
      <alignment vertical="center"/>
    </xf>
    <xf numFmtId="3" fontId="31" fillId="25" borderId="9" xfId="4" applyNumberFormat="1" applyFont="1" applyFill="1" applyBorder="1" applyAlignment="1">
      <alignment horizontal="right" vertical="center"/>
    </xf>
    <xf numFmtId="3" fontId="31" fillId="25" borderId="8" xfId="4" applyNumberFormat="1" applyFont="1" applyFill="1" applyBorder="1" applyAlignment="1">
      <alignment horizontal="right" vertical="center"/>
    </xf>
    <xf numFmtId="0" fontId="29" fillId="8" borderId="0" xfId="0" applyFont="1" applyFill="1" applyBorder="1" applyAlignment="1">
      <alignment vertical="top"/>
    </xf>
    <xf numFmtId="3" fontId="27" fillId="55" borderId="0" xfId="4" applyNumberFormat="1" applyFont="1" applyFill="1" applyBorder="1" applyAlignment="1">
      <alignment horizontal="right" vertical="center"/>
    </xf>
    <xf numFmtId="43" fontId="27" fillId="55" borderId="0" xfId="1" applyFont="1" applyFill="1" applyBorder="1" applyAlignment="1">
      <alignment horizontal="right" vertical="center"/>
    </xf>
    <xf numFmtId="3" fontId="27" fillId="21" borderId="0" xfId="4" applyNumberFormat="1" applyFont="1" applyFill="1" applyBorder="1" applyAlignment="1">
      <alignment horizontal="right" vertical="center"/>
    </xf>
    <xf numFmtId="3" fontId="18" fillId="8" borderId="0" xfId="4" applyNumberFormat="1" applyFont="1" applyFill="1" applyBorder="1" applyAlignment="1">
      <alignment vertical="top" wrapText="1"/>
    </xf>
    <xf numFmtId="3" fontId="27" fillId="25" borderId="0" xfId="0" applyNumberFormat="1" applyFont="1" applyFill="1" applyBorder="1" applyAlignment="1">
      <alignment vertical="top"/>
    </xf>
    <xf numFmtId="2" fontId="31" fillId="8" borderId="0" xfId="0" applyNumberFormat="1" applyFont="1" applyFill="1" applyBorder="1" applyAlignment="1">
      <alignment vertical="top"/>
    </xf>
    <xf numFmtId="2" fontId="25" fillId="23" borderId="0" xfId="0" applyNumberFormat="1" applyFont="1" applyFill="1" applyBorder="1" applyAlignment="1">
      <alignment horizontal="center" vertical="top"/>
    </xf>
    <xf numFmtId="3" fontId="29" fillId="2" borderId="0" xfId="4" applyNumberFormat="1" applyFont="1" applyFill="1" applyBorder="1" applyAlignment="1">
      <alignment vertical="top" wrapText="1"/>
    </xf>
    <xf numFmtId="3" fontId="29" fillId="2" borderId="0" xfId="4" applyNumberFormat="1" applyFont="1" applyFill="1" applyBorder="1" applyAlignment="1">
      <alignment vertical="center" wrapText="1"/>
    </xf>
    <xf numFmtId="3" fontId="25" fillId="22" borderId="183" xfId="0" applyNumberFormat="1" applyFont="1" applyFill="1" applyBorder="1" applyAlignment="1">
      <alignment vertical="center"/>
    </xf>
    <xf numFmtId="3" fontId="27" fillId="25" borderId="183" xfId="4" applyNumberFormat="1" applyFont="1" applyFill="1" applyBorder="1" applyAlignment="1">
      <alignment horizontal="right" vertical="center"/>
    </xf>
    <xf numFmtId="3" fontId="31" fillId="23" borderId="188" xfId="4" applyNumberFormat="1" applyFont="1" applyFill="1" applyBorder="1" applyAlignment="1">
      <alignment vertical="center"/>
    </xf>
    <xf numFmtId="3" fontId="25" fillId="22" borderId="188" xfId="4" applyNumberFormat="1" applyFont="1" applyFill="1" applyBorder="1" applyAlignment="1">
      <alignment horizontal="right" vertical="center"/>
    </xf>
    <xf numFmtId="3" fontId="31" fillId="23" borderId="7" xfId="4" applyNumberFormat="1" applyFont="1" applyFill="1" applyBorder="1" applyAlignment="1">
      <alignment vertical="center"/>
    </xf>
    <xf numFmtId="3" fontId="27" fillId="25" borderId="8" xfId="4" applyNumberFormat="1" applyFont="1" applyFill="1" applyBorder="1" applyAlignment="1">
      <alignment horizontal="right" vertical="center"/>
    </xf>
    <xf numFmtId="2" fontId="24" fillId="2" borderId="8" xfId="0" applyNumberFormat="1" applyFont="1" applyFill="1" applyBorder="1" applyAlignment="1">
      <alignment horizontal="left" vertical="top" wrapText="1"/>
    </xf>
    <xf numFmtId="2" fontId="27" fillId="21" borderId="7" xfId="4" applyNumberFormat="1" applyFont="1" applyFill="1" applyBorder="1" applyAlignment="1">
      <alignment horizontal="right" vertical="center"/>
    </xf>
    <xf numFmtId="0" fontId="80" fillId="2" borderId="8" xfId="0" applyFont="1" applyFill="1" applyBorder="1" applyAlignment="1">
      <alignment vertical="center"/>
    </xf>
    <xf numFmtId="3" fontId="31" fillId="23" borderId="0" xfId="4" applyNumberFormat="1" applyFont="1" applyFill="1" applyBorder="1" applyAlignment="1">
      <alignment vertical="center"/>
    </xf>
    <xf numFmtId="3" fontId="27" fillId="23" borderId="188" xfId="0" applyNumberFormat="1" applyFont="1" applyFill="1" applyBorder="1" applyAlignment="1">
      <alignment vertical="center"/>
    </xf>
    <xf numFmtId="3" fontId="31" fillId="25" borderId="183" xfId="4" applyNumberFormat="1" applyFont="1" applyFill="1" applyBorder="1" applyAlignment="1">
      <alignment horizontal="right" vertical="center"/>
    </xf>
    <xf numFmtId="3" fontId="31" fillId="23" borderId="188" xfId="0" applyNumberFormat="1" applyFont="1" applyFill="1" applyBorder="1" applyAlignment="1">
      <alignment vertical="center"/>
    </xf>
    <xf numFmtId="3" fontId="25" fillId="22" borderId="188" xfId="0" applyNumberFormat="1" applyFont="1" applyFill="1" applyBorder="1" applyAlignment="1">
      <alignment vertical="top"/>
    </xf>
    <xf numFmtId="3" fontId="25" fillId="25" borderId="188" xfId="0" applyNumberFormat="1" applyFont="1" applyFill="1" applyBorder="1" applyAlignment="1">
      <alignment vertical="top"/>
    </xf>
    <xf numFmtId="3" fontId="25" fillId="22" borderId="183" xfId="0" applyNumberFormat="1" applyFont="1" applyFill="1" applyBorder="1" applyAlignment="1">
      <alignment vertical="top"/>
    </xf>
    <xf numFmtId="3" fontId="31" fillId="25" borderId="188" xfId="0" applyNumberFormat="1" applyFont="1" applyFill="1" applyBorder="1" applyAlignment="1">
      <alignment vertical="top"/>
    </xf>
    <xf numFmtId="3" fontId="27" fillId="25" borderId="188" xfId="4" applyNumberFormat="1" applyFont="1" applyFill="1" applyBorder="1" applyAlignment="1">
      <alignment horizontal="right" vertical="center"/>
    </xf>
    <xf numFmtId="3" fontId="28" fillId="23" borderId="188" xfId="4" applyNumberFormat="1" applyFont="1" applyFill="1" applyBorder="1" applyAlignment="1">
      <alignment horizontal="right" vertical="center"/>
    </xf>
    <xf numFmtId="3" fontId="33" fillId="25" borderId="188" xfId="6" applyNumberFormat="1" applyFont="1" applyFill="1" applyBorder="1" applyAlignment="1">
      <alignment vertical="center"/>
    </xf>
    <xf numFmtId="0" fontId="34" fillId="0" borderId="64" xfId="0" applyFont="1" applyFill="1" applyBorder="1" applyAlignment="1">
      <alignment vertical="center"/>
    </xf>
    <xf numFmtId="0" fontId="18" fillId="0" borderId="39" xfId="4" applyFont="1" applyFill="1" applyBorder="1" applyAlignment="1">
      <alignment vertical="center" wrapText="1"/>
    </xf>
    <xf numFmtId="0" fontId="8" fillId="0" borderId="176" xfId="0" applyFont="1" applyFill="1" applyBorder="1" applyAlignment="1">
      <alignment vertical="center"/>
    </xf>
    <xf numFmtId="0" fontId="8" fillId="0" borderId="13" xfId="0" applyFont="1" applyFill="1" applyBorder="1" applyAlignment="1">
      <alignment vertical="center"/>
    </xf>
    <xf numFmtId="0" fontId="78" fillId="0" borderId="13" xfId="0" applyFont="1" applyFill="1" applyBorder="1" applyAlignment="1">
      <alignment vertical="center"/>
    </xf>
    <xf numFmtId="0" fontId="78" fillId="2" borderId="13" xfId="0" applyFont="1" applyFill="1" applyBorder="1" applyAlignment="1">
      <alignment vertical="center"/>
    </xf>
    <xf numFmtId="0" fontId="78" fillId="2" borderId="12" xfId="0" applyFont="1" applyFill="1" applyBorder="1" applyAlignment="1">
      <alignment vertical="center"/>
    </xf>
    <xf numFmtId="0" fontId="78" fillId="2" borderId="39" xfId="0" applyFont="1" applyFill="1" applyBorder="1" applyAlignment="1">
      <alignment vertical="center"/>
    </xf>
    <xf numFmtId="0" fontId="78" fillId="2" borderId="68" xfId="0" applyFont="1" applyFill="1" applyBorder="1" applyAlignment="1">
      <alignment vertical="center"/>
    </xf>
    <xf numFmtId="0" fontId="78" fillId="2" borderId="190" xfId="0" applyFont="1" applyFill="1" applyBorder="1" applyAlignment="1">
      <alignment vertical="center"/>
    </xf>
    <xf numFmtId="3" fontId="62" fillId="0" borderId="76" xfId="0" applyNumberFormat="1" applyFont="1" applyFill="1" applyBorder="1" applyAlignment="1">
      <alignment vertical="center" wrapText="1"/>
    </xf>
    <xf numFmtId="2" fontId="26" fillId="0" borderId="15" xfId="0" applyNumberFormat="1" applyFont="1" applyBorder="1" applyAlignment="1">
      <alignment horizontal="center" vertical="center" wrapText="1"/>
    </xf>
    <xf numFmtId="2" fontId="18" fillId="2" borderId="12" xfId="0" applyNumberFormat="1" applyFont="1" applyFill="1" applyBorder="1" applyAlignment="1">
      <alignment vertical="top"/>
    </xf>
    <xf numFmtId="0" fontId="80" fillId="2" borderId="190" xfId="0" applyFont="1" applyFill="1" applyBorder="1" applyAlignment="1">
      <alignment vertical="center"/>
    </xf>
    <xf numFmtId="3" fontId="80" fillId="2" borderId="15" xfId="0" applyNumberFormat="1" applyFont="1" applyFill="1" applyBorder="1" applyAlignment="1">
      <alignment vertical="center"/>
    </xf>
    <xf numFmtId="0" fontId="80" fillId="2" borderId="12" xfId="0" applyFont="1" applyFill="1" applyBorder="1" applyAlignment="1">
      <alignment vertical="center"/>
    </xf>
    <xf numFmtId="0" fontId="80" fillId="2" borderId="68" xfId="0" applyFont="1" applyFill="1" applyBorder="1" applyAlignment="1">
      <alignment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32" fillId="0" borderId="179" xfId="0" applyFont="1" applyBorder="1" applyAlignment="1">
      <alignment vertical="center"/>
    </xf>
    <xf numFmtId="3" fontId="31" fillId="0" borderId="176" xfId="0" applyNumberFormat="1" applyFont="1" applyFill="1" applyBorder="1" applyAlignment="1">
      <alignment vertical="top"/>
    </xf>
    <xf numFmtId="3" fontId="31" fillId="2" borderId="176" xfId="0" applyNumberFormat="1" applyFont="1" applyFill="1" applyBorder="1" applyAlignment="1">
      <alignment vertical="center"/>
    </xf>
    <xf numFmtId="3" fontId="31" fillId="2" borderId="13" xfId="0" applyNumberFormat="1" applyFont="1" applyFill="1" applyBorder="1" applyAlignment="1">
      <alignment vertical="center"/>
    </xf>
    <xf numFmtId="3" fontId="31" fillId="23" borderId="13" xfId="0" applyNumberFormat="1" applyFont="1" applyFill="1" applyBorder="1" applyAlignment="1">
      <alignment vertical="top"/>
    </xf>
    <xf numFmtId="3" fontId="27" fillId="0" borderId="68" xfId="0" applyNumberFormat="1" applyFont="1" applyFill="1" applyBorder="1" applyAlignment="1">
      <alignment vertical="center"/>
    </xf>
    <xf numFmtId="3" fontId="27" fillId="25" borderId="68" xfId="0" applyNumberFormat="1" applyFont="1" applyFill="1" applyBorder="1" applyAlignment="1">
      <alignment horizontal="center" vertical="center"/>
    </xf>
    <xf numFmtId="3" fontId="27" fillId="25" borderId="76" xfId="0" applyNumberFormat="1" applyFont="1" applyFill="1" applyBorder="1" applyAlignment="1">
      <alignment horizontal="center" vertical="center"/>
    </xf>
    <xf numFmtId="3" fontId="33" fillId="0" borderId="68" xfId="6" applyNumberFormat="1" applyFont="1" applyFill="1" applyBorder="1" applyAlignment="1">
      <alignment vertical="center"/>
    </xf>
    <xf numFmtId="3" fontId="25" fillId="22" borderId="171" xfId="4" applyNumberFormat="1" applyFont="1" applyFill="1" applyBorder="1" applyAlignment="1">
      <alignment horizontal="right" vertical="center"/>
    </xf>
    <xf numFmtId="3" fontId="27" fillId="25" borderId="35" xfId="4" applyNumberFormat="1" applyFont="1" applyFill="1" applyBorder="1" applyAlignment="1">
      <alignment horizontal="right" vertical="center"/>
    </xf>
    <xf numFmtId="3" fontId="28" fillId="23" borderId="35" xfId="4" applyNumberFormat="1" applyFont="1" applyFill="1" applyBorder="1" applyAlignment="1">
      <alignment horizontal="right" vertical="center"/>
    </xf>
    <xf numFmtId="3" fontId="31" fillId="0" borderId="176" xfId="4" applyNumberFormat="1" applyFont="1" applyFill="1" applyBorder="1" applyAlignment="1">
      <alignment vertical="center"/>
    </xf>
    <xf numFmtId="3" fontId="31" fillId="0" borderId="12" xfId="4" applyNumberFormat="1" applyFont="1" applyFill="1" applyBorder="1" applyAlignment="1">
      <alignment vertical="center"/>
    </xf>
    <xf numFmtId="3" fontId="27" fillId="0" borderId="7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vertical="top"/>
    </xf>
    <xf numFmtId="43" fontId="28" fillId="25" borderId="27" xfId="1" applyFont="1" applyFill="1" applyBorder="1" applyAlignment="1">
      <alignment vertical="center"/>
    </xf>
    <xf numFmtId="0" fontId="31" fillId="0" borderId="199" xfId="0" applyFont="1" applyFill="1" applyBorder="1" applyAlignment="1">
      <alignment vertical="top"/>
    </xf>
    <xf numFmtId="0" fontId="31" fillId="0" borderId="199" xfId="0" applyFont="1" applyFill="1" applyBorder="1" applyAlignment="1">
      <alignment horizontal="left" vertical="center" wrapText="1"/>
    </xf>
    <xf numFmtId="0" fontId="63" fillId="57" borderId="199" xfId="0" applyFont="1" applyFill="1" applyBorder="1"/>
    <xf numFmtId="0" fontId="39" fillId="59" borderId="199" xfId="0" applyFont="1" applyFill="1" applyBorder="1"/>
    <xf numFmtId="0" fontId="8" fillId="0" borderId="199" xfId="0" applyFont="1" applyFill="1" applyBorder="1" applyAlignment="1">
      <alignment vertical="center" wrapText="1"/>
    </xf>
    <xf numFmtId="3" fontId="28" fillId="60" borderId="179" xfId="0" applyNumberFormat="1" applyFont="1" applyFill="1" applyBorder="1" applyAlignment="1">
      <alignment vertical="center"/>
    </xf>
    <xf numFmtId="3" fontId="28" fillId="60" borderId="180" xfId="0" applyNumberFormat="1" applyFont="1" applyFill="1" applyBorder="1" applyAlignment="1">
      <alignment vertical="center"/>
    </xf>
    <xf numFmtId="43" fontId="31" fillId="25" borderId="180" xfId="1" applyFont="1" applyFill="1" applyBorder="1" applyAlignment="1">
      <alignment vertical="top"/>
    </xf>
    <xf numFmtId="3" fontId="31" fillId="0" borderId="7" xfId="4" applyNumberFormat="1" applyFont="1" applyFill="1" applyBorder="1" applyAlignment="1">
      <alignment vertical="center"/>
    </xf>
    <xf numFmtId="3" fontId="28" fillId="55" borderId="10" xfId="0" applyNumberFormat="1" applyFont="1" applyFill="1" applyBorder="1" applyAlignment="1">
      <alignment vertical="top"/>
    </xf>
    <xf numFmtId="3" fontId="25" fillId="32" borderId="180" xfId="0" applyNumberFormat="1" applyFont="1" applyFill="1" applyBorder="1" applyAlignment="1">
      <alignment vertical="top"/>
    </xf>
    <xf numFmtId="3" fontId="28" fillId="57" borderId="180" xfId="0" applyNumberFormat="1" applyFont="1" applyFill="1" applyBorder="1" applyAlignment="1">
      <alignment vertical="top"/>
    </xf>
    <xf numFmtId="3" fontId="28" fillId="58" borderId="180" xfId="0" applyNumberFormat="1" applyFont="1" applyFill="1" applyBorder="1" applyAlignment="1">
      <alignment vertical="top"/>
    </xf>
    <xf numFmtId="3" fontId="28" fillId="59" borderId="180" xfId="0" applyNumberFormat="1" applyFont="1" applyFill="1" applyBorder="1" applyAlignment="1">
      <alignment vertical="top"/>
    </xf>
    <xf numFmtId="0" fontId="23" fillId="6" borderId="179" xfId="0" applyFont="1" applyFill="1" applyBorder="1" applyAlignment="1">
      <alignment horizontal="center" vertical="center"/>
    </xf>
    <xf numFmtId="0" fontId="25" fillId="6" borderId="176" xfId="4" applyFont="1" applyFill="1" applyBorder="1" applyAlignment="1">
      <alignment horizontal="left" vertical="center"/>
    </xf>
    <xf numFmtId="3" fontId="27" fillId="2" borderId="180" xfId="4" applyNumberFormat="1" applyFont="1" applyFill="1" applyBorder="1" applyAlignment="1">
      <alignment vertical="top" wrapText="1"/>
    </xf>
    <xf numFmtId="0" fontId="31" fillId="0" borderId="180" xfId="4" applyFont="1" applyFill="1" applyBorder="1" applyAlignment="1">
      <alignment vertical="center"/>
    </xf>
    <xf numFmtId="3" fontId="25" fillId="25" borderId="183" xfId="0" applyNumberFormat="1" applyFont="1" applyFill="1" applyBorder="1" applyAlignment="1">
      <alignment vertical="top"/>
    </xf>
    <xf numFmtId="3" fontId="25" fillId="25" borderId="179" xfId="0" applyNumberFormat="1" applyFont="1" applyFill="1" applyBorder="1" applyAlignment="1">
      <alignment vertical="top"/>
    </xf>
    <xf numFmtId="0" fontId="23" fillId="6" borderId="8" xfId="0" applyFont="1" applyFill="1" applyBorder="1" applyAlignment="1">
      <alignment horizontal="center" vertical="center"/>
    </xf>
    <xf numFmtId="3" fontId="25" fillId="22" borderId="8" xfId="0" applyNumberFormat="1" applyFont="1" applyFill="1" applyBorder="1" applyAlignment="1">
      <alignment vertical="center"/>
    </xf>
    <xf numFmtId="3" fontId="25" fillId="22" borderId="9" xfId="0" applyNumberFormat="1" applyFont="1" applyFill="1" applyBorder="1" applyAlignment="1">
      <alignment vertical="center"/>
    </xf>
    <xf numFmtId="0" fontId="31" fillId="8" borderId="180" xfId="0" applyFont="1" applyFill="1" applyBorder="1" applyAlignment="1">
      <alignment vertical="top"/>
    </xf>
    <xf numFmtId="3" fontId="31" fillId="8" borderId="180" xfId="0" applyNumberFormat="1" applyFont="1" applyFill="1" applyBorder="1" applyAlignment="1">
      <alignment vertical="top"/>
    </xf>
    <xf numFmtId="3" fontId="27" fillId="2" borderId="21" xfId="4" applyNumberFormat="1" applyFont="1" applyFill="1" applyBorder="1" applyAlignment="1">
      <alignment vertical="center" wrapText="1"/>
    </xf>
    <xf numFmtId="0" fontId="111" fillId="6" borderId="0" xfId="4" applyFont="1" applyFill="1" applyBorder="1" applyAlignment="1">
      <alignment horizontal="left" vertical="center"/>
    </xf>
    <xf numFmtId="3" fontId="33" fillId="0" borderId="7" xfId="6" applyNumberFormat="1" applyFont="1" applyFill="1" applyBorder="1" applyAlignment="1">
      <alignment vertical="center"/>
    </xf>
    <xf numFmtId="43" fontId="33" fillId="0" borderId="35" xfId="1" applyFont="1" applyFill="1" applyBorder="1" applyAlignment="1">
      <alignment vertical="center"/>
    </xf>
    <xf numFmtId="3" fontId="31" fillId="0" borderId="132" xfId="4" applyNumberFormat="1" applyFont="1" applyFill="1" applyBorder="1" applyAlignment="1">
      <alignment vertical="center"/>
    </xf>
    <xf numFmtId="3" fontId="25" fillId="6" borderId="7" xfId="4" applyNumberFormat="1" applyFont="1" applyFill="1" applyBorder="1" applyAlignment="1">
      <alignment vertical="center"/>
    </xf>
    <xf numFmtId="3" fontId="111" fillId="6" borderId="35" xfId="4" applyNumberFormat="1" applyFont="1" applyFill="1" applyBorder="1" applyAlignment="1">
      <alignment vertical="center"/>
    </xf>
    <xf numFmtId="0" fontId="7" fillId="0" borderId="187" xfId="4" applyFont="1" applyFill="1" applyBorder="1" applyAlignment="1">
      <alignment vertical="center"/>
    </xf>
    <xf numFmtId="43" fontId="7" fillId="0" borderId="9" xfId="1" applyFont="1" applyFill="1" applyBorder="1" applyAlignment="1">
      <alignment horizontal="right" vertical="center"/>
    </xf>
    <xf numFmtId="0" fontId="32" fillId="0" borderId="176" xfId="0" applyFont="1" applyBorder="1" applyAlignment="1">
      <alignment vertical="center"/>
    </xf>
    <xf numFmtId="0" fontId="33" fillId="0" borderId="68" xfId="0" applyFont="1" applyBorder="1" applyAlignment="1">
      <alignment vertical="center"/>
    </xf>
    <xf numFmtId="0" fontId="7" fillId="8" borderId="65" xfId="4" applyFont="1" applyFill="1" applyBorder="1" applyAlignment="1">
      <alignment vertical="center"/>
    </xf>
    <xf numFmtId="3" fontId="31" fillId="28" borderId="176" xfId="0" applyNumberFormat="1" applyFont="1" applyFill="1" applyBorder="1" applyAlignment="1">
      <alignment vertical="center"/>
    </xf>
    <xf numFmtId="43" fontId="31" fillId="28" borderId="176" xfId="1" applyFont="1" applyFill="1" applyBorder="1" applyAlignment="1">
      <alignment vertical="center"/>
    </xf>
    <xf numFmtId="3" fontId="27" fillId="25" borderId="183" xfId="0" applyNumberFormat="1" applyFont="1" applyFill="1" applyBorder="1" applyAlignment="1">
      <alignment vertical="center"/>
    </xf>
    <xf numFmtId="3" fontId="31" fillId="25" borderId="118" xfId="4" applyNumberFormat="1" applyFont="1" applyFill="1" applyBorder="1" applyAlignment="1">
      <alignment horizontal="right" vertical="center"/>
    </xf>
    <xf numFmtId="0" fontId="27" fillId="2" borderId="82" xfId="4" applyFont="1" applyFill="1" applyBorder="1" applyAlignment="1">
      <alignment vertical="top"/>
    </xf>
    <xf numFmtId="0" fontId="7" fillId="0" borderId="180" xfId="4" applyFont="1" applyFill="1" applyBorder="1" applyAlignment="1">
      <alignment vertical="center"/>
    </xf>
    <xf numFmtId="43" fontId="24" fillId="8" borderId="18" xfId="1" applyFont="1" applyFill="1" applyBorder="1" applyAlignment="1">
      <alignment horizontal="right" vertical="center"/>
    </xf>
    <xf numFmtId="3" fontId="24" fillId="8" borderId="18" xfId="4" applyNumberFormat="1" applyFont="1" applyFill="1" applyBorder="1" applyAlignment="1">
      <alignment horizontal="right" vertical="center"/>
    </xf>
    <xf numFmtId="3" fontId="33" fillId="8" borderId="76" xfId="6" applyNumberFormat="1" applyFont="1" applyFill="1" applyBorder="1" applyAlignment="1">
      <alignment horizontal="right" vertical="center"/>
    </xf>
    <xf numFmtId="3" fontId="24" fillId="8" borderId="76" xfId="0" applyNumberFormat="1" applyFont="1" applyFill="1" applyBorder="1" applyAlignment="1">
      <alignment vertical="center"/>
    </xf>
    <xf numFmtId="3" fontId="24" fillId="8" borderId="18" xfId="0" applyNumberFormat="1" applyFont="1" applyFill="1" applyBorder="1" applyAlignment="1">
      <alignment vertical="center"/>
    </xf>
    <xf numFmtId="3" fontId="24" fillId="8" borderId="17" xfId="0" applyNumberFormat="1" applyFont="1" applyFill="1" applyBorder="1" applyAlignment="1">
      <alignment vertical="center"/>
    </xf>
    <xf numFmtId="3" fontId="7" fillId="8" borderId="18" xfId="4" applyNumberFormat="1" applyFont="1" applyFill="1" applyBorder="1" applyAlignment="1">
      <alignment horizontal="right" vertical="center"/>
    </xf>
    <xf numFmtId="43" fontId="23" fillId="6" borderId="9" xfId="1" applyFont="1" applyFill="1" applyBorder="1" applyAlignment="1">
      <alignment horizontal="right" vertical="center"/>
    </xf>
    <xf numFmtId="3" fontId="25" fillId="8" borderId="76" xfId="4" applyNumberFormat="1" applyFont="1" applyFill="1" applyBorder="1" applyAlignment="1">
      <alignment vertical="center"/>
    </xf>
    <xf numFmtId="3" fontId="25" fillId="8" borderId="18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32" fillId="0" borderId="176" xfId="6" applyNumberFormat="1" applyFont="1" applyFill="1" applyBorder="1" applyAlignment="1">
      <alignment vertical="center"/>
    </xf>
    <xf numFmtId="0" fontId="25" fillId="8" borderId="76" xfId="0" applyFont="1" applyFill="1" applyBorder="1" applyAlignment="1">
      <alignment horizontal="center" vertical="center" wrapText="1"/>
    </xf>
    <xf numFmtId="3" fontId="25" fillId="8" borderId="18" xfId="0" applyNumberFormat="1" applyFont="1" applyFill="1" applyBorder="1" applyAlignment="1">
      <alignment vertical="top"/>
    </xf>
    <xf numFmtId="3" fontId="31" fillId="0" borderId="15" xfId="4" applyNumberFormat="1" applyFont="1" applyFill="1" applyBorder="1" applyAlignment="1">
      <alignment vertical="center"/>
    </xf>
    <xf numFmtId="0" fontId="31" fillId="8" borderId="18" xfId="0" applyFont="1" applyFill="1" applyBorder="1" applyAlignment="1">
      <alignment vertical="top"/>
    </xf>
    <xf numFmtId="0" fontId="25" fillId="8" borderId="7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3" fontId="7" fillId="8" borderId="18" xfId="0" applyNumberFormat="1" applyFont="1" applyFill="1" applyBorder="1" applyAlignment="1">
      <alignment vertical="center"/>
    </xf>
    <xf numFmtId="0" fontId="7" fillId="8" borderId="17" xfId="0" applyFont="1" applyFill="1" applyBorder="1" applyAlignment="1">
      <alignment vertical="center"/>
    </xf>
    <xf numFmtId="3" fontId="24" fillId="8" borderId="183" xfId="4" applyNumberFormat="1" applyFont="1" applyFill="1" applyBorder="1" applyAlignment="1">
      <alignment horizontal="center" vertical="center"/>
    </xf>
    <xf numFmtId="3" fontId="24" fillId="8" borderId="18" xfId="4" applyNumberFormat="1" applyFont="1" applyFill="1" applyBorder="1" applyAlignment="1">
      <alignment horizontal="center" vertical="center"/>
    </xf>
    <xf numFmtId="0" fontId="18" fillId="8" borderId="18" xfId="0" applyFont="1" applyFill="1" applyBorder="1" applyAlignment="1">
      <alignment vertical="center"/>
    </xf>
    <xf numFmtId="0" fontId="18" fillId="8" borderId="17" xfId="0" applyFont="1" applyFill="1" applyBorder="1" applyAlignment="1">
      <alignment vertical="center"/>
    </xf>
    <xf numFmtId="43" fontId="7" fillId="8" borderId="18" xfId="1" applyFont="1" applyFill="1" applyBorder="1" applyAlignment="1">
      <alignment vertical="center"/>
    </xf>
    <xf numFmtId="3" fontId="24" fillId="8" borderId="76" xfId="4" applyNumberFormat="1" applyFont="1" applyFill="1" applyBorder="1" applyAlignment="1">
      <alignment vertical="center"/>
    </xf>
    <xf numFmtId="3" fontId="24" fillId="8" borderId="18" xfId="4" applyNumberFormat="1" applyFont="1" applyFill="1" applyBorder="1" applyAlignment="1">
      <alignment vertical="center"/>
    </xf>
    <xf numFmtId="0" fontId="7" fillId="8" borderId="18" xfId="112" applyFont="1" applyFill="1" applyBorder="1" applyAlignment="1">
      <alignment vertical="center"/>
    </xf>
    <xf numFmtId="3" fontId="7" fillId="8" borderId="18" xfId="112" applyNumberFormat="1" applyFont="1" applyFill="1" applyBorder="1" applyAlignment="1">
      <alignment vertical="center"/>
    </xf>
    <xf numFmtId="3" fontId="7" fillId="8" borderId="17" xfId="112" applyNumberFormat="1" applyFont="1" applyFill="1" applyBorder="1" applyAlignment="1">
      <alignment vertical="center"/>
    </xf>
    <xf numFmtId="43" fontId="8" fillId="0" borderId="29" xfId="1" applyFont="1" applyFill="1" applyBorder="1" applyAlignment="1">
      <alignment vertical="center" wrapText="1"/>
    </xf>
    <xf numFmtId="3" fontId="6" fillId="3" borderId="82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horizontal="right" vertical="center" wrapText="1"/>
    </xf>
    <xf numFmtId="3" fontId="33" fillId="0" borderId="180" xfId="1" applyNumberFormat="1" applyFont="1" applyFill="1" applyBorder="1" applyAlignment="1">
      <alignment vertical="center"/>
    </xf>
    <xf numFmtId="3" fontId="7" fillId="0" borderId="180" xfId="1" applyNumberFormat="1" applyFont="1" applyFill="1" applyBorder="1" applyAlignment="1">
      <alignment horizontal="right" vertical="center"/>
    </xf>
    <xf numFmtId="43" fontId="18" fillId="8" borderId="18" xfId="1" applyFont="1" applyFill="1" applyBorder="1" applyAlignment="1">
      <alignment vertical="center"/>
    </xf>
    <xf numFmtId="3" fontId="18" fillId="8" borderId="18" xfId="0" applyNumberFormat="1" applyFont="1" applyFill="1" applyBorder="1" applyAlignment="1">
      <alignment vertical="center"/>
    </xf>
    <xf numFmtId="0" fontId="27" fillId="55" borderId="130" xfId="4" applyFont="1" applyFill="1" applyBorder="1" applyAlignment="1">
      <alignment horizontal="left" vertical="center"/>
    </xf>
    <xf numFmtId="0" fontId="27" fillId="55" borderId="121" xfId="4" applyFont="1" applyFill="1" applyBorder="1" applyAlignment="1">
      <alignment horizontal="left" vertical="center"/>
    </xf>
    <xf numFmtId="3" fontId="27" fillId="55" borderId="123" xfId="4" applyNumberFormat="1" applyFont="1" applyFill="1" applyBorder="1" applyAlignment="1">
      <alignment horizontal="right" vertical="center"/>
    </xf>
    <xf numFmtId="0" fontId="27" fillId="55" borderId="10" xfId="4" applyFont="1" applyFill="1" applyBorder="1" applyAlignment="1">
      <alignment horizontal="left" vertical="center"/>
    </xf>
    <xf numFmtId="0" fontId="27" fillId="55" borderId="13" xfId="4" applyFont="1" applyFill="1" applyBorder="1" applyAlignment="1">
      <alignment horizontal="left" vertical="center"/>
    </xf>
    <xf numFmtId="0" fontId="27" fillId="55" borderId="72" xfId="0" applyFont="1" applyFill="1" applyBorder="1" applyAlignment="1">
      <alignment horizontal="left" vertical="top"/>
    </xf>
    <xf numFmtId="0" fontId="28" fillId="55" borderId="12" xfId="0" quotePrefix="1" applyFont="1" applyFill="1" applyBorder="1" applyAlignment="1">
      <alignment horizontal="center" vertical="top"/>
    </xf>
    <xf numFmtId="0" fontId="27" fillId="8" borderId="121" xfId="4" applyFont="1" applyFill="1" applyBorder="1" applyAlignment="1">
      <alignment vertical="center"/>
    </xf>
    <xf numFmtId="3" fontId="27" fillId="8" borderId="121" xfId="0" applyNumberFormat="1" applyFont="1" applyFill="1" applyBorder="1" applyAlignment="1">
      <alignment vertical="top"/>
    </xf>
    <xf numFmtId="3" fontId="27" fillId="23" borderId="121" xfId="0" applyNumberFormat="1" applyFont="1" applyFill="1" applyBorder="1" applyAlignment="1">
      <alignment vertical="top"/>
    </xf>
    <xf numFmtId="0" fontId="31" fillId="8" borderId="121" xfId="0" applyFont="1" applyFill="1" applyBorder="1" applyAlignment="1">
      <alignment vertical="top"/>
    </xf>
    <xf numFmtId="3" fontId="31" fillId="8" borderId="121" xfId="0" applyNumberFormat="1" applyFont="1" applyFill="1" applyBorder="1" applyAlignment="1">
      <alignment vertical="top"/>
    </xf>
    <xf numFmtId="3" fontId="28" fillId="23" borderId="121" xfId="0" applyNumberFormat="1" applyFont="1" applyFill="1" applyBorder="1" applyAlignment="1">
      <alignment horizontal="center" vertical="top"/>
    </xf>
    <xf numFmtId="3" fontId="27" fillId="23" borderId="121" xfId="0" applyNumberFormat="1" applyFont="1" applyFill="1" applyBorder="1" applyAlignment="1">
      <alignment horizontal="center" vertical="top"/>
    </xf>
    <xf numFmtId="0" fontId="31" fillId="8" borderId="121" xfId="4" applyFont="1" applyFill="1" applyBorder="1" applyAlignment="1">
      <alignment vertical="center"/>
    </xf>
    <xf numFmtId="3" fontId="31" fillId="23" borderId="121" xfId="0" applyNumberFormat="1" applyFont="1" applyFill="1" applyBorder="1" applyAlignment="1">
      <alignment horizontal="center" vertical="top"/>
    </xf>
    <xf numFmtId="0" fontId="31" fillId="8" borderId="35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16" xfId="4" applyFont="1" applyFill="1" applyBorder="1" applyAlignment="1">
      <alignment vertical="center"/>
    </xf>
    <xf numFmtId="0" fontId="31" fillId="0" borderId="180" xfId="0" applyFont="1" applyFill="1" applyBorder="1" applyAlignment="1">
      <alignment horizontal="left" vertical="center" wrapText="1"/>
    </xf>
    <xf numFmtId="0" fontId="24" fillId="8" borderId="154" xfId="4" applyFont="1" applyFill="1" applyBorder="1" applyAlignment="1">
      <alignment vertical="center" wrapText="1"/>
    </xf>
    <xf numFmtId="0" fontId="24" fillId="8" borderId="154" xfId="4" applyFont="1" applyFill="1" applyBorder="1" applyAlignment="1">
      <alignment horizontal="center" vertical="center" wrapText="1"/>
    </xf>
    <xf numFmtId="0" fontId="28" fillId="0" borderId="154" xfId="4" applyFont="1" applyFill="1" applyBorder="1" applyAlignment="1">
      <alignment vertical="center"/>
    </xf>
    <xf numFmtId="43" fontId="28" fillId="0" borderId="154" xfId="1" applyFont="1" applyFill="1" applyBorder="1" applyAlignment="1">
      <alignment horizontal="right" vertical="center"/>
    </xf>
    <xf numFmtId="3" fontId="28" fillId="0" borderId="154" xfId="4" applyNumberFormat="1" applyFont="1" applyFill="1" applyBorder="1" applyAlignment="1">
      <alignment horizontal="right" vertical="center"/>
    </xf>
    <xf numFmtId="0" fontId="29" fillId="2" borderId="154" xfId="4" applyFont="1" applyFill="1" applyBorder="1" applyAlignment="1">
      <alignment vertical="center"/>
    </xf>
    <xf numFmtId="0" fontId="23" fillId="0" borderId="43" xfId="0" applyFont="1" applyBorder="1" applyAlignment="1">
      <alignment vertical="center" wrapText="1"/>
    </xf>
    <xf numFmtId="43" fontId="31" fillId="0" borderId="29" xfId="1" applyFont="1" applyFill="1" applyBorder="1" applyAlignment="1">
      <alignment vertical="center"/>
    </xf>
    <xf numFmtId="0" fontId="7" fillId="0" borderId="116" xfId="4" applyFont="1" applyFill="1" applyBorder="1" applyAlignment="1">
      <alignment vertical="center"/>
    </xf>
    <xf numFmtId="0" fontId="23" fillId="0" borderId="41" xfId="0" applyFont="1" applyBorder="1" applyAlignment="1">
      <alignment vertical="center" wrapText="1"/>
    </xf>
    <xf numFmtId="0" fontId="31" fillId="0" borderId="36" xfId="4" applyFont="1" applyFill="1" applyBorder="1" applyAlignment="1">
      <alignment horizontal="left" vertical="center"/>
    </xf>
    <xf numFmtId="0" fontId="7" fillId="0" borderId="36" xfId="4" applyFont="1" applyFill="1" applyBorder="1" applyAlignment="1">
      <alignment vertical="center"/>
    </xf>
    <xf numFmtId="0" fontId="24" fillId="6" borderId="181" xfId="4" applyFont="1" applyFill="1" applyBorder="1" applyAlignment="1">
      <alignment horizontal="left" vertical="center"/>
    </xf>
    <xf numFmtId="3" fontId="29" fillId="2" borderId="199" xfId="4" applyNumberFormat="1" applyFont="1" applyFill="1" applyBorder="1" applyAlignment="1">
      <alignment vertical="center" wrapText="1"/>
    </xf>
    <xf numFmtId="0" fontId="7" fillId="0" borderId="199" xfId="4" applyFont="1" applyFill="1" applyBorder="1" applyAlignment="1">
      <alignment vertical="center"/>
    </xf>
    <xf numFmtId="43" fontId="7" fillId="0" borderId="165" xfId="1" applyFont="1" applyFill="1" applyBorder="1" applyAlignment="1">
      <alignment vertical="center"/>
    </xf>
    <xf numFmtId="0" fontId="24" fillId="6" borderId="159" xfId="4" applyFont="1" applyFill="1" applyBorder="1" applyAlignment="1">
      <alignment horizontal="left" vertical="center"/>
    </xf>
    <xf numFmtId="43" fontId="7" fillId="0" borderId="154" xfId="1" applyFont="1" applyFill="1" applyBorder="1" applyAlignment="1">
      <alignment vertical="center"/>
    </xf>
    <xf numFmtId="43" fontId="7" fillId="0" borderId="180" xfId="1" applyFont="1" applyFill="1" applyBorder="1" applyAlignment="1">
      <alignment vertical="center"/>
    </xf>
    <xf numFmtId="0" fontId="7" fillId="0" borderId="194" xfId="4" applyFont="1" applyFill="1" applyBorder="1" applyAlignment="1">
      <alignment vertical="center"/>
    </xf>
    <xf numFmtId="3" fontId="24" fillId="6" borderId="183" xfId="4" applyNumberFormat="1" applyFont="1" applyFill="1" applyBorder="1" applyAlignment="1">
      <alignment horizontal="right" vertical="center"/>
    </xf>
    <xf numFmtId="3" fontId="29" fillId="0" borderId="174" xfId="4" applyNumberFormat="1" applyFont="1" applyFill="1" applyBorder="1" applyAlignment="1">
      <alignment horizontal="right" vertical="center"/>
    </xf>
    <xf numFmtId="43" fontId="7" fillId="0" borderId="165" xfId="1" applyFont="1" applyFill="1" applyBorder="1" applyAlignment="1">
      <alignment horizontal="right" vertical="center"/>
    </xf>
    <xf numFmtId="43" fontId="31" fillId="0" borderId="191" xfId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31" fillId="0" borderId="195" xfId="1" applyFont="1" applyFill="1" applyBorder="1" applyAlignment="1">
      <alignment horizontal="right" vertical="center"/>
    </xf>
    <xf numFmtId="0" fontId="4" fillId="0" borderId="26" xfId="0" applyFont="1" applyBorder="1" applyAlignment="1">
      <alignment vertical="center"/>
    </xf>
    <xf numFmtId="0" fontId="4" fillId="0" borderId="82" xfId="0" applyFont="1" applyBorder="1" applyAlignment="1">
      <alignment vertical="center"/>
    </xf>
    <xf numFmtId="0" fontId="4" fillId="0" borderId="66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43" fontId="31" fillId="0" borderId="171" xfId="1" applyFont="1" applyFill="1" applyBorder="1" applyAlignment="1">
      <alignment vertical="center"/>
    </xf>
    <xf numFmtId="3" fontId="29" fillId="0" borderId="171" xfId="4" applyNumberFormat="1" applyFont="1" applyFill="1" applyBorder="1" applyAlignment="1">
      <alignment horizontal="right" vertical="center"/>
    </xf>
    <xf numFmtId="0" fontId="4" fillId="0" borderId="74" xfId="0" applyFont="1" applyBorder="1" applyAlignment="1">
      <alignment vertical="center"/>
    </xf>
    <xf numFmtId="0" fontId="24" fillId="8" borderId="18" xfId="0" applyFont="1" applyFill="1" applyBorder="1" applyAlignment="1">
      <alignment horizontal="center" vertical="center" wrapText="1"/>
    </xf>
    <xf numFmtId="3" fontId="7" fillId="23" borderId="18" xfId="0" applyNumberFormat="1" applyFont="1" applyFill="1" applyBorder="1" applyAlignment="1">
      <alignment vertical="center"/>
    </xf>
    <xf numFmtId="3" fontId="7" fillId="23" borderId="17" xfId="0" applyNumberFormat="1" applyFont="1" applyFill="1" applyBorder="1" applyAlignment="1">
      <alignment vertical="center"/>
    </xf>
    <xf numFmtId="3" fontId="25" fillId="22" borderId="7" xfId="4" applyNumberFormat="1" applyFont="1" applyFill="1" applyBorder="1" applyAlignment="1">
      <alignment horizontal="right" vertical="center"/>
    </xf>
    <xf numFmtId="0" fontId="4" fillId="0" borderId="11" xfId="0" applyFont="1" applyBorder="1" applyAlignment="1">
      <alignment vertical="center"/>
    </xf>
    <xf numFmtId="0" fontId="25" fillId="6" borderId="179" xfId="4" applyFont="1" applyFill="1" applyBorder="1" applyAlignment="1">
      <alignment horizontal="left" vertical="center"/>
    </xf>
    <xf numFmtId="3" fontId="24" fillId="32" borderId="179" xfId="4" applyNumberFormat="1" applyFont="1" applyFill="1" applyBorder="1" applyAlignment="1">
      <alignment vertical="center"/>
    </xf>
    <xf numFmtId="3" fontId="31" fillId="2" borderId="199" xfId="4" applyNumberFormat="1" applyFont="1" applyFill="1" applyBorder="1" applyAlignment="1">
      <alignment vertical="center" wrapText="1"/>
    </xf>
    <xf numFmtId="3" fontId="31" fillId="32" borderId="179" xfId="4" applyNumberFormat="1" applyFont="1" applyFill="1" applyBorder="1" applyAlignment="1">
      <alignment vertical="center"/>
    </xf>
    <xf numFmtId="166" fontId="24" fillId="6" borderId="179" xfId="1" applyNumberFormat="1" applyFont="1" applyFill="1" applyBorder="1" applyAlignment="1">
      <alignment vertical="center"/>
    </xf>
    <xf numFmtId="3" fontId="7" fillId="0" borderId="171" xfId="1" applyNumberFormat="1" applyFont="1" applyFill="1" applyBorder="1" applyAlignment="1">
      <alignment horizontal="right" vertical="center"/>
    </xf>
    <xf numFmtId="0" fontId="4" fillId="0" borderId="24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3" fontId="25" fillId="8" borderId="76" xfId="4" applyNumberFormat="1" applyFont="1" applyFill="1" applyBorder="1" applyAlignment="1">
      <alignment horizontal="center" vertical="center"/>
    </xf>
    <xf numFmtId="0" fontId="4" fillId="0" borderId="81" xfId="0" applyFont="1" applyBorder="1" applyAlignment="1">
      <alignment vertical="center"/>
    </xf>
    <xf numFmtId="0" fontId="4" fillId="0" borderId="170" xfId="0" applyFont="1" applyBorder="1"/>
    <xf numFmtId="3" fontId="4" fillId="0" borderId="170" xfId="0" applyNumberFormat="1" applyFont="1" applyBorder="1"/>
    <xf numFmtId="0" fontId="4" fillId="0" borderId="0" xfId="0" applyFont="1" applyFill="1" applyBorder="1"/>
    <xf numFmtId="3" fontId="4" fillId="0" borderId="0" xfId="0" applyNumberFormat="1" applyFont="1" applyFill="1" applyBorder="1"/>
    <xf numFmtId="0" fontId="4" fillId="0" borderId="6" xfId="0" applyFont="1" applyBorder="1" applyAlignment="1">
      <alignment wrapText="1" shrinkToFit="1"/>
    </xf>
    <xf numFmtId="0" fontId="4" fillId="0" borderId="22" xfId="0" applyFont="1" applyBorder="1" applyAlignment="1"/>
    <xf numFmtId="0" fontId="4" fillId="0" borderId="180" xfId="0" applyFont="1" applyBorder="1"/>
    <xf numFmtId="0" fontId="4" fillId="0" borderId="180" xfId="0" applyFont="1" applyBorder="1" applyAlignment="1">
      <alignment vertical="center"/>
    </xf>
    <xf numFmtId="3" fontId="4" fillId="0" borderId="180" xfId="0" applyNumberFormat="1" applyFont="1" applyBorder="1"/>
    <xf numFmtId="3" fontId="27" fillId="25" borderId="121" xfId="0" applyNumberFormat="1" applyFont="1" applyFill="1" applyBorder="1" applyAlignment="1">
      <alignment vertical="top"/>
    </xf>
    <xf numFmtId="0" fontId="31" fillId="0" borderId="121" xfId="0" applyFont="1" applyFill="1" applyBorder="1" applyAlignment="1">
      <alignment vertical="top" wrapText="1"/>
    </xf>
    <xf numFmtId="0" fontId="32" fillId="0" borderId="121" xfId="0" applyFont="1" applyBorder="1"/>
    <xf numFmtId="3" fontId="25" fillId="0" borderId="35" xfId="0" applyNumberFormat="1" applyFont="1" applyFill="1" applyBorder="1" applyAlignment="1">
      <alignment vertical="top"/>
    </xf>
    <xf numFmtId="0" fontId="31" fillId="2" borderId="121" xfId="4" applyFont="1" applyFill="1" applyBorder="1" applyAlignment="1">
      <alignment vertical="center"/>
    </xf>
    <xf numFmtId="0" fontId="23" fillId="6" borderId="121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16" xfId="4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top"/>
    </xf>
    <xf numFmtId="3" fontId="31" fillId="2" borderId="121" xfId="0" applyNumberFormat="1" applyFont="1" applyFill="1" applyBorder="1" applyAlignment="1">
      <alignment vertical="top"/>
    </xf>
    <xf numFmtId="3" fontId="31" fillId="2" borderId="121" xfId="0" applyNumberFormat="1" applyFont="1" applyFill="1" applyBorder="1" applyAlignment="1">
      <alignment vertical="center"/>
    </xf>
    <xf numFmtId="0" fontId="27" fillId="0" borderId="121" xfId="0" applyFont="1" applyFill="1" applyBorder="1" applyAlignment="1">
      <alignment vertical="center" wrapText="1"/>
    </xf>
    <xf numFmtId="3" fontId="27" fillId="0" borderId="121" xfId="0" applyNumberFormat="1" applyFont="1" applyFill="1" applyBorder="1" applyAlignment="1">
      <alignment vertical="center"/>
    </xf>
    <xf numFmtId="0" fontId="31" fillId="0" borderId="121" xfId="0" applyFont="1" applyFill="1" applyBorder="1" applyAlignment="1">
      <alignment vertical="center" wrapText="1"/>
    </xf>
    <xf numFmtId="3" fontId="31" fillId="25" borderId="188" xfId="0" applyNumberFormat="1" applyFont="1" applyFill="1" applyBorder="1" applyAlignment="1">
      <alignment horizontal="center" vertical="top"/>
    </xf>
    <xf numFmtId="3" fontId="25" fillId="2" borderId="121" xfId="0" applyNumberFormat="1" applyFont="1" applyFill="1" applyBorder="1" applyAlignment="1">
      <alignment vertical="top"/>
    </xf>
    <xf numFmtId="0" fontId="27" fillId="0" borderId="121" xfId="0" applyFont="1" applyFill="1" applyBorder="1" applyAlignment="1">
      <alignment vertical="top" wrapText="1"/>
    </xf>
    <xf numFmtId="0" fontId="31" fillId="0" borderId="116" xfId="4" applyFont="1" applyFill="1" applyBorder="1" applyAlignment="1">
      <alignment vertical="center"/>
    </xf>
    <xf numFmtId="0" fontId="25" fillId="8" borderId="35" xfId="0" applyFont="1" applyFill="1" applyBorder="1" applyAlignment="1">
      <alignment vertical="center" wrapText="1"/>
    </xf>
    <xf numFmtId="3" fontId="27" fillId="0" borderId="121" xfId="4" applyNumberFormat="1" applyFont="1" applyFill="1" applyBorder="1" applyAlignment="1">
      <alignment vertical="top" wrapText="1"/>
    </xf>
    <xf numFmtId="0" fontId="33" fillId="0" borderId="121" xfId="0" applyFont="1" applyBorder="1" applyAlignment="1">
      <alignment vertical="center"/>
    </xf>
    <xf numFmtId="0" fontId="31" fillId="6" borderId="121" xfId="0" applyFont="1" applyFill="1" applyBorder="1" applyAlignment="1">
      <alignment vertical="center"/>
    </xf>
    <xf numFmtId="3" fontId="25" fillId="6" borderId="121" xfId="0" applyNumberFormat="1" applyFont="1" applyFill="1" applyBorder="1" applyAlignment="1">
      <alignment vertical="center"/>
    </xf>
    <xf numFmtId="3" fontId="27" fillId="2" borderId="121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vertical="center"/>
    </xf>
    <xf numFmtId="3" fontId="28" fillId="2" borderId="197" xfId="0" applyNumberFormat="1" applyFont="1" applyFill="1" applyBorder="1" applyAlignment="1">
      <alignment vertical="top"/>
    </xf>
    <xf numFmtId="3" fontId="7" fillId="22" borderId="98" xfId="0" applyNumberFormat="1" applyFont="1" applyFill="1" applyBorder="1" applyAlignment="1">
      <alignment horizontal="right" vertical="center"/>
    </xf>
    <xf numFmtId="0" fontId="25" fillId="8" borderId="20" xfId="0" applyFont="1" applyFill="1" applyBorder="1" applyAlignment="1">
      <alignment horizontal="center" vertical="center" wrapText="1"/>
    </xf>
    <xf numFmtId="0" fontId="62" fillId="6" borderId="28" xfId="4" applyFont="1" applyFill="1" applyBorder="1" applyAlignment="1">
      <alignment horizontal="left" vertical="center"/>
    </xf>
    <xf numFmtId="3" fontId="60" fillId="22" borderId="87" xfId="0" applyNumberFormat="1" applyFont="1" applyFill="1" applyBorder="1" applyAlignment="1">
      <alignment horizontal="right" vertical="center"/>
    </xf>
    <xf numFmtId="3" fontId="7" fillId="22" borderId="190" xfId="0" applyNumberFormat="1" applyFont="1" applyFill="1" applyBorder="1" applyAlignment="1">
      <alignment horizontal="right" vertical="center"/>
    </xf>
    <xf numFmtId="3" fontId="27" fillId="22" borderId="87" xfId="0" applyNumberFormat="1" applyFont="1" applyFill="1" applyBorder="1" applyAlignment="1">
      <alignment horizontal="right" vertical="center"/>
    </xf>
    <xf numFmtId="3" fontId="27" fillId="22" borderId="39" xfId="0" applyNumberFormat="1" applyFont="1" applyFill="1" applyBorder="1" applyAlignment="1">
      <alignment horizontal="right" vertical="center"/>
    </xf>
    <xf numFmtId="0" fontId="17" fillId="2" borderId="40" xfId="0" applyFont="1" applyFill="1" applyBorder="1" applyAlignment="1">
      <alignment vertical="center" wrapText="1"/>
    </xf>
    <xf numFmtId="3" fontId="7" fillId="22" borderId="39" xfId="0" applyNumberFormat="1" applyFont="1" applyFill="1" applyBorder="1" applyAlignment="1">
      <alignment horizontal="right" vertical="center"/>
    </xf>
    <xf numFmtId="3" fontId="28" fillId="0" borderId="87" xfId="0" applyNumberFormat="1" applyFont="1" applyFill="1" applyBorder="1" applyAlignment="1">
      <alignment vertical="top"/>
    </xf>
    <xf numFmtId="0" fontId="7" fillId="0" borderId="93" xfId="0" applyFont="1" applyFill="1" applyBorder="1" applyAlignment="1">
      <alignment vertical="center" wrapText="1"/>
    </xf>
    <xf numFmtId="3" fontId="28" fillId="0" borderId="190" xfId="0" applyNumberFormat="1" applyFont="1" applyFill="1" applyBorder="1" applyAlignment="1">
      <alignment vertical="center"/>
    </xf>
    <xf numFmtId="3" fontId="28" fillId="0" borderId="190" xfId="0" applyNumberFormat="1" applyFont="1" applyFill="1" applyBorder="1" applyAlignment="1">
      <alignment vertical="top"/>
    </xf>
    <xf numFmtId="0" fontId="7" fillId="6" borderId="16" xfId="0" applyFont="1" applyFill="1" applyBorder="1" applyAlignment="1">
      <alignment horizontal="left" vertical="center" wrapText="1"/>
    </xf>
    <xf numFmtId="3" fontId="25" fillId="6" borderId="17" xfId="0" applyNumberFormat="1" applyFont="1" applyFill="1" applyBorder="1" applyAlignment="1">
      <alignment vertical="center"/>
    </xf>
    <xf numFmtId="0" fontId="17" fillId="0" borderId="26" xfId="0" applyFont="1" applyFill="1" applyBorder="1" applyAlignment="1">
      <alignment horizontal="center" vertical="center"/>
    </xf>
    <xf numFmtId="0" fontId="17" fillId="2" borderId="40" xfId="0" applyFont="1" applyFill="1" applyBorder="1" applyAlignment="1">
      <alignment horizontal="center" vertical="center" wrapText="1"/>
    </xf>
    <xf numFmtId="3" fontId="28" fillId="0" borderId="47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top"/>
    </xf>
    <xf numFmtId="0" fontId="4" fillId="0" borderId="24" xfId="0" applyFont="1" applyBorder="1"/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horizontal="center" vertical="top" wrapText="1"/>
    </xf>
    <xf numFmtId="3" fontId="4" fillId="0" borderId="0" xfId="0" applyNumberFormat="1" applyFont="1" applyBorder="1" applyAlignment="1">
      <alignment vertical="top"/>
    </xf>
    <xf numFmtId="0" fontId="4" fillId="0" borderId="24" xfId="0" applyFont="1" applyBorder="1" applyAlignment="1">
      <alignment vertical="top"/>
    </xf>
    <xf numFmtId="0" fontId="4" fillId="0" borderId="24" xfId="0" applyFont="1" applyBorder="1" applyAlignment="1">
      <alignment horizontal="center" vertical="top" wrapText="1"/>
    </xf>
    <xf numFmtId="0" fontId="4" fillId="0" borderId="51" xfId="0" applyFont="1" applyBorder="1" applyAlignment="1">
      <alignment vertical="top"/>
    </xf>
    <xf numFmtId="0" fontId="4" fillId="0" borderId="51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top"/>
    </xf>
    <xf numFmtId="0" fontId="4" fillId="0" borderId="3" xfId="0" applyFont="1" applyBorder="1" applyAlignment="1">
      <alignment horizontal="center" vertical="top" wrapText="1"/>
    </xf>
    <xf numFmtId="0" fontId="34" fillId="0" borderId="39" xfId="0" applyFont="1" applyFill="1" applyBorder="1" applyAlignment="1">
      <alignment vertical="top"/>
    </xf>
    <xf numFmtId="3" fontId="27" fillId="55" borderId="68" xfId="4" applyNumberFormat="1" applyFont="1" applyFill="1" applyBorder="1" applyAlignment="1">
      <alignment horizontal="right" vertical="center"/>
    </xf>
    <xf numFmtId="3" fontId="27" fillId="21" borderId="76" xfId="4" applyNumberFormat="1" applyFont="1" applyFill="1" applyBorder="1" applyAlignment="1">
      <alignment horizontal="right" vertical="center"/>
    </xf>
    <xf numFmtId="3" fontId="27" fillId="55" borderId="35" xfId="4" applyNumberFormat="1" applyFont="1" applyFill="1" applyBorder="1" applyAlignment="1">
      <alignment horizontal="right" vertical="center"/>
    </xf>
    <xf numFmtId="0" fontId="17" fillId="28" borderId="25" xfId="0" applyFont="1" applyFill="1" applyBorder="1" applyAlignment="1">
      <alignment vertical="top"/>
    </xf>
    <xf numFmtId="3" fontId="7" fillId="23" borderId="69" xfId="0" applyNumberFormat="1" applyFont="1" applyFill="1" applyBorder="1" applyAlignment="1">
      <alignment vertical="center"/>
    </xf>
    <xf numFmtId="3" fontId="24" fillId="22" borderId="31" xfId="0" applyNumberFormat="1" applyFont="1" applyFill="1" applyBorder="1" applyAlignment="1">
      <alignment vertical="top"/>
    </xf>
    <xf numFmtId="3" fontId="29" fillId="26" borderId="31" xfId="0" applyNumberFormat="1" applyFont="1" applyFill="1" applyBorder="1" applyAlignment="1">
      <alignment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11" xfId="0" applyNumberFormat="1" applyFont="1" applyBorder="1"/>
    <xf numFmtId="2" fontId="4" fillId="0" borderId="180" xfId="0" applyNumberFormat="1" applyFont="1" applyBorder="1"/>
    <xf numFmtId="2" fontId="4" fillId="0" borderId="180" xfId="0" applyNumberFormat="1" applyFont="1" applyBorder="1" applyAlignment="1">
      <alignment vertical="center"/>
    </xf>
    <xf numFmtId="2" fontId="4" fillId="0" borderId="51" xfId="0" applyNumberFormat="1" applyFont="1" applyBorder="1"/>
    <xf numFmtId="2" fontId="4" fillId="0" borderId="3" xfId="0" applyNumberFormat="1" applyFont="1" applyBorder="1"/>
    <xf numFmtId="0" fontId="7" fillId="6" borderId="200" xfId="0" applyFont="1" applyFill="1" applyBorder="1" applyAlignment="1">
      <alignment vertical="top"/>
    </xf>
    <xf numFmtId="0" fontId="4" fillId="0" borderId="64" xfId="0" applyFont="1" applyBorder="1" applyAlignment="1">
      <alignment horizontal="center" vertical="top" wrapText="1"/>
    </xf>
    <xf numFmtId="0" fontId="4" fillId="0" borderId="65" xfId="0" applyFont="1" applyBorder="1" applyAlignment="1">
      <alignment horizontal="center" vertical="top" wrapText="1"/>
    </xf>
    <xf numFmtId="0" fontId="4" fillId="0" borderId="67" xfId="0" applyFont="1" applyBorder="1" applyAlignment="1">
      <alignment horizontal="center" vertical="top" wrapText="1"/>
    </xf>
    <xf numFmtId="0" fontId="4" fillId="0" borderId="0" xfId="0" applyFont="1"/>
    <xf numFmtId="3" fontId="4" fillId="0" borderId="0" xfId="0" applyNumberFormat="1" applyFont="1"/>
    <xf numFmtId="3" fontId="4" fillId="0" borderId="8" xfId="0" applyNumberFormat="1" applyFont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24" xfId="0" applyFont="1" applyFill="1" applyBorder="1" applyAlignment="1">
      <alignment vertical="center"/>
    </xf>
    <xf numFmtId="0" fontId="4" fillId="2" borderId="51" xfId="0" applyFont="1" applyFill="1" applyBorder="1" applyAlignment="1">
      <alignment vertical="center"/>
    </xf>
    <xf numFmtId="3" fontId="82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0" fontId="36" fillId="16" borderId="51" xfId="0" applyFont="1" applyFill="1" applyBorder="1" applyAlignment="1">
      <alignment horizontal="center" wrapText="1"/>
    </xf>
    <xf numFmtId="0" fontId="4" fillId="0" borderId="3" xfId="0" applyFont="1" applyBorder="1"/>
    <xf numFmtId="0" fontId="31" fillId="0" borderId="199" xfId="4" applyFont="1" applyFill="1" applyBorder="1" applyAlignment="1">
      <alignment horizontal="left" vertical="center"/>
    </xf>
    <xf numFmtId="3" fontId="7" fillId="0" borderId="165" xfId="0" applyNumberFormat="1" applyFont="1" applyFill="1" applyBorder="1" applyAlignment="1">
      <alignment horizontal="right" vertical="center"/>
    </xf>
    <xf numFmtId="3" fontId="7" fillId="0" borderId="197" xfId="0" applyNumberFormat="1" applyFont="1" applyFill="1" applyBorder="1" applyAlignment="1">
      <alignment horizontal="right" vertical="center"/>
    </xf>
    <xf numFmtId="3" fontId="23" fillId="6" borderId="111" xfId="6" applyNumberFormat="1" applyFont="1" applyFill="1" applyBorder="1" applyAlignment="1">
      <alignment horizontal="right" vertical="center"/>
    </xf>
    <xf numFmtId="43" fontId="23" fillId="6" borderId="111" xfId="1" applyFont="1" applyFill="1" applyBorder="1" applyAlignment="1">
      <alignment horizontal="right" vertical="center"/>
    </xf>
    <xf numFmtId="3" fontId="25" fillId="22" borderId="110" xfId="4" applyNumberFormat="1" applyFont="1" applyFill="1" applyBorder="1" applyAlignment="1">
      <alignment horizontal="right" vertical="center"/>
    </xf>
    <xf numFmtId="3" fontId="23" fillId="6" borderId="9" xfId="6" applyNumberFormat="1" applyFont="1" applyFill="1" applyBorder="1" applyAlignment="1">
      <alignment horizontal="right" vertical="center"/>
    </xf>
    <xf numFmtId="3" fontId="24" fillId="23" borderId="76" xfId="4" applyNumberFormat="1" applyFont="1" applyFill="1" applyBorder="1" applyAlignment="1">
      <alignment horizontal="right" vertical="center"/>
    </xf>
    <xf numFmtId="3" fontId="7" fillId="8" borderId="200" xfId="4" applyNumberFormat="1" applyFont="1" applyFill="1" applyBorder="1" applyAlignment="1">
      <alignment vertical="center" wrapText="1"/>
    </xf>
    <xf numFmtId="3" fontId="7" fillId="8" borderId="180" xfId="112" applyNumberFormat="1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3" fontId="7" fillId="8" borderId="76" xfId="112" applyNumberFormat="1" applyFont="1" applyFill="1" applyBorder="1" applyAlignment="1">
      <alignment vertical="center"/>
    </xf>
    <xf numFmtId="0" fontId="18" fillId="0" borderId="42" xfId="112" applyFont="1" applyFill="1" applyBorder="1" applyAlignment="1">
      <alignment vertical="center" wrapText="1"/>
    </xf>
    <xf numFmtId="43" fontId="7" fillId="0" borderId="121" xfId="1" applyFont="1" applyFill="1" applyBorder="1" applyAlignment="1">
      <alignment horizontal="right" vertical="center"/>
    </xf>
    <xf numFmtId="43" fontId="7" fillId="0" borderId="180" xfId="1" applyFont="1" applyFill="1" applyBorder="1" applyAlignment="1">
      <alignment horizontal="right" vertical="center"/>
    </xf>
    <xf numFmtId="0" fontId="4" fillId="0" borderId="27" xfId="112" applyFont="1" applyBorder="1" applyAlignment="1">
      <alignment vertical="center"/>
    </xf>
    <xf numFmtId="3" fontId="20" fillId="0" borderId="0" xfId="112" applyNumberFormat="1" applyFont="1" applyBorder="1" applyAlignment="1">
      <alignment vertical="center"/>
    </xf>
    <xf numFmtId="0" fontId="4" fillId="0" borderId="199" xfId="112" applyFont="1" applyBorder="1" applyAlignment="1">
      <alignment vertical="center"/>
    </xf>
    <xf numFmtId="0" fontId="25" fillId="32" borderId="125" xfId="4" applyFont="1" applyFill="1" applyBorder="1" applyAlignment="1">
      <alignment horizontal="left" vertical="center"/>
    </xf>
    <xf numFmtId="3" fontId="7" fillId="0" borderId="170" xfId="4" applyNumberFormat="1" applyFont="1" applyFill="1" applyBorder="1" applyAlignment="1">
      <alignment vertical="center"/>
    </xf>
    <xf numFmtId="43" fontId="31" fillId="32" borderId="123" xfId="1" applyFont="1" applyFill="1" applyBorder="1" applyAlignment="1">
      <alignment vertical="center"/>
    </xf>
    <xf numFmtId="43" fontId="31" fillId="32" borderId="180" xfId="1" applyFont="1" applyFill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7" fillId="0" borderId="121" xfId="4" applyNumberFormat="1" applyFont="1" applyFill="1" applyBorder="1" applyAlignment="1">
      <alignment horizontal="right" vertical="center"/>
    </xf>
    <xf numFmtId="3" fontId="31" fillId="32" borderId="123" xfId="4" applyNumberFormat="1" applyFont="1" applyFill="1" applyBorder="1" applyAlignment="1">
      <alignment vertical="center"/>
    </xf>
    <xf numFmtId="3" fontId="31" fillId="32" borderId="180" xfId="4" applyNumberFormat="1" applyFont="1" applyFill="1" applyBorder="1" applyAlignment="1">
      <alignment vertical="center"/>
    </xf>
    <xf numFmtId="3" fontId="24" fillId="32" borderId="180" xfId="4" applyNumberFormat="1" applyFont="1" applyFill="1" applyBorder="1" applyAlignment="1">
      <alignment vertical="center"/>
    </xf>
    <xf numFmtId="3" fontId="31" fillId="0" borderId="116" xfId="112" applyNumberFormat="1" applyFont="1" applyFill="1" applyBorder="1" applyAlignment="1">
      <alignment vertical="center"/>
    </xf>
    <xf numFmtId="0" fontId="24" fillId="8" borderId="82" xfId="0" applyFont="1" applyFill="1" applyBorder="1" applyAlignment="1">
      <alignment horizontal="center" vertical="center" wrapText="1"/>
    </xf>
    <xf numFmtId="167" fontId="7" fillId="8" borderId="8" xfId="2" applyNumberFormat="1" applyFont="1" applyFill="1" applyBorder="1" applyAlignment="1">
      <alignment vertical="center"/>
    </xf>
    <xf numFmtId="3" fontId="7" fillId="8" borderId="8" xfId="0" applyNumberFormat="1" applyFont="1" applyFill="1" applyBorder="1" applyAlignment="1">
      <alignment vertical="center"/>
    </xf>
    <xf numFmtId="0" fontId="7" fillId="8" borderId="8" xfId="0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3" fontId="7" fillId="23" borderId="7" xfId="0" applyNumberFormat="1" applyFont="1" applyFill="1" applyBorder="1" applyAlignment="1">
      <alignment vertical="center"/>
    </xf>
    <xf numFmtId="3" fontId="31" fillId="23" borderId="188" xfId="0" applyNumberFormat="1" applyFont="1" applyFill="1" applyBorder="1" applyAlignment="1">
      <alignment vertical="top"/>
    </xf>
    <xf numFmtId="3" fontId="31" fillId="0" borderId="39" xfId="4" applyNumberFormat="1" applyFont="1" applyFill="1" applyBorder="1" applyAlignment="1">
      <alignment vertical="center"/>
    </xf>
    <xf numFmtId="3" fontId="31" fillId="0" borderId="39" xfId="0" applyNumberFormat="1" applyFont="1" applyFill="1" applyBorder="1" applyAlignment="1">
      <alignment vertical="top"/>
    </xf>
    <xf numFmtId="3" fontId="31" fillId="0" borderId="39" xfId="0" applyNumberFormat="1" applyFont="1" applyFill="1" applyBorder="1" applyAlignment="1">
      <alignment vertical="center"/>
    </xf>
    <xf numFmtId="0" fontId="25" fillId="8" borderId="18" xfId="0" applyFont="1" applyFill="1" applyBorder="1" applyAlignment="1">
      <alignment horizontal="center" vertical="center" wrapText="1"/>
    </xf>
    <xf numFmtId="3" fontId="31" fillId="23" borderId="18" xfId="0" applyNumberFormat="1" applyFont="1" applyFill="1" applyBorder="1" applyAlignment="1">
      <alignment vertical="top"/>
    </xf>
    <xf numFmtId="3" fontId="31" fillId="23" borderId="17" xfId="0" applyNumberFormat="1" applyFont="1" applyFill="1" applyBorder="1" applyAlignment="1">
      <alignment vertical="top"/>
    </xf>
    <xf numFmtId="3" fontId="25" fillId="2" borderId="180" xfId="0" applyNumberFormat="1" applyFont="1" applyFill="1" applyBorder="1" applyAlignment="1">
      <alignment vertical="top"/>
    </xf>
    <xf numFmtId="0" fontId="20" fillId="2" borderId="66" xfId="0" applyFont="1" applyFill="1" applyBorder="1" applyAlignment="1">
      <alignment vertical="center" wrapText="1"/>
    </xf>
    <xf numFmtId="0" fontId="32" fillId="0" borderId="25" xfId="0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0" fontId="21" fillId="0" borderId="72" xfId="0" applyFont="1" applyFill="1" applyBorder="1" applyAlignment="1">
      <alignment vertical="center" wrapText="1"/>
    </xf>
    <xf numFmtId="3" fontId="25" fillId="25" borderId="23" xfId="0" applyNumberFormat="1" applyFont="1" applyFill="1" applyBorder="1" applyAlignment="1">
      <alignment vertical="center"/>
    </xf>
    <xf numFmtId="0" fontId="36" fillId="18" borderId="3" xfId="0" applyFont="1" applyFill="1" applyBorder="1" applyAlignment="1">
      <alignment horizontal="center" vertical="center"/>
    </xf>
    <xf numFmtId="0" fontId="36" fillId="18" borderId="24" xfId="0" applyFont="1" applyFill="1" applyBorder="1" applyAlignment="1">
      <alignment horizontal="right"/>
    </xf>
    <xf numFmtId="0" fontId="7" fillId="11" borderId="180" xfId="0" applyFont="1" applyFill="1" applyBorder="1" applyAlignment="1">
      <alignment vertical="center" wrapText="1"/>
    </xf>
    <xf numFmtId="0" fontId="36" fillId="18" borderId="3" xfId="0" applyFont="1" applyFill="1" applyBorder="1" applyAlignment="1">
      <alignment horizontal="center"/>
    </xf>
    <xf numFmtId="3" fontId="6" fillId="11" borderId="35" xfId="0" applyNumberFormat="1" applyFont="1" applyFill="1" applyBorder="1"/>
    <xf numFmtId="3" fontId="6" fillId="11" borderId="180" xfId="0" applyNumberFormat="1" applyFont="1" applyFill="1" applyBorder="1"/>
    <xf numFmtId="3" fontId="6" fillId="11" borderId="8" xfId="0" applyNumberFormat="1" applyFont="1" applyFill="1" applyBorder="1"/>
    <xf numFmtId="3" fontId="6" fillId="11" borderId="46" xfId="0" applyNumberFormat="1" applyFont="1" applyFill="1" applyBorder="1"/>
    <xf numFmtId="3" fontId="6" fillId="11" borderId="201" xfId="0" applyNumberFormat="1" applyFont="1" applyFill="1" applyBorder="1"/>
    <xf numFmtId="3" fontId="6" fillId="11" borderId="21" xfId="0" applyNumberFormat="1" applyFont="1" applyFill="1" applyBorder="1"/>
    <xf numFmtId="3" fontId="6" fillId="11" borderId="9" xfId="0" applyNumberFormat="1" applyFont="1" applyFill="1" applyBorder="1"/>
    <xf numFmtId="43" fontId="31" fillId="0" borderId="10" xfId="1" applyFont="1" applyFill="1" applyBorder="1" applyAlignment="1">
      <alignment vertical="center"/>
    </xf>
    <xf numFmtId="3" fontId="27" fillId="0" borderId="180" xfId="4" applyNumberFormat="1" applyFont="1" applyFill="1" applyBorder="1" applyAlignment="1">
      <alignment vertical="center"/>
    </xf>
    <xf numFmtId="3" fontId="6" fillId="6" borderId="35" xfId="0" applyNumberFormat="1" applyFont="1" applyFill="1" applyBorder="1"/>
    <xf numFmtId="0" fontId="7" fillId="6" borderId="200" xfId="0" applyFont="1" applyFill="1" applyBorder="1" applyAlignment="1">
      <alignment vertical="center" wrapText="1"/>
    </xf>
    <xf numFmtId="3" fontId="8" fillId="6" borderId="199" xfId="0" applyNumberFormat="1" applyFont="1" applyFill="1" applyBorder="1"/>
    <xf numFmtId="0" fontId="7" fillId="8" borderId="22" xfId="0" applyFont="1" applyFill="1" applyBorder="1" applyAlignment="1">
      <alignment vertical="center" wrapText="1"/>
    </xf>
    <xf numFmtId="0" fontId="7" fillId="8" borderId="200" xfId="0" applyFont="1" applyFill="1" applyBorder="1" applyAlignment="1">
      <alignment vertical="center" wrapText="1"/>
    </xf>
    <xf numFmtId="3" fontId="8" fillId="8" borderId="180" xfId="0" applyNumberFormat="1" applyFont="1" applyFill="1" applyBorder="1"/>
    <xf numFmtId="3" fontId="8" fillId="8" borderId="190" xfId="0" applyNumberFormat="1" applyFont="1" applyFill="1" applyBorder="1"/>
    <xf numFmtId="3" fontId="25" fillId="22" borderId="10" xfId="0" applyNumberFormat="1" applyFont="1" applyFill="1" applyBorder="1" applyAlignment="1">
      <alignment horizontal="center" vertical="top"/>
    </xf>
    <xf numFmtId="3" fontId="27" fillId="25" borderId="180" xfId="0" applyNumberFormat="1" applyFont="1" applyFill="1" applyBorder="1" applyAlignment="1">
      <alignment horizontal="center" vertical="top"/>
    </xf>
    <xf numFmtId="3" fontId="31" fillId="25" borderId="180" xfId="0" applyNumberFormat="1" applyFont="1" applyFill="1" applyBorder="1" applyAlignment="1">
      <alignment horizontal="center" vertical="top"/>
    </xf>
    <xf numFmtId="3" fontId="60" fillId="0" borderId="180" xfId="0" applyNumberFormat="1" applyFont="1" applyBorder="1"/>
    <xf numFmtId="3" fontId="28" fillId="0" borderId="63" xfId="4" applyNumberFormat="1" applyFont="1" applyFill="1" applyBorder="1" applyAlignment="1">
      <alignment vertical="center"/>
    </xf>
    <xf numFmtId="3" fontId="28" fillId="0" borderId="180" xfId="0" applyNumberFormat="1" applyFont="1" applyFill="1" applyBorder="1" applyAlignment="1">
      <alignment vertical="top"/>
    </xf>
    <xf numFmtId="3" fontId="39" fillId="0" borderId="180" xfId="0" applyNumberFormat="1" applyFont="1" applyBorder="1"/>
    <xf numFmtId="3" fontId="28" fillId="0" borderId="12" xfId="0" applyNumberFormat="1" applyFont="1" applyFill="1" applyBorder="1" applyAlignment="1">
      <alignment vertical="top"/>
    </xf>
    <xf numFmtId="3" fontId="39" fillId="0" borderId="190" xfId="0" applyNumberFormat="1" applyFont="1" applyBorder="1"/>
    <xf numFmtId="3" fontId="8" fillId="56" borderId="30" xfId="0" applyNumberFormat="1" applyFont="1" applyFill="1" applyBorder="1"/>
    <xf numFmtId="3" fontId="6" fillId="56" borderId="30" xfId="0" applyNumberFormat="1" applyFont="1" applyFill="1" applyBorder="1"/>
    <xf numFmtId="3" fontId="8" fillId="56" borderId="35" xfId="0" applyNumberFormat="1" applyFont="1" applyFill="1" applyBorder="1"/>
    <xf numFmtId="3" fontId="24" fillId="22" borderId="68" xfId="0" applyNumberFormat="1" applyFont="1" applyFill="1" applyBorder="1" applyAlignment="1">
      <alignment vertical="top"/>
    </xf>
    <xf numFmtId="0" fontId="7" fillId="23" borderId="68" xfId="0" applyFont="1" applyFill="1" applyBorder="1" applyAlignment="1">
      <alignment vertical="top"/>
    </xf>
    <xf numFmtId="0" fontId="31" fillId="6" borderId="179" xfId="0" applyFont="1" applyFill="1" applyBorder="1" applyAlignment="1">
      <alignment vertical="top"/>
    </xf>
    <xf numFmtId="3" fontId="27" fillId="26" borderId="179" xfId="0" applyNumberFormat="1" applyFont="1" applyFill="1" applyBorder="1" applyAlignment="1">
      <alignment vertical="center"/>
    </xf>
    <xf numFmtId="3" fontId="28" fillId="2" borderId="190" xfId="0" applyNumberFormat="1" applyFont="1" applyFill="1" applyBorder="1" applyAlignment="1">
      <alignment vertical="top"/>
    </xf>
    <xf numFmtId="3" fontId="31" fillId="0" borderId="197" xfId="0" applyNumberFormat="1" applyFont="1" applyFill="1" applyBorder="1" applyAlignment="1">
      <alignment vertical="center"/>
    </xf>
    <xf numFmtId="3" fontId="31" fillId="32" borderId="190" xfId="0" applyNumberFormat="1" applyFont="1" applyFill="1" applyBorder="1" applyAlignment="1">
      <alignment vertical="top"/>
    </xf>
    <xf numFmtId="3" fontId="31" fillId="25" borderId="190" xfId="0" applyNumberFormat="1" applyFont="1" applyFill="1" applyBorder="1" applyAlignment="1">
      <alignment vertical="top"/>
    </xf>
    <xf numFmtId="0" fontId="60" fillId="13" borderId="202" xfId="0" applyFont="1" applyFill="1" applyBorder="1" applyAlignment="1">
      <alignment vertical="center"/>
    </xf>
    <xf numFmtId="0" fontId="60" fillId="13" borderId="200" xfId="0" applyFont="1" applyFill="1" applyBorder="1" applyAlignment="1">
      <alignment vertical="center"/>
    </xf>
    <xf numFmtId="0" fontId="60" fillId="13" borderId="20" xfId="0" applyFont="1" applyFill="1" applyBorder="1" applyAlignment="1">
      <alignment vertical="center"/>
    </xf>
    <xf numFmtId="0" fontId="69" fillId="13" borderId="203" xfId="4" applyFont="1" applyFill="1" applyBorder="1" applyAlignment="1">
      <alignment horizontal="left" vertical="center"/>
    </xf>
    <xf numFmtId="43" fontId="28" fillId="23" borderId="188" xfId="1" applyFont="1" applyFill="1" applyBorder="1" applyAlignment="1">
      <alignment horizontal="right" vertical="center"/>
    </xf>
    <xf numFmtId="0" fontId="24" fillId="8" borderId="68" xfId="4" applyFont="1" applyFill="1" applyBorder="1" applyAlignment="1">
      <alignment vertical="center" wrapText="1"/>
    </xf>
    <xf numFmtId="3" fontId="25" fillId="8" borderId="8" xfId="0" applyNumberFormat="1" applyFont="1" applyFill="1" applyBorder="1" applyAlignment="1">
      <alignment vertical="top"/>
    </xf>
    <xf numFmtId="3" fontId="31" fillId="8" borderId="9" xfId="0" applyNumberFormat="1" applyFont="1" applyFill="1" applyBorder="1" applyAlignment="1">
      <alignment vertical="top"/>
    </xf>
    <xf numFmtId="0" fontId="76" fillId="2" borderId="0" xfId="0" applyFont="1" applyFill="1" applyBorder="1" applyAlignment="1">
      <alignment horizontal="center" wrapText="1"/>
    </xf>
    <xf numFmtId="0" fontId="25" fillId="0" borderId="12" xfId="4" applyFont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31" fillId="25" borderId="0" xfId="4" applyNumberFormat="1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3" fontId="18" fillId="0" borderId="46" xfId="4" applyNumberFormat="1" applyFont="1" applyFill="1" applyBorder="1" applyAlignment="1">
      <alignment horizontal="center" vertical="center" wrapText="1"/>
    </xf>
    <xf numFmtId="0" fontId="23" fillId="0" borderId="125" xfId="0" applyFont="1" applyBorder="1" applyAlignment="1">
      <alignment horizontal="center" vertical="center" wrapText="1"/>
    </xf>
    <xf numFmtId="0" fontId="17" fillId="0" borderId="52" xfId="4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/>
    </xf>
    <xf numFmtId="0" fontId="18" fillId="0" borderId="41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32" fillId="0" borderId="174" xfId="0" applyFont="1" applyFill="1" applyBorder="1" applyAlignment="1">
      <alignment horizontal="center" vertical="center" wrapText="1"/>
    </xf>
    <xf numFmtId="0" fontId="32" fillId="0" borderId="180" xfId="0" applyFont="1" applyFill="1" applyBorder="1" applyAlignment="1">
      <alignment horizontal="center" vertical="center" wrapText="1"/>
    </xf>
    <xf numFmtId="0" fontId="17" fillId="0" borderId="159" xfId="4" applyFont="1" applyFill="1" applyBorder="1" applyAlignment="1">
      <alignment horizontal="center" vertical="center"/>
    </xf>
    <xf numFmtId="0" fontId="32" fillId="0" borderId="154" xfId="0" applyFont="1" applyBorder="1" applyAlignment="1">
      <alignment wrapText="1"/>
    </xf>
    <xf numFmtId="3" fontId="24" fillId="26" borderId="154" xfId="4" applyNumberFormat="1" applyFont="1" applyFill="1" applyBorder="1" applyAlignment="1">
      <alignment horizontal="center" vertical="center"/>
    </xf>
    <xf numFmtId="0" fontId="23" fillId="0" borderId="35" xfId="6" applyFont="1" applyBorder="1" applyAlignment="1">
      <alignment horizontal="center" vertical="center"/>
    </xf>
    <xf numFmtId="0" fontId="23" fillId="0" borderId="43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2" fontId="4" fillId="0" borderId="0" xfId="0" applyNumberFormat="1" applyFont="1" applyBorder="1"/>
    <xf numFmtId="0" fontId="17" fillId="0" borderId="2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2" xfId="4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25" fillId="0" borderId="35" xfId="4" applyFont="1" applyBorder="1" applyAlignment="1">
      <alignment horizontal="center" vertical="center" wrapText="1"/>
    </xf>
    <xf numFmtId="0" fontId="25" fillId="32" borderId="12" xfId="4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3" fontId="31" fillId="8" borderId="76" xfId="0" applyNumberFormat="1" applyFont="1" applyFill="1" applyBorder="1" applyAlignment="1">
      <alignment vertical="center"/>
    </xf>
    <xf numFmtId="43" fontId="31" fillId="8" borderId="18" xfId="1" applyFont="1" applyFill="1" applyBorder="1" applyAlignment="1">
      <alignment vertical="center"/>
    </xf>
    <xf numFmtId="0" fontId="31" fillId="8" borderId="18" xfId="0" applyFont="1" applyFill="1" applyBorder="1" applyAlignment="1">
      <alignment vertical="center"/>
    </xf>
    <xf numFmtId="0" fontId="31" fillId="8" borderId="17" xfId="0" applyFont="1" applyFill="1" applyBorder="1" applyAlignment="1">
      <alignment vertical="center"/>
    </xf>
    <xf numFmtId="0" fontId="7" fillId="23" borderId="76" xfId="0" applyFont="1" applyFill="1" applyBorder="1" applyAlignment="1">
      <alignment vertical="center"/>
    </xf>
    <xf numFmtId="3" fontId="25" fillId="22" borderId="0" xfId="0" applyNumberFormat="1" applyFont="1" applyFill="1" applyBorder="1" applyAlignment="1">
      <alignment vertical="center"/>
    </xf>
    <xf numFmtId="43" fontId="27" fillId="0" borderId="180" xfId="1" applyFont="1" applyFill="1" applyBorder="1" applyAlignment="1">
      <alignment vertical="center"/>
    </xf>
    <xf numFmtId="3" fontId="27" fillId="25" borderId="8" xfId="0" applyNumberFormat="1" applyFont="1" applyFill="1" applyBorder="1" applyAlignment="1">
      <alignment vertical="center"/>
    </xf>
    <xf numFmtId="3" fontId="31" fillId="25" borderId="190" xfId="4" applyNumberFormat="1" applyFont="1" applyFill="1" applyBorder="1" applyAlignment="1">
      <alignment horizontal="right" vertical="center"/>
    </xf>
    <xf numFmtId="3" fontId="31" fillId="25" borderId="24" xfId="4" applyNumberFormat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3" fontId="31" fillId="0" borderId="171" xfId="4" applyNumberFormat="1" applyFont="1" applyFill="1" applyBorder="1" applyAlignment="1">
      <alignment horizontal="right" vertical="center"/>
    </xf>
    <xf numFmtId="0" fontId="28" fillId="80" borderId="183" xfId="4" applyFont="1" applyFill="1" applyBorder="1" applyAlignment="1">
      <alignment horizontal="right" vertical="center"/>
    </xf>
    <xf numFmtId="3" fontId="31" fillId="80" borderId="171" xfId="4" applyNumberFormat="1" applyFont="1" applyFill="1" applyBorder="1" applyAlignment="1">
      <alignment vertical="center"/>
    </xf>
    <xf numFmtId="3" fontId="28" fillId="80" borderId="171" xfId="4" applyNumberFormat="1" applyFont="1" applyFill="1" applyBorder="1" applyAlignment="1">
      <alignment vertical="center"/>
    </xf>
    <xf numFmtId="3" fontId="28" fillId="80" borderId="171" xfId="4" applyNumberFormat="1" applyFont="1" applyFill="1" applyBorder="1" applyAlignment="1">
      <alignment horizontal="right" vertical="center"/>
    </xf>
    <xf numFmtId="3" fontId="28" fillId="23" borderId="179" xfId="4" applyNumberFormat="1" applyFont="1" applyFill="1" applyBorder="1" applyAlignment="1">
      <alignment vertical="center"/>
    </xf>
    <xf numFmtId="0" fontId="28" fillId="57" borderId="183" xfId="4" applyFont="1" applyFill="1" applyBorder="1" applyAlignment="1">
      <alignment horizontal="right" vertical="center"/>
    </xf>
    <xf numFmtId="3" fontId="31" fillId="57" borderId="171" xfId="4" applyNumberFormat="1" applyFont="1" applyFill="1" applyBorder="1" applyAlignment="1">
      <alignment vertical="center"/>
    </xf>
    <xf numFmtId="3" fontId="28" fillId="57" borderId="171" xfId="4" applyNumberFormat="1" applyFont="1" applyFill="1" applyBorder="1" applyAlignment="1">
      <alignment vertical="center"/>
    </xf>
    <xf numFmtId="3" fontId="28" fillId="57" borderId="171" xfId="4" applyNumberFormat="1" applyFont="1" applyFill="1" applyBorder="1" applyAlignment="1">
      <alignment horizontal="right" vertical="center"/>
    </xf>
    <xf numFmtId="3" fontId="31" fillId="23" borderId="176" xfId="4" applyNumberFormat="1" applyFont="1" applyFill="1" applyBorder="1" applyAlignment="1">
      <alignment vertical="center"/>
    </xf>
    <xf numFmtId="0" fontId="24" fillId="8" borderId="26" xfId="0" applyFont="1" applyFill="1" applyBorder="1" applyAlignment="1">
      <alignment horizontal="center" vertical="center" wrapText="1"/>
    </xf>
    <xf numFmtId="0" fontId="20" fillId="6" borderId="200" xfId="4" applyFont="1" applyFill="1" applyBorder="1" applyAlignment="1">
      <alignment horizontal="left" vertical="center"/>
    </xf>
    <xf numFmtId="43" fontId="29" fillId="0" borderId="171" xfId="1" applyFont="1" applyFill="1" applyBorder="1" applyAlignment="1">
      <alignment horizontal="right" vertical="center"/>
    </xf>
    <xf numFmtId="0" fontId="28" fillId="57" borderId="183" xfId="4" quotePrefix="1" applyFont="1" applyFill="1" applyBorder="1" applyAlignment="1">
      <alignment horizontal="right" vertical="center"/>
    </xf>
    <xf numFmtId="0" fontId="28" fillId="62" borderId="183" xfId="4" quotePrefix="1" applyFont="1" applyFill="1" applyBorder="1" applyAlignment="1">
      <alignment horizontal="right" vertical="center"/>
    </xf>
    <xf numFmtId="0" fontId="7" fillId="0" borderId="8" xfId="4" applyFont="1" applyFill="1" applyBorder="1" applyAlignment="1">
      <alignment vertical="center"/>
    </xf>
    <xf numFmtId="3" fontId="7" fillId="0" borderId="27" xfId="4" applyNumberFormat="1" applyFont="1" applyFill="1" applyBorder="1" applyAlignment="1">
      <alignment horizontal="right" vertical="center"/>
    </xf>
    <xf numFmtId="43" fontId="31" fillId="62" borderId="179" xfId="1" applyFont="1" applyFill="1" applyBorder="1" applyAlignment="1"/>
    <xf numFmtId="43" fontId="31" fillId="57" borderId="179" xfId="1" applyFont="1" applyFill="1" applyBorder="1" applyAlignment="1"/>
    <xf numFmtId="3" fontId="7" fillId="23" borderId="76" xfId="4" applyNumberFormat="1" applyFont="1" applyFill="1" applyBorder="1" applyAlignment="1">
      <alignment horizontal="right" vertical="center"/>
    </xf>
    <xf numFmtId="3" fontId="7" fillId="0" borderId="190" xfId="4" applyNumberFormat="1" applyFont="1" applyFill="1" applyBorder="1" applyAlignment="1">
      <alignment vertical="top"/>
    </xf>
    <xf numFmtId="0" fontId="24" fillId="8" borderId="199" xfId="4" applyFont="1" applyFill="1" applyBorder="1" applyAlignment="1">
      <alignment horizontal="left" vertical="center" wrapText="1"/>
    </xf>
    <xf numFmtId="0" fontId="4" fillId="0" borderId="121" xfId="0" applyFont="1" applyBorder="1"/>
    <xf numFmtId="0" fontId="4" fillId="0" borderId="116" xfId="0" applyFont="1" applyBorder="1"/>
    <xf numFmtId="0" fontId="31" fillId="0" borderId="121" xfId="4" applyFont="1" applyFill="1" applyBorder="1" applyAlignment="1">
      <alignment vertical="center"/>
    </xf>
    <xf numFmtId="0" fontId="63" fillId="0" borderId="35" xfId="0" quotePrefix="1" applyFont="1" applyBorder="1" applyAlignment="1">
      <alignment vertical="center"/>
    </xf>
    <xf numFmtId="0" fontId="4" fillId="0" borderId="43" xfId="0" applyFont="1" applyBorder="1"/>
    <xf numFmtId="0" fontId="4" fillId="0" borderId="190" xfId="0" applyFont="1" applyBorder="1"/>
    <xf numFmtId="0" fontId="31" fillId="0" borderId="180" xfId="0" applyFont="1" applyFill="1" applyBorder="1" applyAlignment="1">
      <alignment vertical="top" wrapText="1"/>
    </xf>
    <xf numFmtId="0" fontId="27" fillId="0" borderId="180" xfId="0" applyFont="1" applyFill="1" applyBorder="1" applyAlignment="1">
      <alignment vertical="top" wrapText="1"/>
    </xf>
    <xf numFmtId="0" fontId="31" fillId="0" borderId="190" xfId="4" applyFont="1" applyFill="1" applyBorder="1" applyAlignment="1">
      <alignment vertical="center"/>
    </xf>
    <xf numFmtId="0" fontId="31" fillId="6" borderId="28" xfId="0" applyFont="1" applyFill="1" applyBorder="1" applyAlignment="1">
      <alignment vertical="top"/>
    </xf>
    <xf numFmtId="3" fontId="25" fillId="22" borderId="89" xfId="0" applyNumberFormat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3" fontId="31" fillId="0" borderId="121" xfId="0" applyNumberFormat="1" applyFont="1" applyFill="1" applyBorder="1" applyAlignment="1">
      <alignment horizontal="right" vertical="center"/>
    </xf>
    <xf numFmtId="0" fontId="28" fillId="0" borderId="129" xfId="0" applyFont="1" applyFill="1" applyBorder="1" applyAlignment="1">
      <alignment vertical="top"/>
    </xf>
    <xf numFmtId="3" fontId="31" fillId="0" borderId="156" xfId="0" applyNumberFormat="1" applyFont="1" applyFill="1" applyBorder="1" applyAlignment="1">
      <alignment horizontal="right" vertical="center"/>
    </xf>
    <xf numFmtId="3" fontId="31" fillId="25" borderId="164" xfId="0" applyNumberFormat="1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55" xfId="0" applyNumberFormat="1" applyFont="1" applyFill="1" applyBorder="1" applyAlignment="1">
      <alignment horizontal="right" vertical="center"/>
    </xf>
    <xf numFmtId="3" fontId="28" fillId="25" borderId="121" xfId="0" applyNumberFormat="1" applyFont="1" applyFill="1" applyBorder="1" applyAlignment="1">
      <alignment vertical="top"/>
    </xf>
    <xf numFmtId="0" fontId="25" fillId="8" borderId="1" xfId="0" applyFont="1" applyFill="1" applyBorder="1" applyAlignment="1">
      <alignment horizontal="center" vertical="center" wrapText="1"/>
    </xf>
    <xf numFmtId="3" fontId="25" fillId="6" borderId="173" xfId="0" applyNumberFormat="1" applyFont="1" applyFill="1" applyBorder="1" applyAlignment="1">
      <alignment vertical="top"/>
    </xf>
    <xf numFmtId="43" fontId="25" fillId="6" borderId="173" xfId="1" applyFont="1" applyFill="1" applyBorder="1" applyAlignment="1">
      <alignment vertical="top"/>
    </xf>
    <xf numFmtId="3" fontId="25" fillId="22" borderId="173" xfId="0" applyNumberFormat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0" fontId="31" fillId="0" borderId="21" xfId="0" applyFont="1" applyFill="1" applyBorder="1" applyAlignment="1">
      <alignment vertical="center"/>
    </xf>
    <xf numFmtId="3" fontId="28" fillId="2" borderId="179" xfId="0" applyNumberFormat="1" applyFont="1" applyFill="1" applyBorder="1" applyAlignment="1">
      <alignment vertical="center"/>
    </xf>
    <xf numFmtId="3" fontId="31" fillId="0" borderId="9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center"/>
    </xf>
    <xf numFmtId="3" fontId="31" fillId="25" borderId="121" xfId="0" applyNumberFormat="1" applyFont="1" applyFill="1" applyBorder="1" applyAlignment="1">
      <alignment vertical="center"/>
    </xf>
    <xf numFmtId="0" fontId="31" fillId="0" borderId="11" xfId="4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3" fontId="4" fillId="0" borderId="0" xfId="0" applyNumberFormat="1" applyFont="1" applyBorder="1" applyAlignment="1">
      <alignment wrapText="1"/>
    </xf>
    <xf numFmtId="3" fontId="4" fillId="0" borderId="26" xfId="0" applyNumberFormat="1" applyFont="1" applyBorder="1" applyAlignment="1">
      <alignment wrapText="1"/>
    </xf>
    <xf numFmtId="0" fontId="69" fillId="6" borderId="161" xfId="4" applyFont="1" applyFill="1" applyBorder="1" applyAlignment="1">
      <alignment horizontal="left" vertical="center"/>
    </xf>
    <xf numFmtId="3" fontId="24" fillId="6" borderId="170" xfId="0" applyNumberFormat="1" applyFont="1" applyFill="1" applyBorder="1" applyAlignment="1">
      <alignment vertical="center"/>
    </xf>
    <xf numFmtId="3" fontId="24" fillId="6" borderId="154" xfId="0" applyNumberFormat="1" applyFont="1" applyFill="1" applyBorder="1" applyAlignment="1">
      <alignment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70" xfId="0" applyNumberFormat="1" applyFont="1" applyFill="1" applyBorder="1" applyAlignment="1">
      <alignment vertical="center"/>
    </xf>
    <xf numFmtId="3" fontId="29" fillId="0" borderId="154" xfId="0" applyNumberFormat="1" applyFont="1" applyFill="1" applyBorder="1" applyAlignment="1">
      <alignment vertical="center"/>
    </xf>
    <xf numFmtId="3" fontId="29" fillId="25" borderId="154" xfId="0" applyNumberFormat="1" applyFont="1" applyFill="1" applyBorder="1" applyAlignment="1">
      <alignment vertical="top"/>
    </xf>
    <xf numFmtId="0" fontId="8" fillId="0" borderId="119" xfId="0" applyFont="1" applyFill="1" applyBorder="1" applyAlignment="1">
      <alignment vertical="center" wrapText="1"/>
    </xf>
    <xf numFmtId="3" fontId="7" fillId="0" borderId="164" xfId="4" applyNumberFormat="1" applyFont="1" applyFill="1" applyBorder="1" applyAlignment="1">
      <alignment vertical="center"/>
    </xf>
    <xf numFmtId="3" fontId="38" fillId="2" borderId="123" xfId="0" applyNumberFormat="1" applyFont="1" applyFill="1" applyBorder="1" applyAlignment="1">
      <alignment vertical="top"/>
    </xf>
    <xf numFmtId="3" fontId="7" fillId="25" borderId="121" xfId="0" applyNumberFormat="1" applyFont="1" applyFill="1" applyBorder="1" applyAlignment="1">
      <alignment vertical="top"/>
    </xf>
    <xf numFmtId="3" fontId="7" fillId="0" borderId="155" xfId="4" applyNumberFormat="1" applyFont="1" applyFill="1" applyBorder="1" applyAlignment="1">
      <alignment vertical="center"/>
    </xf>
    <xf numFmtId="0" fontId="29" fillId="2" borderId="119" xfId="4" applyFont="1" applyFill="1" applyBorder="1" applyAlignment="1">
      <alignment vertical="top"/>
    </xf>
    <xf numFmtId="3" fontId="29" fillId="0" borderId="170" xfId="0" applyNumberFormat="1" applyFont="1" applyFill="1" applyBorder="1" applyAlignment="1">
      <alignment horizontal="right" vertical="center"/>
    </xf>
    <xf numFmtId="3" fontId="29" fillId="0" borderId="154" xfId="0" applyNumberFormat="1" applyFont="1" applyFill="1" applyBorder="1" applyAlignment="1">
      <alignment horizontal="right" vertical="center"/>
    </xf>
    <xf numFmtId="3" fontId="38" fillId="0" borderId="170" xfId="0" applyNumberFormat="1" applyFont="1" applyFill="1" applyBorder="1" applyAlignment="1">
      <alignment vertical="center"/>
    </xf>
    <xf numFmtId="3" fontId="7" fillId="25" borderId="121" xfId="0" applyNumberFormat="1" applyFont="1" applyFill="1" applyBorder="1" applyAlignment="1">
      <alignment vertical="center"/>
    </xf>
    <xf numFmtId="3" fontId="38" fillId="0" borderId="164" xfId="0" applyNumberFormat="1" applyFont="1" applyFill="1" applyBorder="1" applyAlignment="1">
      <alignment vertical="center"/>
    </xf>
    <xf numFmtId="3" fontId="7" fillId="0" borderId="154" xfId="0" applyNumberFormat="1" applyFont="1" applyFill="1" applyBorder="1" applyAlignment="1">
      <alignment vertical="center"/>
    </xf>
    <xf numFmtId="3" fontId="7" fillId="0" borderId="116" xfId="4" applyNumberFormat="1" applyFont="1" applyFill="1" applyBorder="1" applyAlignment="1">
      <alignment vertical="center"/>
    </xf>
    <xf numFmtId="0" fontId="25" fillId="8" borderId="82" xfId="0" applyFont="1" applyFill="1" applyBorder="1" applyAlignment="1">
      <alignment horizontal="center" vertical="center" wrapText="1"/>
    </xf>
    <xf numFmtId="0" fontId="7" fillId="23" borderId="35" xfId="0" applyFont="1" applyFill="1" applyBorder="1" applyAlignment="1">
      <alignment vertical="top"/>
    </xf>
    <xf numFmtId="0" fontId="62" fillId="6" borderId="20" xfId="4" applyFont="1" applyFill="1" applyBorder="1" applyAlignment="1">
      <alignment horizontal="left" vertical="center"/>
    </xf>
    <xf numFmtId="3" fontId="31" fillId="0" borderId="89" xfId="0" applyNumberFormat="1" applyFont="1" applyFill="1" applyBorder="1" applyAlignment="1">
      <alignment vertical="top"/>
    </xf>
    <xf numFmtId="3" fontId="31" fillId="0" borderId="96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89" xfId="0" applyNumberFormat="1" applyFont="1" applyFill="1" applyBorder="1" applyAlignment="1">
      <alignment vertical="top"/>
    </xf>
    <xf numFmtId="3" fontId="28" fillId="0" borderId="96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5" fillId="6" borderId="99" xfId="0" applyNumberFormat="1" applyFont="1" applyFill="1" applyBorder="1" applyAlignment="1">
      <alignment vertical="center"/>
    </xf>
    <xf numFmtId="3" fontId="27" fillId="0" borderId="98" xfId="0" applyNumberFormat="1" applyFont="1" applyFill="1" applyBorder="1" applyAlignment="1">
      <alignment vertical="center"/>
    </xf>
    <xf numFmtId="3" fontId="27" fillId="0" borderId="98" xfId="0" applyNumberFormat="1" applyFont="1" applyFill="1" applyBorder="1" applyAlignment="1">
      <alignment vertical="top"/>
    </xf>
    <xf numFmtId="3" fontId="31" fillId="0" borderId="98" xfId="0" applyNumberFormat="1" applyFont="1" applyFill="1" applyBorder="1" applyAlignment="1">
      <alignment vertical="center"/>
    </xf>
    <xf numFmtId="3" fontId="28" fillId="0" borderId="98" xfId="0" applyNumberFormat="1" applyFont="1" applyFill="1" applyBorder="1" applyAlignment="1">
      <alignment vertical="center"/>
    </xf>
    <xf numFmtId="3" fontId="25" fillId="0" borderId="98" xfId="0" applyNumberFormat="1" applyFont="1" applyFill="1" applyBorder="1" applyAlignment="1">
      <alignment vertical="center"/>
    </xf>
    <xf numFmtId="3" fontId="25" fillId="0" borderId="98" xfId="0" applyNumberFormat="1" applyFont="1" applyFill="1" applyBorder="1" applyAlignment="1">
      <alignment vertical="top"/>
    </xf>
    <xf numFmtId="0" fontId="17" fillId="0" borderId="21" xfId="0" applyFont="1" applyFill="1" applyBorder="1" applyAlignment="1">
      <alignment horizontal="center" vertical="center"/>
    </xf>
    <xf numFmtId="0" fontId="7" fillId="0" borderId="102" xfId="0" applyFont="1" applyFill="1" applyBorder="1" applyAlignment="1">
      <alignment vertical="center" wrapText="1"/>
    </xf>
    <xf numFmtId="3" fontId="28" fillId="0" borderId="97" xfId="0" applyNumberFormat="1" applyFont="1" applyFill="1" applyBorder="1" applyAlignment="1">
      <alignment vertical="center"/>
    </xf>
    <xf numFmtId="3" fontId="28" fillId="0" borderId="97" xfId="0" applyNumberFormat="1" applyFont="1" applyFill="1" applyBorder="1" applyAlignment="1">
      <alignment vertical="top"/>
    </xf>
    <xf numFmtId="0" fontId="24" fillId="8" borderId="32" xfId="0" applyFont="1" applyFill="1" applyBorder="1" applyAlignment="1">
      <alignment vertical="center" wrapText="1"/>
    </xf>
    <xf numFmtId="0" fontId="24" fillId="8" borderId="109" xfId="0" applyFont="1" applyFill="1" applyBorder="1" applyAlignment="1">
      <alignment horizontal="center" vertical="center" wrapText="1"/>
    </xf>
    <xf numFmtId="3" fontId="7" fillId="8" borderId="106" xfId="0" applyNumberFormat="1" applyFont="1" applyFill="1" applyBorder="1" applyAlignment="1">
      <alignment vertical="top"/>
    </xf>
    <xf numFmtId="3" fontId="7" fillId="8" borderId="104" xfId="0" applyNumberFormat="1" applyFont="1" applyFill="1" applyBorder="1" applyAlignment="1">
      <alignment vertical="top"/>
    </xf>
    <xf numFmtId="0" fontId="7" fillId="8" borderId="104" xfId="0" applyFont="1" applyFill="1" applyBorder="1" applyAlignment="1">
      <alignment vertical="top"/>
    </xf>
    <xf numFmtId="0" fontId="7" fillId="8" borderId="99" xfId="0" applyFont="1" applyFill="1" applyBorder="1" applyAlignment="1">
      <alignment vertical="top"/>
    </xf>
    <xf numFmtId="3" fontId="24" fillId="22" borderId="98" xfId="0" applyNumberFormat="1" applyFont="1" applyFill="1" applyBorder="1" applyAlignment="1">
      <alignment horizontal="center" vertical="center"/>
    </xf>
    <xf numFmtId="0" fontId="69" fillId="6" borderId="100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98" xfId="0" applyNumberFormat="1" applyFont="1" applyFill="1" applyBorder="1" applyAlignment="1">
      <alignment vertical="center"/>
    </xf>
    <xf numFmtId="3" fontId="29" fillId="0" borderId="98" xfId="0" applyNumberFormat="1" applyFont="1" applyFill="1" applyBorder="1" applyAlignment="1">
      <alignment vertical="top"/>
    </xf>
    <xf numFmtId="3" fontId="24" fillId="22" borderId="98" xfId="0" applyNumberFormat="1" applyFont="1" applyFill="1" applyBorder="1" applyAlignment="1">
      <alignment horizontal="right" vertical="center"/>
    </xf>
    <xf numFmtId="3" fontId="7" fillId="0" borderId="98" xfId="0" applyNumberFormat="1" applyFont="1" applyFill="1" applyBorder="1" applyAlignment="1">
      <alignment vertical="center"/>
    </xf>
    <xf numFmtId="3" fontId="7" fillId="0" borderId="98" xfId="0" applyNumberFormat="1" applyFont="1" applyFill="1" applyBorder="1" applyAlignment="1">
      <alignment vertical="top"/>
    </xf>
    <xf numFmtId="3" fontId="38" fillId="0" borderId="98" xfId="0" applyNumberFormat="1" applyFont="1" applyFill="1" applyBorder="1" applyAlignment="1">
      <alignment vertical="center"/>
    </xf>
    <xf numFmtId="3" fontId="38" fillId="0" borderId="98" xfId="0" applyNumberFormat="1" applyFont="1" applyFill="1" applyBorder="1" applyAlignment="1">
      <alignment vertical="top"/>
    </xf>
    <xf numFmtId="0" fontId="17" fillId="0" borderId="84" xfId="0" applyFont="1" applyFill="1" applyBorder="1" applyAlignment="1">
      <alignment horizontal="center" vertical="center"/>
    </xf>
    <xf numFmtId="0" fontId="7" fillId="0" borderId="101" xfId="0" applyFont="1" applyFill="1" applyBorder="1" applyAlignment="1">
      <alignment horizontal="center" vertical="center" wrapText="1"/>
    </xf>
    <xf numFmtId="3" fontId="31" fillId="8" borderId="106" xfId="0" applyNumberFormat="1" applyFont="1" applyFill="1" applyBorder="1" applyAlignment="1">
      <alignment vertical="top"/>
    </xf>
    <xf numFmtId="3" fontId="31" fillId="8" borderId="104" xfId="0" applyNumberFormat="1" applyFont="1" applyFill="1" applyBorder="1" applyAlignment="1">
      <alignment vertical="top"/>
    </xf>
    <xf numFmtId="0" fontId="31" fillId="8" borderId="104" xfId="0" applyFont="1" applyFill="1" applyBorder="1" applyAlignment="1">
      <alignment vertical="top"/>
    </xf>
    <xf numFmtId="0" fontId="31" fillId="8" borderId="99" xfId="0" applyFont="1" applyFill="1" applyBorder="1" applyAlignment="1">
      <alignment vertical="top"/>
    </xf>
    <xf numFmtId="3" fontId="25" fillId="22" borderId="98" xfId="0" applyNumberFormat="1" applyFont="1" applyFill="1" applyBorder="1" applyAlignment="1">
      <alignment horizontal="center" vertical="center"/>
    </xf>
    <xf numFmtId="0" fontId="25" fillId="6" borderId="25" xfId="4" applyFont="1" applyFill="1" applyBorder="1" applyAlignment="1">
      <alignment horizontal="left" vertical="center"/>
    </xf>
    <xf numFmtId="0" fontId="62" fillId="6" borderId="100" xfId="4" applyFont="1" applyFill="1" applyBorder="1" applyAlignment="1">
      <alignment horizontal="left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5" fillId="22" borderId="98" xfId="0" applyNumberFormat="1" applyFont="1" applyFill="1" applyBorder="1" applyAlignment="1">
      <alignment horizontal="right" vertical="center"/>
    </xf>
    <xf numFmtId="0" fontId="8" fillId="0" borderId="21" xfId="0" applyFont="1" applyBorder="1" applyAlignment="1">
      <alignment vertical="center" wrapText="1"/>
    </xf>
    <xf numFmtId="3" fontId="28" fillId="0" borderId="98" xfId="0" applyNumberFormat="1" applyFont="1" applyFill="1" applyBorder="1" applyAlignment="1">
      <alignment vertical="top"/>
    </xf>
    <xf numFmtId="3" fontId="28" fillId="22" borderId="98" xfId="0" applyNumberFormat="1" applyFont="1" applyFill="1" applyBorder="1" applyAlignment="1">
      <alignment horizontal="right" vertical="center"/>
    </xf>
    <xf numFmtId="3" fontId="31" fillId="22" borderId="98" xfId="0" applyNumberFormat="1" applyFont="1" applyFill="1" applyBorder="1" applyAlignment="1">
      <alignment horizontal="right" vertical="center"/>
    </xf>
    <xf numFmtId="0" fontId="7" fillId="0" borderId="32" xfId="0" applyFont="1" applyBorder="1" applyAlignment="1">
      <alignment vertical="center" wrapText="1"/>
    </xf>
    <xf numFmtId="3" fontId="31" fillId="0" borderId="47" xfId="0" applyNumberFormat="1" applyFont="1" applyFill="1" applyBorder="1" applyAlignment="1">
      <alignment vertical="center"/>
    </xf>
    <xf numFmtId="3" fontId="31" fillId="0" borderId="70" xfId="0" applyNumberFormat="1" applyFont="1" applyFill="1" applyBorder="1" applyAlignment="1">
      <alignment vertical="top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2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0" fontId="4" fillId="0" borderId="66" xfId="0" applyFont="1" applyBorder="1" applyAlignment="1">
      <alignment horizontal="center" vertical="center"/>
    </xf>
    <xf numFmtId="3" fontId="24" fillId="6" borderId="179" xfId="0" applyNumberFormat="1" applyFont="1" applyFill="1" applyBorder="1" applyAlignment="1">
      <alignment vertical="top"/>
    </xf>
    <xf numFmtId="3" fontId="29" fillId="2" borderId="180" xfId="0" applyNumberFormat="1" applyFont="1" applyFill="1" applyBorder="1" applyAlignment="1">
      <alignment vertical="center"/>
    </xf>
    <xf numFmtId="3" fontId="24" fillId="2" borderId="179" xfId="0" applyNumberFormat="1" applyFont="1" applyFill="1" applyBorder="1" applyAlignment="1">
      <alignment vertical="center"/>
    </xf>
    <xf numFmtId="3" fontId="29" fillId="2" borderId="179" xfId="0" applyNumberFormat="1" applyFont="1" applyFill="1" applyBorder="1" applyAlignment="1">
      <alignment vertical="center"/>
    </xf>
    <xf numFmtId="3" fontId="29" fillId="32" borderId="179" xfId="0" applyNumberFormat="1" applyFont="1" applyFill="1" applyBorder="1" applyAlignment="1">
      <alignment vertical="center"/>
    </xf>
    <xf numFmtId="0" fontId="7" fillId="2" borderId="199" xfId="0" applyFont="1" applyFill="1" applyBorder="1" applyAlignment="1">
      <alignment vertical="center"/>
    </xf>
    <xf numFmtId="3" fontId="7" fillId="0" borderId="180" xfId="4" applyNumberFormat="1" applyFont="1" applyFill="1" applyBorder="1" applyAlignment="1">
      <alignment vertical="center"/>
    </xf>
    <xf numFmtId="3" fontId="7" fillId="2" borderId="179" xfId="0" applyNumberFormat="1" applyFont="1" applyFill="1" applyBorder="1" applyAlignment="1">
      <alignment vertical="top"/>
    </xf>
    <xf numFmtId="3" fontId="7" fillId="2" borderId="180" xfId="0" applyNumberFormat="1" applyFont="1" applyFill="1" applyBorder="1" applyAlignment="1">
      <alignment vertical="top"/>
    </xf>
    <xf numFmtId="3" fontId="7" fillId="32" borderId="180" xfId="0" applyNumberFormat="1" applyFont="1" applyFill="1" applyBorder="1" applyAlignment="1">
      <alignment vertical="top"/>
    </xf>
    <xf numFmtId="3" fontId="7" fillId="25" borderId="180" xfId="0" applyNumberFormat="1" applyFont="1" applyFill="1" applyBorder="1" applyAlignment="1">
      <alignment vertical="top"/>
    </xf>
    <xf numFmtId="0" fontId="38" fillId="61" borderId="21" xfId="0" applyFont="1" applyFill="1" applyBorder="1" applyAlignment="1">
      <alignment horizontal="right" vertical="top"/>
    </xf>
    <xf numFmtId="3" fontId="7" fillId="61" borderId="171" xfId="4" applyNumberFormat="1" applyFont="1" applyFill="1" applyBorder="1" applyAlignment="1">
      <alignment vertical="center"/>
    </xf>
    <xf numFmtId="3" fontId="38" fillId="61" borderId="179" xfId="0" applyNumberFormat="1" applyFont="1" applyFill="1" applyBorder="1" applyAlignment="1">
      <alignment vertical="top"/>
    </xf>
    <xf numFmtId="3" fontId="7" fillId="61" borderId="9" xfId="0" applyNumberFormat="1" applyFont="1" applyFill="1" applyBorder="1" applyAlignment="1">
      <alignment vertical="top"/>
    </xf>
    <xf numFmtId="3" fontId="38" fillId="61" borderId="9" xfId="0" applyNumberFormat="1" applyFont="1" applyFill="1" applyBorder="1" applyAlignment="1">
      <alignment vertical="top"/>
    </xf>
    <xf numFmtId="3" fontId="7" fillId="25" borderId="176" xfId="0" applyNumberFormat="1" applyFont="1" applyFill="1" applyBorder="1" applyAlignment="1">
      <alignment vertical="top"/>
    </xf>
    <xf numFmtId="0" fontId="38" fillId="78" borderId="25" xfId="0" applyFont="1" applyFill="1" applyBorder="1" applyAlignment="1">
      <alignment horizontal="right" vertical="top"/>
    </xf>
    <xf numFmtId="3" fontId="7" fillId="78" borderId="190" xfId="4" applyNumberFormat="1" applyFont="1" applyFill="1" applyBorder="1" applyAlignment="1">
      <alignment vertical="center"/>
    </xf>
    <xf numFmtId="3" fontId="38" fillId="78" borderId="197" xfId="0" applyNumberFormat="1" applyFont="1" applyFill="1" applyBorder="1" applyAlignment="1">
      <alignment vertical="top"/>
    </xf>
    <xf numFmtId="3" fontId="7" fillId="78" borderId="23" xfId="0" applyNumberFormat="1" applyFont="1" applyFill="1" applyBorder="1" applyAlignment="1">
      <alignment vertical="top"/>
    </xf>
    <xf numFmtId="3" fontId="38" fillId="78" borderId="23" xfId="0" applyNumberFormat="1" applyFont="1" applyFill="1" applyBorder="1" applyAlignment="1">
      <alignment vertical="top"/>
    </xf>
    <xf numFmtId="3" fontId="7" fillId="25" borderId="12" xfId="0" applyNumberFormat="1" applyFont="1" applyFill="1" applyBorder="1" applyAlignment="1">
      <alignment vertical="top"/>
    </xf>
    <xf numFmtId="3" fontId="7" fillId="25" borderId="190" xfId="0" applyNumberFormat="1" applyFont="1" applyFill="1" applyBorder="1" applyAlignment="1">
      <alignment vertical="top"/>
    </xf>
    <xf numFmtId="0" fontId="4" fillId="0" borderId="74" xfId="0" applyFont="1" applyBorder="1"/>
    <xf numFmtId="43" fontId="4" fillId="0" borderId="190" xfId="1" applyFont="1" applyBorder="1"/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top"/>
    </xf>
    <xf numFmtId="0" fontId="4" fillId="0" borderId="98" xfId="0" applyFont="1" applyBorder="1"/>
    <xf numFmtId="0" fontId="4" fillId="0" borderId="99" xfId="0" applyFont="1" applyBorder="1"/>
    <xf numFmtId="0" fontId="4" fillId="0" borderId="123" xfId="0" applyFont="1" applyBorder="1"/>
    <xf numFmtId="3" fontId="4" fillId="0" borderId="123" xfId="0" applyNumberFormat="1" applyFont="1" applyBorder="1"/>
    <xf numFmtId="3" fontId="4" fillId="0" borderId="98" xfId="0" applyNumberFormat="1" applyFont="1" applyBorder="1"/>
    <xf numFmtId="3" fontId="4" fillId="0" borderId="179" xfId="0" applyNumberFormat="1" applyFont="1" applyBorder="1"/>
    <xf numFmtId="3" fontId="4" fillId="56" borderId="123" xfId="0" applyNumberFormat="1" applyFont="1" applyFill="1" applyBorder="1"/>
    <xf numFmtId="0" fontId="4" fillId="0" borderId="123" xfId="0" applyFont="1" applyBorder="1" applyAlignment="1">
      <alignment vertical="center"/>
    </xf>
    <xf numFmtId="0" fontId="4" fillId="0" borderId="98" xfId="0" applyFont="1" applyBorder="1" applyAlignment="1">
      <alignment vertical="center"/>
    </xf>
    <xf numFmtId="0" fontId="4" fillId="0" borderId="112" xfId="0" applyFont="1" applyBorder="1" applyAlignment="1">
      <alignment vertical="center"/>
    </xf>
    <xf numFmtId="3" fontId="4" fillId="0" borderId="123" xfId="0" applyNumberFormat="1" applyFont="1" applyBorder="1" applyAlignment="1">
      <alignment vertical="center"/>
    </xf>
    <xf numFmtId="3" fontId="4" fillId="0" borderId="98" xfId="0" applyNumberFormat="1" applyFont="1" applyBorder="1" applyAlignment="1">
      <alignment vertical="center"/>
    </xf>
    <xf numFmtId="0" fontId="4" fillId="0" borderId="115" xfId="0" applyFont="1" applyBorder="1" applyAlignment="1">
      <alignment vertical="center"/>
    </xf>
    <xf numFmtId="0" fontId="4" fillId="0" borderId="113" xfId="0" applyFont="1" applyBorder="1"/>
    <xf numFmtId="4" fontId="4" fillId="0" borderId="123" xfId="0" applyNumberFormat="1" applyFont="1" applyBorder="1"/>
    <xf numFmtId="0" fontId="4" fillId="0" borderId="98" xfId="0" applyFont="1" applyFill="1" applyBorder="1"/>
    <xf numFmtId="0" fontId="4" fillId="0" borderId="179" xfId="0" applyFont="1" applyBorder="1"/>
    <xf numFmtId="0" fontId="4" fillId="0" borderId="174" xfId="0" applyFont="1" applyBorder="1"/>
    <xf numFmtId="0" fontId="4" fillId="32" borderId="180" xfId="0" applyFont="1" applyFill="1" applyBorder="1"/>
    <xf numFmtId="3" fontId="4" fillId="32" borderId="180" xfId="0" applyNumberFormat="1" applyFont="1" applyFill="1" applyBorder="1"/>
    <xf numFmtId="3" fontId="4" fillId="0" borderId="165" xfId="0" applyNumberFormat="1" applyFont="1" applyBorder="1"/>
    <xf numFmtId="0" fontId="4" fillId="0" borderId="165" xfId="0" applyFont="1" applyBorder="1"/>
    <xf numFmtId="0" fontId="4" fillId="0" borderId="197" xfId="0" applyFont="1" applyBorder="1"/>
    <xf numFmtId="0" fontId="4" fillId="0" borderId="50" xfId="0" applyFont="1" applyBorder="1"/>
    <xf numFmtId="0" fontId="4" fillId="0" borderId="39" xfId="0" applyFont="1" applyBorder="1"/>
    <xf numFmtId="0" fontId="4" fillId="0" borderId="68" xfId="0" applyFont="1" applyBorder="1"/>
    <xf numFmtId="0" fontId="4" fillId="0" borderId="17" xfId="0" applyFont="1" applyBorder="1"/>
    <xf numFmtId="0" fontId="4" fillId="0" borderId="64" xfId="0" applyFont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25" fillId="8" borderId="19" xfId="4" applyFont="1" applyFill="1" applyBorder="1" applyAlignment="1">
      <alignment vertical="center" wrapText="1"/>
    </xf>
    <xf numFmtId="3" fontId="4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29" fillId="2" borderId="160" xfId="4" applyNumberFormat="1" applyFont="1" applyFill="1" applyBorder="1" applyAlignment="1">
      <alignment vertical="center" wrapText="1"/>
    </xf>
    <xf numFmtId="3" fontId="24" fillId="23" borderId="75" xfId="4" applyNumberFormat="1" applyFont="1" applyFill="1" applyBorder="1" applyAlignment="1">
      <alignment horizontal="right" vertical="center"/>
    </xf>
    <xf numFmtId="0" fontId="24" fillId="6" borderId="20" xfId="4" applyFont="1" applyFill="1" applyBorder="1" applyAlignment="1">
      <alignment horizontal="left" vertical="center"/>
    </xf>
    <xf numFmtId="3" fontId="24" fillId="22" borderId="174" xfId="4" applyNumberFormat="1" applyFont="1" applyFill="1" applyBorder="1" applyAlignment="1">
      <alignment horizontal="right" vertical="center"/>
    </xf>
    <xf numFmtId="3" fontId="7" fillId="25" borderId="155" xfId="4" applyNumberFormat="1" applyFont="1" applyFill="1" applyBorder="1" applyAlignment="1">
      <alignment horizontal="right" vertical="center"/>
    </xf>
    <xf numFmtId="0" fontId="29" fillId="2" borderId="199" xfId="4" applyFont="1" applyFill="1" applyBorder="1" applyAlignment="1">
      <alignment vertical="center"/>
    </xf>
    <xf numFmtId="0" fontId="24" fillId="6" borderId="114" xfId="4" applyFont="1" applyFill="1" applyBorder="1" applyAlignment="1">
      <alignment horizontal="left" vertical="center"/>
    </xf>
    <xf numFmtId="0" fontId="31" fillId="0" borderId="160" xfId="4" applyFont="1" applyFill="1" applyBorder="1" applyAlignment="1">
      <alignment vertical="center"/>
    </xf>
    <xf numFmtId="0" fontId="31" fillId="2" borderId="21" xfId="4" applyFont="1" applyFill="1" applyBorder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4" fillId="0" borderId="52" xfId="0" applyFont="1" applyBorder="1" applyAlignment="1">
      <alignment horizontal="center" vertical="center"/>
    </xf>
    <xf numFmtId="3" fontId="31" fillId="25" borderId="156" xfId="4" applyNumberFormat="1" applyFont="1" applyFill="1" applyBorder="1" applyAlignment="1">
      <alignment horizontal="right" vertical="center"/>
    </xf>
    <xf numFmtId="3" fontId="18" fillId="0" borderId="43" xfId="4" applyNumberFormat="1" applyFont="1" applyFill="1" applyBorder="1" applyAlignment="1">
      <alignment vertical="center" wrapText="1"/>
    </xf>
    <xf numFmtId="3" fontId="18" fillId="0" borderId="41" xfId="4" applyNumberFormat="1" applyFont="1" applyFill="1" applyBorder="1" applyAlignment="1">
      <alignment vertical="center" wrapText="1"/>
    </xf>
    <xf numFmtId="3" fontId="7" fillId="0" borderId="171" xfId="4" applyNumberFormat="1" applyFont="1" applyFill="1" applyBorder="1" applyAlignment="1">
      <alignment vertical="center"/>
    </xf>
    <xf numFmtId="0" fontId="7" fillId="32" borderId="21" xfId="4" applyFont="1" applyFill="1" applyBorder="1" applyAlignment="1">
      <alignment horizontal="left" vertical="center"/>
    </xf>
    <xf numFmtId="3" fontId="29" fillId="2" borderId="187" xfId="4" applyNumberFormat="1" applyFont="1" applyFill="1" applyBorder="1" applyAlignment="1">
      <alignment vertical="center" wrapText="1"/>
    </xf>
    <xf numFmtId="3" fontId="29" fillId="0" borderId="180" xfId="4" applyNumberFormat="1" applyFont="1" applyFill="1" applyBorder="1" applyAlignment="1">
      <alignment vertical="center"/>
    </xf>
    <xf numFmtId="3" fontId="7" fillId="0" borderId="10" xfId="4" applyNumberFormat="1" applyFont="1" applyFill="1" applyBorder="1" applyAlignment="1">
      <alignment vertical="center"/>
    </xf>
    <xf numFmtId="3" fontId="63" fillId="8" borderId="76" xfId="6" applyNumberFormat="1" applyFont="1" applyFill="1" applyBorder="1" applyAlignment="1">
      <alignment vertical="center"/>
    </xf>
    <xf numFmtId="3" fontId="24" fillId="6" borderId="179" xfId="0" applyNumberFormat="1" applyFont="1" applyFill="1" applyBorder="1" applyAlignment="1">
      <alignment horizontal="right" vertical="center"/>
    </xf>
    <xf numFmtId="43" fontId="24" fillId="8" borderId="17" xfId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3" fontId="23" fillId="6" borderId="180" xfId="6" applyNumberFormat="1" applyFont="1" applyFill="1" applyBorder="1" applyAlignment="1">
      <alignment horizontal="right" vertical="center"/>
    </xf>
    <xf numFmtId="43" fontId="23" fillId="6" borderId="180" xfId="1" applyFont="1" applyFill="1" applyBorder="1" applyAlignment="1">
      <alignment horizontal="right" vertical="center"/>
    </xf>
    <xf numFmtId="3" fontId="31" fillId="2" borderId="129" xfId="4" applyNumberFormat="1" applyFont="1" applyFill="1" applyBorder="1" applyAlignment="1">
      <alignment vertical="center" wrapText="1"/>
    </xf>
    <xf numFmtId="43" fontId="33" fillId="0" borderId="156" xfId="1" applyFont="1" applyFill="1" applyBorder="1" applyAlignment="1">
      <alignment horizontal="right" vertical="center"/>
    </xf>
    <xf numFmtId="3" fontId="31" fillId="0" borderId="116" xfId="4" applyNumberFormat="1" applyFont="1" applyFill="1" applyBorder="1" applyAlignment="1">
      <alignment horizontal="right" vertical="center"/>
    </xf>
    <xf numFmtId="43" fontId="31" fillId="0" borderId="191" xfId="1" applyFont="1" applyFill="1" applyBorder="1" applyAlignment="1">
      <alignment horizontal="right" vertical="center"/>
    </xf>
    <xf numFmtId="3" fontId="24" fillId="6" borderId="174" xfId="4" applyNumberFormat="1" applyFont="1" applyFill="1" applyBorder="1" applyAlignment="1">
      <alignment vertical="center"/>
    </xf>
    <xf numFmtId="3" fontId="31" fillId="0" borderId="131" xfId="4" applyNumberFormat="1" applyFont="1" applyFill="1" applyBorder="1" applyAlignment="1">
      <alignment horizontal="right" vertical="center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80" xfId="4" applyNumberFormat="1" applyFont="1" applyFill="1" applyBorder="1" applyAlignment="1">
      <alignment vertical="center" wrapText="1"/>
    </xf>
    <xf numFmtId="3" fontId="20" fillId="2" borderId="35" xfId="4" applyNumberFormat="1" applyFont="1" applyFill="1" applyBorder="1" applyAlignment="1">
      <alignment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vertical="center"/>
    </xf>
    <xf numFmtId="0" fontId="22" fillId="0" borderId="43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3" fontId="38" fillId="2" borderId="123" xfId="0" applyNumberFormat="1" applyFont="1" applyFill="1" applyBorder="1" applyAlignment="1">
      <alignment vertical="center"/>
    </xf>
    <xf numFmtId="0" fontId="21" fillId="2" borderId="200" xfId="0" applyFont="1" applyFill="1" applyBorder="1" applyAlignment="1">
      <alignment horizontal="center" vertical="top"/>
    </xf>
    <xf numFmtId="0" fontId="21" fillId="2" borderId="180" xfId="0" applyFont="1" applyFill="1" applyBorder="1" applyAlignment="1">
      <alignment horizontal="center" vertical="top"/>
    </xf>
    <xf numFmtId="0" fontId="21" fillId="2" borderId="180" xfId="0" quotePrefix="1" applyFont="1" applyFill="1" applyBorder="1" applyAlignment="1">
      <alignment horizontal="center" vertical="top"/>
    </xf>
    <xf numFmtId="3" fontId="29" fillId="8" borderId="183" xfId="4" applyNumberFormat="1" applyFont="1" applyFill="1" applyBorder="1" applyAlignment="1">
      <alignment vertical="center" wrapText="1"/>
    </xf>
    <xf numFmtId="3" fontId="27" fillId="8" borderId="200" xfId="0" applyNumberFormat="1" applyFont="1" applyFill="1" applyBorder="1" applyAlignment="1">
      <alignment vertical="center"/>
    </xf>
    <xf numFmtId="3" fontId="7" fillId="8" borderId="200" xfId="0" applyNumberFormat="1" applyFont="1" applyFill="1" applyBorder="1" applyAlignment="1">
      <alignment vertical="center"/>
    </xf>
    <xf numFmtId="3" fontId="32" fillId="8" borderId="200" xfId="6" applyNumberFormat="1" applyFont="1" applyFill="1" applyBorder="1" applyAlignment="1">
      <alignment vertical="center"/>
    </xf>
    <xf numFmtId="3" fontId="7" fillId="23" borderId="180" xfId="4" applyNumberFormat="1" applyFont="1" applyFill="1" applyBorder="1" applyAlignment="1">
      <alignment vertical="center"/>
    </xf>
    <xf numFmtId="3" fontId="33" fillId="8" borderId="179" xfId="6" applyNumberFormat="1" applyFont="1" applyFill="1" applyBorder="1" applyAlignment="1">
      <alignment vertical="center"/>
    </xf>
    <xf numFmtId="3" fontId="7" fillId="8" borderId="118" xfId="4" applyNumberFormat="1" applyFont="1" applyFill="1" applyBorder="1" applyAlignment="1">
      <alignment vertical="center" wrapText="1"/>
    </xf>
    <xf numFmtId="43" fontId="31" fillId="57" borderId="171" xfId="1" applyFont="1" applyFill="1" applyBorder="1" applyAlignment="1"/>
    <xf numFmtId="3" fontId="31" fillId="57" borderId="171" xfId="4" applyNumberFormat="1" applyFont="1" applyFill="1" applyBorder="1" applyAlignment="1">
      <alignment horizontal="right" vertical="center"/>
    </xf>
    <xf numFmtId="3" fontId="31" fillId="62" borderId="171" xfId="4" applyNumberFormat="1" applyFont="1" applyFill="1" applyBorder="1" applyAlignment="1">
      <alignment vertical="center"/>
    </xf>
    <xf numFmtId="43" fontId="31" fillId="62" borderId="171" xfId="1" applyFont="1" applyFill="1" applyBorder="1" applyAlignment="1"/>
    <xf numFmtId="3" fontId="28" fillId="62" borderId="171" xfId="4" applyNumberFormat="1" applyFont="1" applyFill="1" applyBorder="1" applyAlignment="1">
      <alignment horizontal="right" vertical="center"/>
    </xf>
    <xf numFmtId="3" fontId="7" fillId="62" borderId="171" xfId="4" applyNumberFormat="1" applyFont="1" applyFill="1" applyBorder="1" applyAlignment="1">
      <alignment horizontal="right" vertical="center"/>
    </xf>
    <xf numFmtId="41" fontId="31" fillId="57" borderId="171" xfId="1" applyNumberFormat="1" applyFont="1" applyFill="1" applyBorder="1" applyAlignment="1"/>
    <xf numFmtId="3" fontId="7" fillId="57" borderId="171" xfId="4" applyNumberFormat="1" applyFont="1" applyFill="1" applyBorder="1" applyAlignment="1">
      <alignment horizontal="right" vertical="center"/>
    </xf>
    <xf numFmtId="43" fontId="33" fillId="57" borderId="180" xfId="6" applyNumberFormat="1" applyFont="1" applyFill="1" applyBorder="1" applyAlignment="1">
      <alignment vertical="center"/>
    </xf>
    <xf numFmtId="0" fontId="28" fillId="62" borderId="183" xfId="4" applyFont="1" applyFill="1" applyBorder="1" applyAlignment="1">
      <alignment horizontal="right" vertical="center"/>
    </xf>
    <xf numFmtId="41" fontId="31" fillId="62" borderId="171" xfId="1" applyNumberFormat="1" applyFont="1" applyFill="1" applyBorder="1" applyAlignment="1"/>
    <xf numFmtId="43" fontId="7" fillId="62" borderId="171" xfId="4" applyNumberFormat="1" applyFont="1" applyFill="1" applyBorder="1" applyAlignment="1">
      <alignment horizontal="right" vertical="center"/>
    </xf>
    <xf numFmtId="43" fontId="33" fillId="62" borderId="180" xfId="6" applyNumberFormat="1" applyFont="1" applyFill="1" applyBorder="1" applyAlignment="1">
      <alignment vertical="center"/>
    </xf>
    <xf numFmtId="0" fontId="4" fillId="0" borderId="199" xfId="0" applyFont="1" applyBorder="1" applyAlignment="1">
      <alignment vertical="center"/>
    </xf>
    <xf numFmtId="3" fontId="28" fillId="57" borderId="199" xfId="4" applyNumberFormat="1" applyFont="1" applyFill="1" applyBorder="1" applyAlignment="1">
      <alignment horizontal="right" vertical="center" wrapText="1"/>
    </xf>
    <xf numFmtId="41" fontId="31" fillId="57" borderId="171" xfId="1" applyNumberFormat="1" applyFont="1" applyFill="1" applyBorder="1" applyAlignment="1">
      <alignment horizontal="right" vertical="center"/>
    </xf>
    <xf numFmtId="43" fontId="32" fillId="57" borderId="180" xfId="6" applyNumberFormat="1" applyFont="1" applyFill="1" applyBorder="1" applyAlignment="1">
      <alignment vertical="center"/>
    </xf>
    <xf numFmtId="0" fontId="39" fillId="62" borderId="199" xfId="0" applyFont="1" applyFill="1" applyBorder="1" applyAlignment="1">
      <alignment horizontal="right" vertical="center"/>
    </xf>
    <xf numFmtId="41" fontId="31" fillId="62" borderId="179" xfId="1" applyNumberFormat="1" applyFont="1" applyFill="1" applyBorder="1" applyAlignment="1"/>
    <xf numFmtId="43" fontId="7" fillId="62" borderId="180" xfId="4" applyNumberFormat="1" applyFont="1" applyFill="1" applyBorder="1" applyAlignment="1">
      <alignment horizontal="right" vertical="center"/>
    </xf>
    <xf numFmtId="43" fontId="32" fillId="62" borderId="180" xfId="6" applyNumberFormat="1" applyFont="1" applyFill="1" applyBorder="1" applyAlignment="1">
      <alignment vertical="center"/>
    </xf>
    <xf numFmtId="3" fontId="31" fillId="0" borderId="197" xfId="1" applyNumberFormat="1" applyFont="1" applyFill="1" applyBorder="1" applyAlignment="1">
      <alignment horizontal="right"/>
    </xf>
    <xf numFmtId="3" fontId="28" fillId="2" borderId="199" xfId="4" applyNumberFormat="1" applyFont="1" applyFill="1" applyBorder="1" applyAlignment="1">
      <alignment horizontal="right" vertical="center" wrapText="1"/>
    </xf>
    <xf numFmtId="0" fontId="39" fillId="0" borderId="199" xfId="0" applyFont="1" applyBorder="1" applyAlignment="1">
      <alignment horizontal="right" vertical="center"/>
    </xf>
    <xf numFmtId="41" fontId="27" fillId="0" borderId="171" xfId="4" applyNumberFormat="1" applyFont="1" applyFill="1" applyBorder="1" applyAlignment="1">
      <alignment horizontal="right" vertical="center"/>
    </xf>
    <xf numFmtId="41" fontId="7" fillId="0" borderId="171" xfId="4" applyNumberFormat="1" applyFont="1" applyFill="1" applyBorder="1" applyAlignment="1">
      <alignment horizontal="right" vertical="center"/>
    </xf>
    <xf numFmtId="3" fontId="32" fillId="8" borderId="180" xfId="6" applyNumberFormat="1" applyFont="1" applyFill="1" applyBorder="1" applyAlignment="1">
      <alignment vertical="center"/>
    </xf>
    <xf numFmtId="3" fontId="7" fillId="0" borderId="197" xfId="4" applyNumberFormat="1" applyFont="1" applyFill="1" applyBorder="1" applyAlignment="1">
      <alignment horizontal="right" vertical="center"/>
    </xf>
    <xf numFmtId="3" fontId="25" fillId="6" borderId="200" xfId="4" applyNumberFormat="1" applyFont="1" applyFill="1" applyBorder="1" applyAlignment="1">
      <alignment vertical="center"/>
    </xf>
    <xf numFmtId="3" fontId="24" fillId="22" borderId="76" xfId="4" applyNumberFormat="1" applyFont="1" applyFill="1" applyBorder="1" applyAlignment="1">
      <alignment horizontal="right" vertical="center"/>
    </xf>
    <xf numFmtId="0" fontId="115" fillId="2" borderId="0" xfId="0" applyFont="1" applyFill="1" applyAlignment="1">
      <alignment vertical="center"/>
    </xf>
    <xf numFmtId="0" fontId="89" fillId="2" borderId="0" xfId="0" applyFont="1" applyFill="1" applyAlignment="1">
      <alignment vertical="center"/>
    </xf>
    <xf numFmtId="3" fontId="25" fillId="2" borderId="13" xfId="4" applyNumberFormat="1" applyFont="1" applyFill="1" applyBorder="1" applyAlignment="1">
      <alignment horizontal="center" vertical="center" wrapText="1"/>
    </xf>
    <xf numFmtId="3" fontId="20" fillId="2" borderId="176" xfId="4" applyNumberFormat="1" applyFont="1" applyFill="1" applyBorder="1" applyAlignment="1">
      <alignment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0" fontId="17" fillId="6" borderId="20" xfId="4" applyFont="1" applyFill="1" applyBorder="1" applyAlignment="1">
      <alignment horizontal="center" vertical="center" wrapText="1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0" fontId="76" fillId="2" borderId="0" xfId="0" applyFont="1" applyFill="1" applyBorder="1" applyAlignment="1">
      <alignment horizontal="center" wrapText="1"/>
    </xf>
    <xf numFmtId="0" fontId="40" fillId="2" borderId="2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40" fillId="2" borderId="24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25" fillId="0" borderId="15" xfId="4" applyFont="1" applyBorder="1" applyAlignment="1">
      <alignment horizontal="center" vertical="center" wrapText="1"/>
    </xf>
    <xf numFmtId="0" fontId="25" fillId="0" borderId="13" xfId="4" applyFont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26" xfId="0" applyFont="1" applyFill="1" applyBorder="1" applyAlignment="1">
      <alignment horizontal="center" vertical="center" wrapText="1"/>
    </xf>
    <xf numFmtId="3" fontId="62" fillId="10" borderId="192" xfId="0" applyNumberFormat="1" applyFont="1" applyFill="1" applyBorder="1" applyAlignment="1">
      <alignment horizontal="center" vertical="center" wrapText="1"/>
    </xf>
    <xf numFmtId="0" fontId="4" fillId="10" borderId="26" xfId="0" applyFont="1" applyFill="1" applyBorder="1" applyAlignment="1">
      <alignment horizontal="center" vertical="center" wrapText="1"/>
    </xf>
    <xf numFmtId="0" fontId="4" fillId="10" borderId="66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2" fillId="10" borderId="185" xfId="0" applyNumberFormat="1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 wrapText="1"/>
    </xf>
    <xf numFmtId="0" fontId="4" fillId="10" borderId="25" xfId="0" applyFont="1" applyFill="1" applyBorder="1" applyAlignment="1">
      <alignment horizontal="center" vertical="center" wrapText="1"/>
    </xf>
    <xf numFmtId="0" fontId="8" fillId="0" borderId="105" xfId="0" applyFont="1" applyBorder="1" applyAlignment="1">
      <alignment horizontal="center"/>
    </xf>
    <xf numFmtId="0" fontId="8" fillId="0" borderId="103" xfId="0" applyFont="1" applyBorder="1" applyAlignment="1">
      <alignment horizontal="center"/>
    </xf>
    <xf numFmtId="0" fontId="22" fillId="0" borderId="186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4" fillId="2" borderId="178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4" fillId="2" borderId="22" xfId="4" applyNumberFormat="1" applyFont="1" applyFill="1" applyBorder="1" applyAlignment="1">
      <alignment horizontal="center" vertical="center" wrapText="1"/>
    </xf>
    <xf numFmtId="0" fontId="116" fillId="0" borderId="5" xfId="4" applyFont="1" applyFill="1" applyBorder="1" applyAlignment="1">
      <alignment horizontal="center" vertical="center"/>
    </xf>
    <xf numFmtId="0" fontId="116" fillId="0" borderId="11" xfId="4" applyFont="1" applyFill="1" applyBorder="1" applyAlignment="1">
      <alignment horizontal="center" vertical="center"/>
    </xf>
    <xf numFmtId="0" fontId="116" fillId="0" borderId="25" xfId="4" applyFont="1" applyFill="1" applyBorder="1" applyAlignment="1">
      <alignment horizontal="center" vertical="center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3" fontId="25" fillId="26" borderId="176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3" fontId="18" fillId="0" borderId="79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3" fillId="0" borderId="7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23" fillId="0" borderId="125" xfId="0" applyFont="1" applyBorder="1" applyAlignment="1">
      <alignment horizontal="center" vertical="center"/>
    </xf>
    <xf numFmtId="43" fontId="24" fillId="22" borderId="60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2" xfId="1" applyFont="1" applyFill="1" applyBorder="1" applyAlignment="1">
      <alignment horizontal="center" vertical="center"/>
    </xf>
    <xf numFmtId="43" fontId="24" fillId="22" borderId="164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3" fontId="25" fillId="2" borderId="125" xfId="4" applyNumberFormat="1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3" fontId="25" fillId="2" borderId="71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3" fontId="25" fillId="2" borderId="178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3" fontId="25" fillId="25" borderId="176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3" fontId="24" fillId="26" borderId="61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3" fontId="24" fillId="26" borderId="176" xfId="4" applyNumberFormat="1" applyFont="1" applyFill="1" applyBorder="1" applyAlignment="1">
      <alignment horizontal="center" vertical="center"/>
    </xf>
    <xf numFmtId="3" fontId="24" fillId="26" borderId="190" xfId="4" applyNumberFormat="1" applyFont="1" applyFill="1" applyBorder="1" applyAlignment="1">
      <alignment horizontal="center" vertical="center"/>
    </xf>
    <xf numFmtId="3" fontId="24" fillId="26" borderId="39" xfId="4" applyNumberFormat="1" applyFont="1" applyFill="1" applyBorder="1" applyAlignment="1">
      <alignment horizontal="center" vertical="center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3" fontId="31" fillId="25" borderId="176" xfId="4" applyNumberFormat="1" applyFont="1" applyFill="1" applyBorder="1" applyAlignment="1">
      <alignment horizontal="center" vertical="center"/>
    </xf>
    <xf numFmtId="3" fontId="31" fillId="25" borderId="13" xfId="4" applyNumberFormat="1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7" fillId="8" borderId="40" xfId="4" applyFont="1" applyFill="1" applyBorder="1" applyAlignment="1">
      <alignment horizontal="center" vertical="center"/>
    </xf>
    <xf numFmtId="0" fontId="23" fillId="0" borderId="159" xfId="0" applyFont="1" applyBorder="1" applyAlignment="1">
      <alignment horizontal="center" vertical="center"/>
    </xf>
    <xf numFmtId="0" fontId="18" fillId="0" borderId="40" xfId="4" applyFont="1" applyFill="1" applyBorder="1" applyAlignment="1">
      <alignment horizontal="center" vertical="center" wrapText="1"/>
    </xf>
    <xf numFmtId="0" fontId="18" fillId="0" borderId="44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3" fontId="24" fillId="2" borderId="125" xfId="4" applyNumberFormat="1" applyFont="1" applyFill="1" applyBorder="1" applyAlignment="1">
      <alignment horizontal="center" vertical="center" wrapText="1"/>
    </xf>
    <xf numFmtId="3" fontId="25" fillId="26" borderId="164" xfId="4" applyNumberFormat="1" applyFont="1" applyFill="1" applyBorder="1" applyAlignment="1">
      <alignment horizontal="center" vertical="center"/>
    </xf>
    <xf numFmtId="0" fontId="22" fillId="0" borderId="124" xfId="0" applyFont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0" fontId="17" fillId="0" borderId="52" xfId="4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23" fillId="0" borderId="178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4" fillId="27" borderId="64" xfId="4" applyFont="1" applyFill="1" applyBorder="1" applyAlignment="1">
      <alignment horizontal="center" vertical="center" wrapText="1"/>
    </xf>
    <xf numFmtId="0" fontId="24" fillId="27" borderId="65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3" fontId="24" fillId="26" borderId="164" xfId="4" applyNumberFormat="1" applyFont="1" applyFill="1" applyBorder="1" applyAlignment="1">
      <alignment horizontal="center" vertical="center"/>
    </xf>
    <xf numFmtId="0" fontId="22" fillId="0" borderId="42" xfId="0" applyFont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left" vertical="center" wrapText="1"/>
    </xf>
    <xf numFmtId="3" fontId="32" fillId="0" borderId="26" xfId="0" applyNumberFormat="1" applyFont="1" applyBorder="1" applyAlignment="1">
      <alignment horizontal="left" vertical="center" wrapText="1"/>
    </xf>
    <xf numFmtId="0" fontId="32" fillId="0" borderId="124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5" fillId="2" borderId="125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 wrapText="1"/>
    </xf>
    <xf numFmtId="3" fontId="25" fillId="26" borderId="171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0" fontId="32" fillId="0" borderId="186" xfId="0" applyFont="1" applyBorder="1" applyAlignment="1">
      <alignment horizontal="center"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0" fontId="18" fillId="0" borderId="79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31" fillId="26" borderId="164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2" fillId="25" borderId="189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35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3" fontId="25" fillId="26" borderId="189" xfId="4" applyNumberFormat="1" applyFont="1" applyFill="1" applyBorder="1" applyAlignment="1">
      <alignment horizontal="center" vertical="center"/>
    </xf>
    <xf numFmtId="3" fontId="25" fillId="26" borderId="10" xfId="4" applyNumberFormat="1" applyFont="1" applyFill="1" applyBorder="1" applyAlignment="1">
      <alignment horizontal="center" vertical="center"/>
    </xf>
    <xf numFmtId="3" fontId="25" fillId="26" borderId="72" xfId="4" applyNumberFormat="1" applyFont="1" applyFill="1" applyBorder="1" applyAlignment="1">
      <alignment horizontal="center" vertical="center"/>
    </xf>
    <xf numFmtId="0" fontId="25" fillId="2" borderId="178" xfId="4" applyFont="1" applyFill="1" applyBorder="1" applyAlignment="1">
      <alignment horizontal="center" vertical="center" wrapText="1"/>
    </xf>
    <xf numFmtId="0" fontId="18" fillId="0" borderId="5" xfId="4" applyFont="1" applyFill="1" applyBorder="1" applyAlignment="1">
      <alignment horizontal="center" vertical="center" wrapText="1"/>
    </xf>
    <xf numFmtId="0" fontId="18" fillId="0" borderId="176" xfId="4" applyFont="1" applyFill="1" applyBorder="1" applyAlignment="1">
      <alignment horizontal="center" vertical="center" wrapText="1"/>
    </xf>
    <xf numFmtId="0" fontId="18" fillId="0" borderId="13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22" fillId="0" borderId="176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7" fillId="0" borderId="0" xfId="4" applyFont="1" applyFill="1" applyBorder="1" applyAlignment="1">
      <alignment horizontal="center" vertical="center"/>
    </xf>
    <xf numFmtId="0" fontId="18" fillId="0" borderId="0" xfId="4" applyFont="1" applyFill="1" applyBorder="1" applyAlignment="1">
      <alignment horizontal="center" vertical="center" wrapText="1"/>
    </xf>
    <xf numFmtId="0" fontId="18" fillId="0" borderId="25" xfId="4" applyFont="1" applyFill="1" applyBorder="1" applyAlignment="1">
      <alignment horizontal="center" vertical="center" wrapText="1"/>
    </xf>
    <xf numFmtId="0" fontId="18" fillId="0" borderId="52" xfId="4" applyFont="1" applyFill="1" applyBorder="1" applyAlignment="1">
      <alignment horizontal="center" vertical="center" wrapText="1"/>
    </xf>
    <xf numFmtId="3" fontId="25" fillId="2" borderId="0" xfId="4" applyNumberFormat="1" applyFont="1" applyFill="1" applyBorder="1" applyAlignment="1">
      <alignment horizontal="center" vertical="center" wrapText="1"/>
    </xf>
    <xf numFmtId="0" fontId="22" fillId="0" borderId="5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8" fillId="0" borderId="68" xfId="4" applyFont="1" applyFill="1" applyBorder="1" applyAlignment="1">
      <alignment horizontal="center" vertical="center" wrapText="1"/>
    </xf>
    <xf numFmtId="0" fontId="18" fillId="0" borderId="190" xfId="4" applyFont="1" applyFill="1" applyBorder="1" applyAlignment="1">
      <alignment horizontal="center" vertical="center" wrapText="1"/>
    </xf>
    <xf numFmtId="0" fontId="18" fillId="0" borderId="39" xfId="4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68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3" fontId="25" fillId="2" borderId="38" xfId="4" applyNumberFormat="1" applyFont="1" applyFill="1" applyBorder="1" applyAlignment="1">
      <alignment horizontal="center" vertical="center" wrapText="1"/>
    </xf>
    <xf numFmtId="3" fontId="32" fillId="25" borderId="0" xfId="6" applyNumberFormat="1" applyFont="1" applyFill="1" applyBorder="1" applyAlignment="1">
      <alignment horizontal="center" vertical="center"/>
    </xf>
    <xf numFmtId="3" fontId="32" fillId="25" borderId="7" xfId="6" applyNumberFormat="1" applyFont="1" applyFill="1" applyBorder="1" applyAlignment="1">
      <alignment horizontal="center" vertical="center"/>
    </xf>
    <xf numFmtId="3" fontId="32" fillId="25" borderId="72" xfId="6" applyNumberFormat="1" applyFont="1" applyFill="1" applyBorder="1" applyAlignment="1">
      <alignment horizontal="center" vertical="center"/>
    </xf>
    <xf numFmtId="3" fontId="32" fillId="25" borderId="10" xfId="6" applyNumberFormat="1" applyFont="1" applyFill="1" applyBorder="1" applyAlignment="1">
      <alignment horizontal="center" vertical="center"/>
    </xf>
    <xf numFmtId="3" fontId="31" fillId="26" borderId="189" xfId="4" applyNumberFormat="1" applyFont="1" applyFill="1" applyBorder="1" applyAlignment="1">
      <alignment horizontal="center" vertical="center"/>
    </xf>
    <xf numFmtId="3" fontId="31" fillId="26" borderId="10" xfId="4" applyNumberFormat="1" applyFont="1" applyFill="1" applyBorder="1" applyAlignment="1">
      <alignment horizontal="center" vertical="center"/>
    </xf>
    <xf numFmtId="3" fontId="31" fillId="26" borderId="72" xfId="4" applyNumberFormat="1" applyFont="1" applyFill="1" applyBorder="1" applyAlignment="1">
      <alignment horizontal="center" vertical="center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0" fontId="22" fillId="0" borderId="72" xfId="6" applyFont="1" applyBorder="1" applyAlignment="1">
      <alignment horizontal="center" vertical="center" wrapText="1"/>
    </xf>
    <xf numFmtId="0" fontId="21" fillId="0" borderId="64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4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4" fillId="19" borderId="12" xfId="0" applyFont="1" applyFill="1" applyBorder="1" applyAlignment="1">
      <alignment horizontal="center" vertical="center" wrapText="1"/>
    </xf>
    <xf numFmtId="3" fontId="25" fillId="23" borderId="164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3" fontId="24" fillId="24" borderId="164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25" fillId="0" borderId="76" xfId="4" applyFont="1" applyBorder="1" applyAlignment="1">
      <alignment horizontal="center" vertical="center" wrapText="1"/>
    </xf>
    <xf numFmtId="0" fontId="25" fillId="0" borderId="18" xfId="4" applyFont="1" applyBorder="1" applyAlignment="1">
      <alignment horizontal="center" vertical="center" wrapText="1"/>
    </xf>
    <xf numFmtId="0" fontId="25" fillId="0" borderId="17" xfId="4" applyFont="1" applyBorder="1" applyAlignment="1">
      <alignment horizontal="center" vertical="center" wrapText="1"/>
    </xf>
    <xf numFmtId="0" fontId="23" fillId="0" borderId="15" xfId="6" applyFont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/>
    </xf>
    <xf numFmtId="0" fontId="17" fillId="0" borderId="14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0" fontId="17" fillId="0" borderId="68" xfId="4" applyFont="1" applyBorder="1" applyAlignment="1">
      <alignment horizontal="center" vertical="center" wrapText="1"/>
    </xf>
    <xf numFmtId="0" fontId="17" fillId="0" borderId="154" xfId="4" applyFont="1" applyBorder="1" applyAlignment="1">
      <alignment horizontal="center" vertical="center" wrapText="1"/>
    </xf>
    <xf numFmtId="0" fontId="32" fillId="0" borderId="40" xfId="0" applyFont="1" applyBorder="1" applyAlignment="1">
      <alignment horizontal="center" vertical="center" wrapText="1"/>
    </xf>
    <xf numFmtId="0" fontId="32" fillId="0" borderId="38" xfId="0" applyFont="1" applyBorder="1" applyAlignment="1">
      <alignment vertical="center" wrapText="1"/>
    </xf>
    <xf numFmtId="3" fontId="18" fillId="0" borderId="40" xfId="4" applyNumberFormat="1" applyFont="1" applyFill="1" applyBorder="1" applyAlignment="1">
      <alignment horizontal="center" vertical="center" wrapText="1"/>
    </xf>
    <xf numFmtId="3" fontId="18" fillId="0" borderId="44" xfId="4" applyNumberFormat="1" applyFont="1" applyFill="1" applyBorder="1" applyAlignment="1">
      <alignment horizontal="center" vertical="center" wrapText="1"/>
    </xf>
    <xf numFmtId="0" fontId="22" fillId="0" borderId="117" xfId="0" applyFont="1" applyBorder="1" applyAlignment="1">
      <alignment horizontal="center" vertical="center" wrapText="1"/>
    </xf>
    <xf numFmtId="3" fontId="25" fillId="2" borderId="37" xfId="4" applyNumberFormat="1" applyFont="1" applyFill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3" fontId="24" fillId="26" borderId="171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5" fillId="2" borderId="6" xfId="4" applyFont="1" applyFill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3" fillId="0" borderId="125" xfId="0" applyFont="1" applyBorder="1" applyAlignment="1">
      <alignment horizontal="center" vertical="center" wrapText="1"/>
    </xf>
    <xf numFmtId="3" fontId="25" fillId="25" borderId="164" xfId="4" applyNumberFormat="1" applyFont="1" applyFill="1" applyBorder="1" applyAlignment="1">
      <alignment horizontal="center" vertical="center"/>
    </xf>
    <xf numFmtId="3" fontId="25" fillId="26" borderId="61" xfId="4" applyNumberFormat="1" applyFont="1" applyFill="1" applyBorder="1" applyAlignment="1">
      <alignment horizontal="center" vertical="center"/>
    </xf>
    <xf numFmtId="3" fontId="25" fillId="26" borderId="197" xfId="4" applyNumberFormat="1" applyFont="1" applyFill="1" applyBorder="1" applyAlignment="1">
      <alignment horizontal="center" vertical="center"/>
    </xf>
    <xf numFmtId="3" fontId="25" fillId="26" borderId="50" xfId="4" applyNumberFormat="1" applyFont="1" applyFill="1" applyBorder="1" applyAlignment="1">
      <alignment horizontal="center" vertical="center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24" fillId="13" borderId="25" xfId="4" applyFont="1" applyFill="1" applyBorder="1" applyAlignment="1">
      <alignment horizontal="center" vertical="center"/>
    </xf>
    <xf numFmtId="3" fontId="25" fillId="26" borderId="156" xfId="4" applyNumberFormat="1" applyFont="1" applyFill="1" applyBorder="1" applyAlignment="1">
      <alignment horizontal="center" vertical="center"/>
    </xf>
    <xf numFmtId="3" fontId="25" fillId="2" borderId="101" xfId="4" applyNumberFormat="1" applyFont="1" applyFill="1" applyBorder="1" applyAlignment="1">
      <alignment horizontal="center" vertical="center" wrapText="1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3" fontId="25" fillId="25" borderId="170" xfId="4" applyNumberFormat="1" applyFont="1" applyFill="1" applyBorder="1" applyAlignment="1">
      <alignment horizontal="center" vertical="center"/>
    </xf>
    <xf numFmtId="3" fontId="25" fillId="25" borderId="190" xfId="4" applyNumberFormat="1" applyFont="1" applyFill="1" applyBorder="1" applyAlignment="1">
      <alignment horizontal="center" vertical="center"/>
    </xf>
    <xf numFmtId="3" fontId="25" fillId="2" borderId="159" xfId="4" applyNumberFormat="1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43" fontId="24" fillId="22" borderId="105" xfId="1" applyFont="1" applyFill="1" applyBorder="1" applyAlignment="1">
      <alignment horizontal="center" vertical="center"/>
    </xf>
    <xf numFmtId="3" fontId="25" fillId="25" borderId="61" xfId="4" applyNumberFormat="1" applyFont="1" applyFill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31" fillId="25" borderId="0" xfId="4" applyNumberFormat="1" applyFont="1" applyFill="1" applyBorder="1" applyAlignment="1">
      <alignment horizontal="center" vertical="center"/>
    </xf>
    <xf numFmtId="3" fontId="31" fillId="25" borderId="8" xfId="4" applyNumberFormat="1" applyFont="1" applyFill="1" applyBorder="1" applyAlignment="1">
      <alignment horizontal="center" vertical="center"/>
    </xf>
    <xf numFmtId="3" fontId="18" fillId="0" borderId="124" xfId="4" applyNumberFormat="1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23" fillId="0" borderId="186" xfId="0" applyFont="1" applyFill="1" applyBorder="1" applyAlignment="1">
      <alignment horizontal="center" vertical="center" wrapText="1"/>
    </xf>
    <xf numFmtId="0" fontId="23" fillId="0" borderId="43" xfId="0" applyFont="1" applyFill="1" applyBorder="1" applyAlignment="1">
      <alignment horizontal="center" vertical="center" wrapText="1"/>
    </xf>
    <xf numFmtId="0" fontId="23" fillId="0" borderId="41" xfId="0" applyFont="1" applyFill="1" applyBorder="1" applyAlignment="1">
      <alignment horizontal="center" vertical="center" wrapText="1"/>
    </xf>
    <xf numFmtId="0" fontId="24" fillId="0" borderId="40" xfId="4" applyFont="1" applyFill="1" applyBorder="1" applyAlignment="1">
      <alignment horizontal="center" vertical="center" wrapText="1"/>
    </xf>
    <xf numFmtId="0" fontId="24" fillId="0" borderId="42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 wrapText="1"/>
    </xf>
    <xf numFmtId="0" fontId="24" fillId="0" borderId="46" xfId="4" applyFont="1" applyFill="1" applyBorder="1" applyAlignment="1">
      <alignment horizontal="center" vertical="center" wrapText="1"/>
    </xf>
    <xf numFmtId="3" fontId="25" fillId="2" borderId="154" xfId="4" applyNumberFormat="1" applyFont="1" applyFill="1" applyBorder="1" applyAlignment="1">
      <alignment horizontal="center" vertical="center" wrapText="1"/>
    </xf>
    <xf numFmtId="0" fontId="32" fillId="0" borderId="154" xfId="0" applyFont="1" applyBorder="1" applyAlignment="1">
      <alignment horizontal="center" vertical="center" wrapText="1"/>
    </xf>
    <xf numFmtId="0" fontId="32" fillId="0" borderId="180" xfId="0" applyFont="1" applyBorder="1" applyAlignment="1">
      <alignment horizontal="center" vertical="center" wrapText="1"/>
    </xf>
    <xf numFmtId="3" fontId="24" fillId="26" borderId="180" xfId="4" applyNumberFormat="1" applyFont="1" applyFill="1" applyBorder="1" applyAlignment="1">
      <alignment horizontal="center" vertical="center"/>
    </xf>
    <xf numFmtId="0" fontId="23" fillId="0" borderId="180" xfId="0" applyFont="1" applyBorder="1" applyAlignment="1">
      <alignment horizontal="center" vertical="center" wrapText="1"/>
    </xf>
    <xf numFmtId="0" fontId="23" fillId="0" borderId="190" xfId="0" applyFont="1" applyBorder="1" applyAlignment="1">
      <alignment horizontal="center" vertical="center" wrapText="1"/>
    </xf>
    <xf numFmtId="0" fontId="24" fillId="0" borderId="41" xfId="4" applyFont="1" applyFill="1" applyBorder="1" applyAlignment="1">
      <alignment horizontal="center" vertical="center" wrapText="1"/>
    </xf>
    <xf numFmtId="0" fontId="24" fillId="0" borderId="44" xfId="4" applyFont="1" applyFill="1" applyBorder="1" applyAlignment="1">
      <alignment horizontal="center" vertical="center" wrapText="1"/>
    </xf>
    <xf numFmtId="0" fontId="17" fillId="0" borderId="16" xfId="4" applyFont="1" applyFill="1" applyBorder="1" applyAlignment="1">
      <alignment horizontal="center" vertical="center" wrapText="1"/>
    </xf>
    <xf numFmtId="0" fontId="17" fillId="0" borderId="172" xfId="4" applyFont="1" applyFill="1" applyBorder="1" applyAlignment="1">
      <alignment horizontal="center" vertical="center" wrapText="1"/>
    </xf>
    <xf numFmtId="0" fontId="17" fillId="0" borderId="181" xfId="4" applyFont="1" applyFill="1" applyBorder="1" applyAlignment="1">
      <alignment horizontal="center" vertical="center" wrapText="1"/>
    </xf>
    <xf numFmtId="0" fontId="4" fillId="0" borderId="172" xfId="0" applyFont="1" applyBorder="1" applyAlignment="1">
      <alignment horizontal="center" vertical="center" wrapText="1"/>
    </xf>
    <xf numFmtId="0" fontId="4" fillId="0" borderId="181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3" fontId="25" fillId="0" borderId="174" xfId="4" applyNumberFormat="1" applyFont="1" applyFill="1" applyBorder="1" applyAlignment="1">
      <alignment horizontal="center" vertical="center" wrapText="1"/>
    </xf>
    <xf numFmtId="0" fontId="32" fillId="0" borderId="174" xfId="0" applyFont="1" applyFill="1" applyBorder="1" applyAlignment="1">
      <alignment horizontal="center" vertical="center" wrapText="1"/>
    </xf>
    <xf numFmtId="0" fontId="32" fillId="0" borderId="180" xfId="0" applyFont="1" applyFill="1" applyBorder="1" applyAlignment="1">
      <alignment horizontal="center" vertical="center" wrapText="1"/>
    </xf>
    <xf numFmtId="3" fontId="24" fillId="26" borderId="174" xfId="4" applyNumberFormat="1" applyFont="1" applyFill="1" applyBorder="1" applyAlignment="1">
      <alignment horizontal="center" vertical="center"/>
    </xf>
    <xf numFmtId="3" fontId="24" fillId="26" borderId="116" xfId="4" applyNumberFormat="1" applyFont="1" applyFill="1" applyBorder="1" applyAlignment="1">
      <alignment horizontal="center" vertical="center"/>
    </xf>
    <xf numFmtId="0" fontId="23" fillId="0" borderId="186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176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117" xfId="0" applyFont="1" applyBorder="1" applyAlignment="1">
      <alignment horizontal="center" vertical="center" wrapText="1"/>
    </xf>
    <xf numFmtId="0" fontId="17" fillId="0" borderId="38" xfId="4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23" fillId="0" borderId="190" xfId="0" applyFont="1" applyFill="1" applyBorder="1" applyAlignment="1">
      <alignment horizontal="center" vertical="center" wrapText="1"/>
    </xf>
    <xf numFmtId="0" fontId="23" fillId="0" borderId="39" xfId="0" applyFont="1" applyFill="1" applyBorder="1" applyAlignment="1">
      <alignment horizontal="center" vertical="center" wrapText="1"/>
    </xf>
    <xf numFmtId="3" fontId="25" fillId="2" borderId="180" xfId="4" applyNumberFormat="1" applyFont="1" applyFill="1" applyBorder="1" applyAlignment="1">
      <alignment horizontal="center" vertical="center" wrapText="1"/>
    </xf>
    <xf numFmtId="3" fontId="24" fillId="26" borderId="188" xfId="4" applyNumberFormat="1" applyFont="1" applyFill="1" applyBorder="1" applyAlignment="1">
      <alignment horizontal="center" vertical="center"/>
    </xf>
    <xf numFmtId="3" fontId="24" fillId="26" borderId="132" xfId="4" applyNumberFormat="1" applyFont="1" applyFill="1" applyBorder="1" applyAlignment="1">
      <alignment horizontal="center" vertical="center"/>
    </xf>
    <xf numFmtId="0" fontId="17" fillId="0" borderId="181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25" fillId="2" borderId="180" xfId="4" applyFont="1" applyFill="1" applyBorder="1" applyAlignment="1">
      <alignment horizontal="center" vertical="center" wrapText="1"/>
    </xf>
    <xf numFmtId="0" fontId="32" fillId="0" borderId="180" xfId="0" applyFont="1" applyBorder="1" applyAlignment="1">
      <alignment wrapText="1"/>
    </xf>
    <xf numFmtId="0" fontId="32" fillId="0" borderId="190" xfId="0" applyFont="1" applyBorder="1" applyAlignment="1">
      <alignment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59" xfId="4" applyFont="1" applyFill="1" applyBorder="1" applyAlignment="1">
      <alignment horizontal="center" vertical="center" wrapText="1"/>
    </xf>
    <xf numFmtId="0" fontId="4" fillId="0" borderId="159" xfId="0" applyFont="1" applyBorder="1" applyAlignment="1">
      <alignment horizontal="center" vertical="center" wrapText="1"/>
    </xf>
    <xf numFmtId="3" fontId="25" fillId="0" borderId="154" xfId="4" applyNumberFormat="1" applyFont="1" applyFill="1" applyBorder="1" applyAlignment="1">
      <alignment horizontal="center" vertical="center" wrapText="1"/>
    </xf>
    <xf numFmtId="0" fontId="32" fillId="0" borderId="154" xfId="0" applyFont="1" applyFill="1" applyBorder="1" applyAlignment="1">
      <alignment horizontal="center" vertical="center" wrapText="1"/>
    </xf>
    <xf numFmtId="0" fontId="25" fillId="0" borderId="164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3" fontId="24" fillId="26" borderId="154" xfId="4" applyNumberFormat="1" applyFont="1" applyFill="1" applyBorder="1" applyAlignment="1">
      <alignment horizontal="center" vertical="center"/>
    </xf>
    <xf numFmtId="0" fontId="24" fillId="0" borderId="186" xfId="4" applyFont="1" applyFill="1" applyBorder="1" applyAlignment="1">
      <alignment horizontal="center" vertical="center"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2" xfId="4" applyFont="1" applyFill="1" applyBorder="1" applyAlignment="1">
      <alignment horizontal="left" vertical="center" wrapText="1"/>
    </xf>
    <xf numFmtId="0" fontId="18" fillId="0" borderId="68" xfId="4" applyFont="1" applyBorder="1" applyAlignment="1">
      <alignment horizontal="center" vertical="center" wrapText="1"/>
    </xf>
    <xf numFmtId="0" fontId="4" fillId="0" borderId="154" xfId="0" applyFont="1" applyBorder="1" applyAlignment="1">
      <alignment horizontal="center" vertical="center" wrapText="1"/>
    </xf>
    <xf numFmtId="0" fontId="22" fillId="0" borderId="154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57" xfId="4" applyFont="1" applyBorder="1" applyAlignment="1">
      <alignment horizontal="center" vertical="center" wrapText="1"/>
    </xf>
    <xf numFmtId="0" fontId="20" fillId="19" borderId="68" xfId="4" applyFont="1" applyFill="1" applyBorder="1" applyAlignment="1">
      <alignment horizontal="center" vertical="center" wrapText="1"/>
    </xf>
    <xf numFmtId="0" fontId="4" fillId="19" borderId="154" xfId="0" applyFont="1" applyFill="1" applyBorder="1" applyAlignment="1">
      <alignment horizontal="center" vertical="center" wrapText="1"/>
    </xf>
    <xf numFmtId="0" fontId="17" fillId="0" borderId="159" xfId="4" quotePrefix="1" applyFont="1" applyFill="1" applyBorder="1" applyAlignment="1">
      <alignment horizontal="center" vertical="center" wrapText="1"/>
    </xf>
    <xf numFmtId="0" fontId="17" fillId="0" borderId="161" xfId="4" applyFont="1" applyFill="1" applyBorder="1" applyAlignment="1">
      <alignment horizontal="center" vertical="center" wrapText="1"/>
    </xf>
    <xf numFmtId="0" fontId="32" fillId="0" borderId="155" xfId="0" applyFont="1" applyBorder="1" applyAlignment="1">
      <alignment horizontal="center" vertical="center" wrapText="1"/>
    </xf>
    <xf numFmtId="0" fontId="25" fillId="2" borderId="154" xfId="4" applyFont="1" applyFill="1" applyBorder="1" applyAlignment="1">
      <alignment horizontal="center" vertical="center" wrapText="1"/>
    </xf>
    <xf numFmtId="0" fontId="32" fillId="0" borderId="154" xfId="0" applyFont="1" applyBorder="1" applyAlignment="1">
      <alignment wrapText="1"/>
    </xf>
    <xf numFmtId="0" fontId="32" fillId="0" borderId="116" xfId="0" applyFont="1" applyBorder="1" applyAlignment="1">
      <alignment wrapText="1"/>
    </xf>
    <xf numFmtId="3" fontId="24" fillId="22" borderId="154" xfId="4" applyNumberFormat="1" applyFont="1" applyFill="1" applyBorder="1" applyAlignment="1">
      <alignment horizontal="center" vertical="center"/>
    </xf>
    <xf numFmtId="3" fontId="24" fillId="22" borderId="164" xfId="4" applyNumberFormat="1" applyFont="1" applyFill="1" applyBorder="1" applyAlignment="1">
      <alignment horizontal="center" vertical="center"/>
    </xf>
    <xf numFmtId="3" fontId="24" fillId="22" borderId="116" xfId="4" applyNumberFormat="1" applyFont="1" applyFill="1" applyBorder="1" applyAlignment="1">
      <alignment horizontal="center" vertical="center"/>
    </xf>
    <xf numFmtId="0" fontId="23" fillId="0" borderId="35" xfId="6" applyFont="1" applyBorder="1" applyAlignment="1">
      <alignment horizontal="center" vertical="center"/>
    </xf>
    <xf numFmtId="0" fontId="23" fillId="0" borderId="176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17" fillId="0" borderId="37" xfId="4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3" fontId="25" fillId="0" borderId="180" xfId="4" applyNumberFormat="1" applyFont="1" applyFill="1" applyBorder="1" applyAlignment="1">
      <alignment horizontal="center" vertical="center" wrapText="1"/>
    </xf>
    <xf numFmtId="3" fontId="24" fillId="26" borderId="0" xfId="4" applyNumberFormat="1" applyFont="1" applyFill="1" applyBorder="1" applyAlignment="1">
      <alignment horizontal="center" vertical="center"/>
    </xf>
    <xf numFmtId="3" fontId="24" fillId="26" borderId="35" xfId="4" applyNumberFormat="1" applyFont="1" applyFill="1" applyBorder="1" applyAlignment="1">
      <alignment horizontal="center" vertical="center"/>
    </xf>
    <xf numFmtId="0" fontId="17" fillId="0" borderId="16" xfId="4" applyFont="1" applyFill="1" applyBorder="1" applyAlignment="1">
      <alignment horizontal="center" vertical="center"/>
    </xf>
    <xf numFmtId="0" fontId="17" fillId="0" borderId="200" xfId="4" applyFont="1" applyFill="1" applyBorder="1" applyAlignment="1">
      <alignment horizontal="center" vertical="center"/>
    </xf>
    <xf numFmtId="0" fontId="17" fillId="0" borderId="38" xfId="4" applyFont="1" applyFill="1" applyBorder="1" applyAlignment="1">
      <alignment horizontal="center" vertical="center"/>
    </xf>
    <xf numFmtId="0" fontId="17" fillId="0" borderId="14" xfId="4" applyFont="1" applyFill="1" applyBorder="1" applyAlignment="1">
      <alignment horizontal="center" vertical="center"/>
    </xf>
    <xf numFmtId="0" fontId="17" fillId="0" borderId="22" xfId="4" applyFont="1" applyFill="1" applyBorder="1" applyAlignment="1">
      <alignment horizontal="center" vertical="center"/>
    </xf>
    <xf numFmtId="0" fontId="17" fillId="0" borderId="6" xfId="4" applyFont="1" applyFill="1" applyBorder="1" applyAlignment="1">
      <alignment horizontal="center" vertical="center"/>
    </xf>
    <xf numFmtId="0" fontId="17" fillId="0" borderId="26" xfId="4" applyFont="1" applyFill="1" applyBorder="1" applyAlignment="1">
      <alignment horizontal="center" vertical="center"/>
    </xf>
    <xf numFmtId="0" fontId="32" fillId="0" borderId="190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3" fontId="24" fillId="26" borderId="7" xfId="4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17" fillId="0" borderId="178" xfId="4" applyFont="1" applyFill="1" applyBorder="1" applyAlignment="1">
      <alignment horizontal="center" vertical="center"/>
    </xf>
    <xf numFmtId="0" fontId="17" fillId="0" borderId="38" xfId="4" quotePrefix="1" applyFont="1" applyFill="1" applyBorder="1" applyAlignment="1">
      <alignment horizontal="center" vertical="center" wrapText="1"/>
    </xf>
    <xf numFmtId="0" fontId="23" fillId="0" borderId="164" xfId="0" applyFont="1" applyFill="1" applyBorder="1" applyAlignment="1">
      <alignment horizontal="center" vertical="center" wrapText="1"/>
    </xf>
    <xf numFmtId="2" fontId="17" fillId="0" borderId="5" xfId="0" applyNumberFormat="1" applyFont="1" applyFill="1" applyBorder="1" applyAlignment="1">
      <alignment horizontal="center" vertical="center"/>
    </xf>
    <xf numFmtId="2" fontId="17" fillId="0" borderId="11" xfId="0" applyNumberFormat="1" applyFont="1" applyFill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2" fontId="22" fillId="0" borderId="42" xfId="0" applyNumberFormat="1" applyFont="1" applyBorder="1" applyAlignment="1">
      <alignment horizontal="center" vertical="center" wrapText="1"/>
    </xf>
    <xf numFmtId="2" fontId="22" fillId="0" borderId="43" xfId="0" applyNumberFormat="1" applyFont="1" applyBorder="1" applyAlignment="1">
      <alignment horizontal="center" vertical="center" wrapText="1"/>
    </xf>
    <xf numFmtId="2" fontId="22" fillId="0" borderId="176" xfId="0" applyNumberFormat="1" applyFont="1" applyBorder="1" applyAlignment="1">
      <alignment horizontal="center" vertical="center" wrapText="1"/>
    </xf>
    <xf numFmtId="2" fontId="22" fillId="0" borderId="13" xfId="0" applyNumberFormat="1" applyFont="1" applyBorder="1" applyAlignment="1">
      <alignment horizontal="center" vertical="center" wrapText="1"/>
    </xf>
    <xf numFmtId="2" fontId="22" fillId="0" borderId="12" xfId="0" applyNumberFormat="1" applyFont="1" applyBorder="1" applyAlignment="1">
      <alignment horizontal="center" vertical="center" wrapText="1"/>
    </xf>
    <xf numFmtId="3" fontId="25" fillId="22" borderId="164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3" fontId="25" fillId="22" borderId="10" xfId="0" applyNumberFormat="1" applyFont="1" applyFill="1" applyBorder="1" applyAlignment="1">
      <alignment horizontal="center" vertical="center"/>
    </xf>
    <xf numFmtId="3" fontId="25" fillId="22" borderId="72" xfId="0" applyNumberFormat="1" applyFont="1" applyFill="1" applyBorder="1" applyAlignment="1">
      <alignment horizontal="center" vertical="center"/>
    </xf>
    <xf numFmtId="2" fontId="25" fillId="32" borderId="125" xfId="0" applyNumberFormat="1" applyFont="1" applyFill="1" applyBorder="1" applyAlignment="1">
      <alignment horizontal="center" vertical="center" wrapText="1"/>
    </xf>
    <xf numFmtId="2" fontId="25" fillId="32" borderId="6" xfId="0" applyNumberFormat="1" applyFont="1" applyFill="1" applyBorder="1" applyAlignment="1">
      <alignment horizontal="center" vertical="center" wrapText="1"/>
    </xf>
    <xf numFmtId="2" fontId="25" fillId="32" borderId="22" xfId="0" applyNumberFormat="1" applyFont="1" applyFill="1" applyBorder="1" applyAlignment="1">
      <alignment horizontal="center" vertical="center" wrapText="1"/>
    </xf>
    <xf numFmtId="3" fontId="24" fillId="22" borderId="176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5" fillId="22" borderId="176" xfId="0" applyNumberFormat="1" applyFont="1" applyFill="1" applyBorder="1" applyAlignment="1">
      <alignment horizontal="center" vertical="center"/>
    </xf>
    <xf numFmtId="2" fontId="18" fillId="0" borderId="64" xfId="0" applyNumberFormat="1" applyFont="1" applyFill="1" applyBorder="1" applyAlignment="1">
      <alignment horizontal="center" vertical="center" wrapText="1"/>
    </xf>
    <xf numFmtId="2" fontId="4" fillId="0" borderId="65" xfId="0" applyNumberFormat="1" applyFont="1" applyBorder="1" applyAlignment="1">
      <alignment horizontal="center" wrapText="1"/>
    </xf>
    <xf numFmtId="2" fontId="4" fillId="0" borderId="67" xfId="0" applyNumberFormat="1" applyFont="1" applyBorder="1" applyAlignment="1">
      <alignment horizontal="center" wrapText="1"/>
    </xf>
    <xf numFmtId="2" fontId="22" fillId="0" borderId="41" xfId="0" applyNumberFormat="1" applyFont="1" applyBorder="1" applyAlignment="1">
      <alignment horizontal="center" vertical="center" wrapText="1"/>
    </xf>
    <xf numFmtId="2" fontId="23" fillId="0" borderId="178" xfId="0" applyNumberFormat="1" applyFont="1" applyBorder="1" applyAlignment="1">
      <alignment horizontal="center" vertical="center" wrapText="1"/>
    </xf>
    <xf numFmtId="2" fontId="23" fillId="0" borderId="20" xfId="0" applyNumberFormat="1" applyFont="1" applyBorder="1" applyAlignment="1">
      <alignment horizontal="center" vertical="center" wrapText="1"/>
    </xf>
    <xf numFmtId="2" fontId="23" fillId="0" borderId="22" xfId="0" applyNumberFormat="1" applyFont="1" applyBorder="1" applyAlignment="1">
      <alignment horizontal="center" vertical="center" wrapText="1"/>
    </xf>
    <xf numFmtId="2" fontId="16" fillId="2" borderId="24" xfId="0" applyNumberFormat="1" applyFont="1" applyFill="1" applyBorder="1" applyAlignment="1">
      <alignment horizontal="left" vertical="center" wrapText="1"/>
    </xf>
    <xf numFmtId="2" fontId="20" fillId="0" borderId="5" xfId="0" applyNumberFormat="1" applyFont="1" applyBorder="1" applyAlignment="1">
      <alignment horizontal="center" vertical="center" wrapText="1"/>
    </xf>
    <xf numFmtId="2" fontId="20" fillId="0" borderId="11" xfId="0" applyNumberFormat="1" applyFont="1" applyBorder="1" applyAlignment="1">
      <alignment horizontal="center" vertical="center" wrapText="1"/>
    </xf>
    <xf numFmtId="2" fontId="20" fillId="0" borderId="25" xfId="0" applyNumberFormat="1" applyFont="1" applyBorder="1" applyAlignment="1">
      <alignment horizontal="center" vertical="center" wrapText="1"/>
    </xf>
    <xf numFmtId="2" fontId="18" fillId="0" borderId="14" xfId="4" applyNumberFormat="1" applyFont="1" applyBorder="1" applyAlignment="1">
      <alignment horizontal="center" vertical="center" wrapText="1"/>
    </xf>
    <xf numFmtId="2" fontId="18" fillId="0" borderId="6" xfId="4" applyNumberFormat="1" applyFont="1" applyBorder="1" applyAlignment="1">
      <alignment horizontal="center" vertical="center" wrapText="1"/>
    </xf>
    <xf numFmtId="2" fontId="18" fillId="0" borderId="22" xfId="4" applyNumberFormat="1" applyFont="1" applyBorder="1" applyAlignment="1">
      <alignment horizontal="center" vertical="center" wrapText="1"/>
    </xf>
    <xf numFmtId="2" fontId="18" fillId="0" borderId="15" xfId="4" applyNumberFormat="1" applyFont="1" applyBorder="1" applyAlignment="1">
      <alignment horizontal="center" vertical="center" wrapText="1"/>
    </xf>
    <xf numFmtId="2" fontId="18" fillId="0" borderId="13" xfId="4" applyNumberFormat="1" applyFont="1" applyBorder="1" applyAlignment="1">
      <alignment horizontal="center" vertical="center" wrapText="1"/>
    </xf>
    <xf numFmtId="2" fontId="18" fillId="0" borderId="12" xfId="4" applyNumberFormat="1" applyFont="1" applyBorder="1" applyAlignment="1">
      <alignment horizontal="center" vertical="center" wrapText="1"/>
    </xf>
    <xf numFmtId="2" fontId="17" fillId="0" borderId="64" xfId="4" applyNumberFormat="1" applyFont="1" applyBorder="1" applyAlignment="1">
      <alignment horizontal="center" vertical="center" wrapText="1"/>
    </xf>
    <xf numFmtId="2" fontId="17" fillId="0" borderId="65" xfId="4" applyNumberFormat="1" applyFont="1" applyBorder="1" applyAlignment="1">
      <alignment horizontal="center" vertical="center" wrapText="1"/>
    </xf>
    <xf numFmtId="2" fontId="17" fillId="0" borderId="67" xfId="4" applyNumberFormat="1" applyFont="1" applyBorder="1" applyAlignment="1">
      <alignment horizontal="center" vertical="center" wrapText="1"/>
    </xf>
    <xf numFmtId="2" fontId="20" fillId="19" borderId="15" xfId="4" applyNumberFormat="1" applyFont="1" applyFill="1" applyBorder="1" applyAlignment="1">
      <alignment horizontal="center" vertical="center" wrapText="1"/>
    </xf>
    <xf numFmtId="2" fontId="4" fillId="19" borderId="13" xfId="0" applyNumberFormat="1" applyFont="1" applyFill="1" applyBorder="1" applyAlignment="1">
      <alignment horizontal="center" vertical="center" wrapText="1"/>
    </xf>
    <xf numFmtId="2" fontId="4" fillId="19" borderId="12" xfId="0" applyNumberFormat="1" applyFont="1" applyFill="1" applyBorder="1" applyAlignment="1">
      <alignment horizontal="center" vertical="center" wrapText="1"/>
    </xf>
    <xf numFmtId="2" fontId="24" fillId="2" borderId="15" xfId="0" applyNumberFormat="1" applyFont="1" applyFill="1" applyBorder="1" applyAlignment="1">
      <alignment horizontal="center" vertical="center" wrapText="1"/>
    </xf>
    <xf numFmtId="2" fontId="24" fillId="2" borderId="13" xfId="0" applyNumberFormat="1" applyFont="1" applyFill="1" applyBorder="1" applyAlignment="1">
      <alignment horizontal="center" vertical="center" wrapText="1"/>
    </xf>
    <xf numFmtId="2" fontId="24" fillId="2" borderId="12" xfId="0" applyNumberFormat="1" applyFont="1" applyFill="1" applyBorder="1" applyAlignment="1">
      <alignment horizontal="center" vertical="center" wrapText="1"/>
    </xf>
    <xf numFmtId="2" fontId="23" fillId="0" borderId="15" xfId="6" applyNumberFormat="1" applyFont="1" applyBorder="1" applyAlignment="1">
      <alignment horizontal="center" vertical="center" wrapText="1"/>
    </xf>
    <xf numFmtId="2" fontId="23" fillId="0" borderId="13" xfId="6" applyNumberFormat="1" applyFont="1" applyBorder="1" applyAlignment="1">
      <alignment horizontal="center" vertical="center" wrapText="1"/>
    </xf>
    <xf numFmtId="2" fontId="23" fillId="0" borderId="12" xfId="6" applyNumberFormat="1" applyFont="1" applyBorder="1" applyAlignment="1">
      <alignment horizontal="center" vertical="center" wrapText="1"/>
    </xf>
    <xf numFmtId="2" fontId="25" fillId="0" borderId="76" xfId="4" applyNumberFormat="1" applyFont="1" applyBorder="1" applyAlignment="1">
      <alignment horizontal="center" vertical="center" wrapText="1"/>
    </xf>
    <xf numFmtId="2" fontId="25" fillId="0" borderId="18" xfId="4" applyNumberFormat="1" applyFont="1" applyBorder="1" applyAlignment="1">
      <alignment horizontal="center" vertical="center" wrapText="1"/>
    </xf>
    <xf numFmtId="2" fontId="25" fillId="0" borderId="17" xfId="4" applyNumberFormat="1" applyFont="1" applyBorder="1" applyAlignment="1">
      <alignment horizontal="center" vertical="center" wrapText="1"/>
    </xf>
    <xf numFmtId="2" fontId="23" fillId="0" borderId="176" xfId="6" applyNumberFormat="1" applyFont="1" applyBorder="1" applyAlignment="1">
      <alignment horizontal="center" vertical="center"/>
    </xf>
    <xf numFmtId="2" fontId="23" fillId="0" borderId="12" xfId="6" applyNumberFormat="1" applyFont="1" applyBorder="1" applyAlignment="1">
      <alignment horizontal="center" vertical="center"/>
    </xf>
    <xf numFmtId="2" fontId="4" fillId="0" borderId="178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2" xfId="0" applyNumberFormat="1" applyFont="1" applyBorder="1" applyAlignment="1">
      <alignment horizontal="center" vertical="center"/>
    </xf>
    <xf numFmtId="2" fontId="25" fillId="22" borderId="176" xfId="0" applyNumberFormat="1" applyFont="1" applyFill="1" applyBorder="1" applyAlignment="1">
      <alignment horizontal="center" vertical="center"/>
    </xf>
    <xf numFmtId="2" fontId="25" fillId="22" borderId="13" xfId="0" applyNumberFormat="1" applyFont="1" applyFill="1" applyBorder="1" applyAlignment="1">
      <alignment horizontal="center" vertical="center"/>
    </xf>
    <xf numFmtId="2" fontId="25" fillId="22" borderId="12" xfId="0" applyNumberFormat="1" applyFont="1" applyFill="1" applyBorder="1" applyAlignment="1">
      <alignment horizontal="center" vertical="center"/>
    </xf>
    <xf numFmtId="2" fontId="23" fillId="0" borderId="6" xfId="0" applyNumberFormat="1" applyFont="1" applyBorder="1" applyAlignment="1">
      <alignment horizontal="center" vertical="center" wrapText="1"/>
    </xf>
    <xf numFmtId="2" fontId="17" fillId="56" borderId="5" xfId="0" applyNumberFormat="1" applyFont="1" applyFill="1" applyBorder="1" applyAlignment="1">
      <alignment horizontal="center" vertical="center" wrapText="1"/>
    </xf>
    <xf numFmtId="2" fontId="4" fillId="56" borderId="11" xfId="0" applyNumberFormat="1" applyFont="1" applyFill="1" applyBorder="1" applyAlignment="1">
      <alignment vertical="center" wrapText="1"/>
    </xf>
    <xf numFmtId="2" fontId="4" fillId="56" borderId="25" xfId="0" applyNumberFormat="1" applyFont="1" applyFill="1" applyBorder="1" applyAlignment="1">
      <alignment vertical="center" wrapText="1"/>
    </xf>
    <xf numFmtId="2" fontId="25" fillId="22" borderId="189" xfId="0" applyNumberFormat="1" applyFont="1" applyFill="1" applyBorder="1" applyAlignment="1">
      <alignment horizontal="center" vertical="center"/>
    </xf>
    <xf numFmtId="2" fontId="25" fillId="22" borderId="10" xfId="0" applyNumberFormat="1" applyFont="1" applyFill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2" fontId="25" fillId="2" borderId="178" xfId="0" applyNumberFormat="1" applyFont="1" applyFill="1" applyBorder="1" applyAlignment="1">
      <alignment horizontal="center" vertical="center" wrapText="1"/>
    </xf>
    <xf numFmtId="2" fontId="17" fillId="0" borderId="5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Border="1" applyAlignment="1">
      <alignment vertical="center" wrapText="1"/>
    </xf>
    <xf numFmtId="2" fontId="4" fillId="0" borderId="25" xfId="0" applyNumberFormat="1" applyFont="1" applyBorder="1" applyAlignment="1">
      <alignment vertical="center" wrapText="1"/>
    </xf>
    <xf numFmtId="2" fontId="23" fillId="0" borderId="176" xfId="0" applyNumberFormat="1" applyFont="1" applyBorder="1" applyAlignment="1">
      <alignment horizontal="center" vertical="center" wrapText="1"/>
    </xf>
    <xf numFmtId="2" fontId="23" fillId="0" borderId="12" xfId="0" applyNumberFormat="1" applyFont="1" applyBorder="1" applyAlignment="1">
      <alignment horizontal="center" vertical="center" wrapText="1"/>
    </xf>
    <xf numFmtId="2" fontId="17" fillId="0" borderId="11" xfId="0" applyNumberFormat="1" applyFont="1" applyFill="1" applyBorder="1" applyAlignment="1">
      <alignment horizontal="center" vertical="center" wrapText="1"/>
    </xf>
    <xf numFmtId="2" fontId="18" fillId="0" borderId="43" xfId="0" applyNumberFormat="1" applyFont="1" applyFill="1" applyBorder="1" applyAlignment="1">
      <alignment horizontal="center" vertical="center" wrapText="1"/>
    </xf>
    <xf numFmtId="2" fontId="4" fillId="0" borderId="65" xfId="0" applyNumberFormat="1" applyFont="1" applyBorder="1"/>
    <xf numFmtId="2" fontId="4" fillId="0" borderId="0" xfId="0" applyNumberFormat="1" applyFont="1" applyBorder="1"/>
    <xf numFmtId="2" fontId="21" fillId="0" borderId="43" xfId="0" applyNumberFormat="1" applyFont="1" applyFill="1" applyBorder="1" applyAlignment="1">
      <alignment horizontal="center" vertical="center" wrapText="1"/>
    </xf>
    <xf numFmtId="2" fontId="21" fillId="0" borderId="41" xfId="0" applyNumberFormat="1" applyFont="1" applyFill="1" applyBorder="1" applyAlignment="1">
      <alignment horizontal="center" vertical="center" wrapText="1"/>
    </xf>
    <xf numFmtId="2" fontId="20" fillId="0" borderId="42" xfId="0" applyNumberFormat="1" applyFont="1" applyFill="1" applyBorder="1" applyAlignment="1">
      <alignment horizontal="center" vertical="center" wrapText="1"/>
    </xf>
    <xf numFmtId="2" fontId="20" fillId="0" borderId="43" xfId="0" applyNumberFormat="1" applyFont="1" applyFill="1" applyBorder="1" applyAlignment="1">
      <alignment horizontal="center" vertical="center" wrapText="1"/>
    </xf>
    <xf numFmtId="2" fontId="20" fillId="0" borderId="46" xfId="0" applyNumberFormat="1" applyFont="1" applyFill="1" applyBorder="1" applyAlignment="1">
      <alignment horizontal="center" vertical="center" wrapText="1"/>
    </xf>
    <xf numFmtId="2" fontId="20" fillId="31" borderId="68" xfId="0" applyNumberFormat="1" applyFont="1" applyFill="1" applyBorder="1" applyAlignment="1">
      <alignment horizontal="center" vertical="center" wrapText="1"/>
    </xf>
    <xf numFmtId="2" fontId="20" fillId="31" borderId="25" xfId="0" applyNumberFormat="1" applyFont="1" applyFill="1" applyBorder="1" applyAlignment="1">
      <alignment horizontal="center" vertical="center" wrapText="1"/>
    </xf>
    <xf numFmtId="2" fontId="20" fillId="31" borderId="11" xfId="0" applyNumberFormat="1" applyFont="1" applyFill="1" applyBorder="1" applyAlignment="1">
      <alignment horizontal="center" vertical="center" wrapText="1"/>
    </xf>
    <xf numFmtId="2" fontId="20" fillId="31" borderId="0" xfId="0" applyNumberFormat="1" applyFont="1" applyFill="1" applyBorder="1" applyAlignment="1">
      <alignment horizontal="center" vertical="center" wrapText="1"/>
    </xf>
    <xf numFmtId="2" fontId="20" fillId="31" borderId="52" xfId="0" applyNumberFormat="1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/>
    </xf>
    <xf numFmtId="0" fontId="24" fillId="0" borderId="39" xfId="0" applyFont="1" applyFill="1" applyBorder="1" applyAlignment="1">
      <alignment horizontal="center" vertical="center" wrapText="1"/>
    </xf>
    <xf numFmtId="0" fontId="24" fillId="0" borderId="68" xfId="0" applyFont="1" applyFill="1" applyBorder="1" applyAlignment="1">
      <alignment horizontal="center" vertical="center" wrapText="1"/>
    </xf>
    <xf numFmtId="0" fontId="24" fillId="0" borderId="190" xfId="0" applyFont="1" applyFill="1" applyBorder="1" applyAlignment="1">
      <alignment horizontal="center" vertical="center" wrapText="1"/>
    </xf>
    <xf numFmtId="3" fontId="25" fillId="28" borderId="15" xfId="0" applyNumberFormat="1" applyFont="1" applyFill="1" applyBorder="1" applyAlignment="1">
      <alignment horizontal="center" vertical="center" wrapText="1"/>
    </xf>
    <xf numFmtId="3" fontId="25" fillId="28" borderId="12" xfId="0" applyNumberFormat="1" applyFont="1" applyFill="1" applyBorder="1" applyAlignment="1">
      <alignment horizontal="center" vertical="center" wrapText="1"/>
    </xf>
    <xf numFmtId="3" fontId="25" fillId="28" borderId="39" xfId="0" applyNumberFormat="1" applyFont="1" applyFill="1" applyBorder="1" applyAlignment="1">
      <alignment horizontal="center" vertical="center" wrapText="1"/>
    </xf>
    <xf numFmtId="3" fontId="25" fillId="28" borderId="68" xfId="0" applyNumberFormat="1" applyFont="1" applyFill="1" applyBorder="1" applyAlignment="1">
      <alignment horizontal="center" vertical="center" wrapText="1"/>
    </xf>
    <xf numFmtId="3" fontId="25" fillId="28" borderId="190" xfId="0" applyNumberFormat="1" applyFont="1" applyFill="1" applyBorder="1" applyAlignment="1">
      <alignment horizontal="center" vertical="center" wrapText="1"/>
    </xf>
    <xf numFmtId="0" fontId="25" fillId="8" borderId="125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5" fillId="2" borderId="125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4" fillId="0" borderId="40" xfId="0" applyFont="1" applyFill="1" applyBorder="1" applyAlignment="1">
      <alignment horizontal="center" vertical="center" wrapText="1"/>
    </xf>
    <xf numFmtId="0" fontId="23" fillId="0" borderId="40" xfId="0" applyFont="1" applyBorder="1" applyAlignment="1">
      <alignment horizontal="center" wrapText="1"/>
    </xf>
    <xf numFmtId="0" fontId="23" fillId="0" borderId="42" xfId="0" applyFont="1" applyBorder="1" applyAlignment="1">
      <alignment horizont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5" fillId="2" borderId="88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3" fontId="25" fillId="22" borderId="91" xfId="0" applyNumberFormat="1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6" fillId="0" borderId="101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10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3" fontId="25" fillId="22" borderId="97" xfId="0" applyNumberFormat="1" applyFont="1" applyFill="1" applyBorder="1" applyAlignment="1">
      <alignment horizontal="center" vertical="center"/>
    </xf>
    <xf numFmtId="0" fontId="8" fillId="0" borderId="101" xfId="4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2" xfId="4" applyFont="1" applyFill="1" applyBorder="1" applyAlignment="1">
      <alignment horizontal="center" vertical="center" wrapText="1"/>
    </xf>
    <xf numFmtId="0" fontId="8" fillId="0" borderId="38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32" fillId="0" borderId="40" xfId="0" applyFont="1" applyBorder="1"/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25" fillId="0" borderId="125" xfId="0" applyFont="1" applyFill="1" applyBorder="1" applyAlignment="1">
      <alignment horizontal="center" vertical="center" wrapText="1"/>
    </xf>
    <xf numFmtId="0" fontId="25" fillId="2" borderId="178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4" fillId="0" borderId="43" xfId="0" applyFont="1" applyFill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24" fillId="2" borderId="178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0" fontId="20" fillId="0" borderId="52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17" fillId="0" borderId="64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3" fontId="24" fillId="22" borderId="91" xfId="0" applyNumberFormat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3" fillId="0" borderId="186" xfId="0" applyFont="1" applyBorder="1" applyAlignment="1">
      <alignment horizontal="center" wrapText="1"/>
    </xf>
    <xf numFmtId="0" fontId="23" fillId="0" borderId="44" xfId="0" applyFont="1" applyBorder="1" applyAlignment="1">
      <alignment horizontal="center" wrapText="1"/>
    </xf>
    <xf numFmtId="0" fontId="25" fillId="2" borderId="101" xfId="0" applyFont="1" applyFill="1" applyBorder="1" applyAlignment="1">
      <alignment horizontal="center" vertical="center" wrapText="1"/>
    </xf>
    <xf numFmtId="0" fontId="7" fillId="0" borderId="17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8" fillId="0" borderId="178" xfId="4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36" fillId="0" borderId="26" xfId="4" applyFont="1" applyFill="1" applyBorder="1" applyAlignment="1">
      <alignment horizontal="center" vertical="center" wrapText="1"/>
    </xf>
    <xf numFmtId="3" fontId="24" fillId="22" borderId="97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3" fontId="25" fillId="22" borderId="15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23" fillId="0" borderId="178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36" fillId="0" borderId="162" xfId="4" applyFont="1" applyFill="1" applyBorder="1" applyAlignment="1">
      <alignment horizontal="center" vertical="center" wrapText="1"/>
    </xf>
    <xf numFmtId="0" fontId="36" fillId="0" borderId="66" xfId="4" applyFont="1" applyFill="1" applyBorder="1" applyAlignment="1">
      <alignment horizontal="center" vertical="center" wrapText="1"/>
    </xf>
    <xf numFmtId="3" fontId="24" fillId="22" borderId="164" xfId="0" applyNumberFormat="1" applyFont="1" applyFill="1" applyBorder="1" applyAlignment="1">
      <alignment horizontal="center" vertical="center"/>
    </xf>
    <xf numFmtId="3" fontId="4" fillId="0" borderId="0" xfId="0" applyNumberFormat="1" applyFont="1" applyBorder="1" applyAlignment="1">
      <alignment horizontal="justify" vertical="top" wrapText="1"/>
    </xf>
    <xf numFmtId="3" fontId="4" fillId="0" borderId="26" xfId="0" applyNumberFormat="1" applyFont="1" applyBorder="1" applyAlignment="1">
      <alignment horizontal="justify" vertical="top" wrapText="1"/>
    </xf>
    <xf numFmtId="0" fontId="25" fillId="2" borderId="117" xfId="0" applyFont="1" applyFill="1" applyBorder="1" applyAlignment="1">
      <alignment horizontal="center" vertical="center" wrapText="1"/>
    </xf>
    <xf numFmtId="0" fontId="23" fillId="2" borderId="40" xfId="0" applyFont="1" applyFill="1" applyBorder="1" applyAlignment="1">
      <alignment horizontal="center" wrapText="1"/>
    </xf>
    <xf numFmtId="0" fontId="23" fillId="2" borderId="44" xfId="0" applyFont="1" applyFill="1" applyBorder="1" applyAlignment="1">
      <alignment horizontal="center" wrapText="1"/>
    </xf>
    <xf numFmtId="0" fontId="23" fillId="2" borderId="117" xfId="0" applyFont="1" applyFill="1" applyBorder="1" applyAlignment="1">
      <alignment horizontal="center" wrapText="1"/>
    </xf>
    <xf numFmtId="0" fontId="23" fillId="2" borderId="42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2" borderId="43" xfId="0" applyFont="1" applyFill="1" applyBorder="1" applyAlignment="1">
      <alignment horizontal="center" wrapText="1"/>
    </xf>
    <xf numFmtId="3" fontId="25" fillId="22" borderId="122" xfId="0" applyNumberFormat="1" applyFont="1" applyFill="1" applyBorder="1" applyAlignment="1">
      <alignment horizontal="center" vertical="center"/>
    </xf>
    <xf numFmtId="3" fontId="25" fillId="22" borderId="189" xfId="0" applyNumberFormat="1" applyFont="1" applyFill="1" applyBorder="1" applyAlignment="1">
      <alignment horizontal="center" vertical="center"/>
    </xf>
    <xf numFmtId="0" fontId="23" fillId="0" borderId="176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3" fontId="25" fillId="2" borderId="121" xfId="4" applyNumberFormat="1" applyFont="1" applyFill="1" applyBorder="1" applyAlignment="1">
      <alignment horizontal="center" vertical="center" wrapText="1"/>
    </xf>
    <xf numFmtId="0" fontId="32" fillId="0" borderId="122" xfId="0" applyFont="1" applyBorder="1" applyAlignment="1">
      <alignment horizontal="center" vertical="center"/>
    </xf>
    <xf numFmtId="0" fontId="23" fillId="0" borderId="176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38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5" borderId="105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2" xfId="0" applyNumberFormat="1" applyFont="1" applyFill="1" applyBorder="1" applyAlignment="1">
      <alignment horizontal="center" vertical="center"/>
    </xf>
    <xf numFmtId="3" fontId="25" fillId="2" borderId="122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5" borderId="189" xfId="0" applyNumberFormat="1" applyFont="1" applyFill="1" applyBorder="1" applyAlignment="1">
      <alignment horizontal="center" vertical="center"/>
    </xf>
    <xf numFmtId="3" fontId="25" fillId="2" borderId="176" xfId="4" applyNumberFormat="1" applyFont="1" applyFill="1" applyBorder="1" applyAlignment="1">
      <alignment horizontal="center" vertical="center" wrapText="1"/>
    </xf>
    <xf numFmtId="0" fontId="4" fillId="0" borderId="66" xfId="0" applyFont="1" applyBorder="1"/>
    <xf numFmtId="0" fontId="21" fillId="0" borderId="186" xfId="0" applyFont="1" applyFill="1" applyBorder="1" applyAlignment="1">
      <alignment horizontal="center" vertical="center" wrapText="1"/>
    </xf>
    <xf numFmtId="0" fontId="4" fillId="0" borderId="41" xfId="0" applyFont="1" applyBorder="1"/>
    <xf numFmtId="0" fontId="23" fillId="0" borderId="13" xfId="0" applyFont="1" applyBorder="1" applyAlignment="1">
      <alignment horizontal="center" vertical="center"/>
    </xf>
    <xf numFmtId="3" fontId="25" fillId="25" borderId="122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0" fontId="32" fillId="0" borderId="180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21" xfId="4" applyFont="1" applyFill="1" applyBorder="1" applyAlignment="1">
      <alignment horizontal="center" vertical="center"/>
    </xf>
    <xf numFmtId="0" fontId="27" fillId="8" borderId="180" xfId="4" applyFont="1" applyFill="1" applyBorder="1" applyAlignment="1">
      <alignment horizontal="center" vertical="center"/>
    </xf>
    <xf numFmtId="0" fontId="27" fillId="8" borderId="122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4" fillId="19" borderId="23" xfId="0" applyFont="1" applyFill="1" applyBorder="1" applyAlignment="1">
      <alignment horizontal="center" vertical="center" wrapText="1"/>
    </xf>
    <xf numFmtId="3" fontId="25" fillId="23" borderId="122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3" fontId="25" fillId="22" borderId="176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35" xfId="0" applyNumberFormat="1" applyFont="1" applyFill="1" applyBorder="1" applyAlignment="1">
      <alignment horizontal="center" vertical="top"/>
    </xf>
    <xf numFmtId="3" fontId="20" fillId="2" borderId="164" xfId="4" applyNumberFormat="1" applyFont="1" applyFill="1" applyBorder="1" applyAlignment="1">
      <alignment horizontal="center" vertical="center" wrapText="1"/>
    </xf>
    <xf numFmtId="3" fontId="20" fillId="2" borderId="13" xfId="4" applyNumberFormat="1" applyFont="1" applyFill="1" applyBorder="1" applyAlignment="1">
      <alignment horizontal="center" vertical="center" wrapText="1"/>
    </xf>
    <xf numFmtId="3" fontId="20" fillId="2" borderId="35" xfId="4" applyNumberFormat="1" applyFont="1" applyFill="1" applyBorder="1" applyAlignment="1">
      <alignment horizontal="center" vertical="center" wrapText="1"/>
    </xf>
    <xf numFmtId="3" fontId="20" fillId="2" borderId="12" xfId="4" applyNumberFormat="1" applyFont="1" applyFill="1" applyBorder="1" applyAlignment="1">
      <alignment horizontal="center" vertical="center" wrapText="1"/>
    </xf>
    <xf numFmtId="3" fontId="25" fillId="22" borderId="122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5" fillId="2" borderId="12" xfId="4" applyNumberFormat="1" applyFont="1" applyFill="1" applyBorder="1" applyAlignment="1">
      <alignment horizontal="center" vertical="center" wrapText="1"/>
    </xf>
    <xf numFmtId="0" fontId="4" fillId="0" borderId="46" xfId="0" applyFont="1" applyBorder="1"/>
    <xf numFmtId="3" fontId="25" fillId="2" borderId="189" xfId="4" applyNumberFormat="1" applyFont="1" applyFill="1" applyBorder="1" applyAlignment="1">
      <alignment horizontal="center" vertical="center" wrapText="1"/>
    </xf>
    <xf numFmtId="3" fontId="25" fillId="2" borderId="10" xfId="4" applyNumberFormat="1" applyFont="1" applyFill="1" applyBorder="1" applyAlignment="1">
      <alignment horizontal="center" vertical="center" wrapText="1"/>
    </xf>
    <xf numFmtId="3" fontId="25" fillId="2" borderId="72" xfId="4" applyNumberFormat="1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3" fontId="25" fillId="25" borderId="132" xfId="0" applyNumberFormat="1" applyFont="1" applyFill="1" applyBorder="1" applyAlignment="1">
      <alignment horizontal="center" vertical="center"/>
    </xf>
    <xf numFmtId="3" fontId="25" fillId="25" borderId="75" xfId="0" applyNumberFormat="1" applyFont="1" applyFill="1" applyBorder="1" applyAlignment="1">
      <alignment horizontal="center" vertical="center"/>
    </xf>
    <xf numFmtId="3" fontId="25" fillId="25" borderId="76" xfId="0" applyNumberFormat="1" applyFont="1" applyFill="1" applyBorder="1" applyAlignment="1">
      <alignment horizontal="center" vertical="center"/>
    </xf>
    <xf numFmtId="0" fontId="26" fillId="0" borderId="84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6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66" xfId="0" applyFont="1" applyFill="1" applyBorder="1" applyAlignment="1">
      <alignment horizontal="center" vertical="center" wrapText="1"/>
    </xf>
    <xf numFmtId="3" fontId="25" fillId="2" borderId="176" xfId="4" applyNumberFormat="1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/>
    </xf>
    <xf numFmtId="3" fontId="25" fillId="2" borderId="12" xfId="4" applyNumberFormat="1" applyFont="1" applyFill="1" applyBorder="1" applyAlignment="1">
      <alignment horizontal="center" vertical="center"/>
    </xf>
    <xf numFmtId="3" fontId="25" fillId="25" borderId="171" xfId="0" applyNumberFormat="1" applyFont="1" applyFill="1" applyBorder="1" applyAlignment="1">
      <alignment horizontal="center" vertical="center"/>
    </xf>
    <xf numFmtId="3" fontId="25" fillId="25" borderId="27" xfId="0" applyNumberFormat="1" applyFont="1" applyFill="1" applyBorder="1" applyAlignment="1">
      <alignment horizontal="center" vertical="center"/>
    </xf>
    <xf numFmtId="3" fontId="25" fillId="25" borderId="23" xfId="0" applyNumberFormat="1" applyFont="1" applyFill="1" applyBorder="1" applyAlignment="1">
      <alignment horizontal="center" vertical="center"/>
    </xf>
    <xf numFmtId="0" fontId="21" fillId="0" borderId="40" xfId="0" applyFont="1" applyFill="1" applyBorder="1" applyAlignment="1">
      <alignment horizontal="center" vertical="center" wrapText="1"/>
    </xf>
    <xf numFmtId="0" fontId="21" fillId="0" borderId="65" xfId="0" applyFont="1" applyFill="1" applyBorder="1" applyAlignment="1">
      <alignment horizontal="center" vertical="center" wrapText="1"/>
    </xf>
    <xf numFmtId="0" fontId="21" fillId="0" borderId="67" xfId="0" applyFont="1" applyFill="1" applyBorder="1" applyAlignment="1">
      <alignment horizontal="center" vertical="center" wrapText="1"/>
    </xf>
    <xf numFmtId="0" fontId="21" fillId="0" borderId="77" xfId="0" applyFont="1" applyFill="1" applyBorder="1" applyAlignment="1">
      <alignment horizontal="center" vertical="center" wrapText="1"/>
    </xf>
    <xf numFmtId="0" fontId="4" fillId="0" borderId="77" xfId="0" applyFont="1" applyBorder="1"/>
    <xf numFmtId="0" fontId="23" fillId="0" borderId="171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3" fontId="25" fillId="2" borderId="171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/>
    </xf>
    <xf numFmtId="3" fontId="24" fillId="26" borderId="189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2" xfId="4" applyNumberFormat="1" applyFont="1" applyFill="1" applyBorder="1" applyAlignment="1">
      <alignment horizontal="center" vertical="center"/>
    </xf>
    <xf numFmtId="0" fontId="18" fillId="0" borderId="176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25" fillId="0" borderId="181" xfId="4" applyFont="1" applyFill="1" applyBorder="1" applyAlignment="1">
      <alignment horizontal="center" vertical="center" wrapText="1"/>
    </xf>
    <xf numFmtId="0" fontId="32" fillId="0" borderId="181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3" fontId="24" fillId="34" borderId="165" xfId="4" applyNumberFormat="1" applyFont="1" applyFill="1" applyBorder="1" applyAlignment="1">
      <alignment horizontal="center" vertical="center"/>
    </xf>
    <xf numFmtId="3" fontId="24" fillId="34" borderId="190" xfId="4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40" fillId="2" borderId="0" xfId="0" applyFont="1" applyFill="1" applyBorder="1" applyAlignment="1">
      <alignment horizontal="left" wrapText="1"/>
    </xf>
    <xf numFmtId="0" fontId="20" fillId="0" borderId="5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36" xfId="4" applyFont="1" applyBorder="1" applyAlignment="1">
      <alignment horizontal="center" vertical="center" wrapText="1"/>
    </xf>
    <xf numFmtId="0" fontId="4" fillId="19" borderId="9" xfId="0" applyFont="1" applyFill="1" applyBorder="1" applyAlignment="1">
      <alignment horizontal="center" vertical="center" wrapText="1"/>
    </xf>
    <xf numFmtId="3" fontId="25" fillId="22" borderId="164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18" fillId="0" borderId="175" xfId="4" applyFont="1" applyFill="1" applyBorder="1" applyAlignment="1">
      <alignment horizontal="center" vertical="center" wrapText="1"/>
    </xf>
    <xf numFmtId="0" fontId="18" fillId="0" borderId="117" xfId="4" applyFont="1" applyFill="1" applyBorder="1" applyAlignment="1">
      <alignment horizontal="center" vertical="center" wrapText="1"/>
    </xf>
    <xf numFmtId="0" fontId="24" fillId="2" borderId="181" xfId="4" applyFont="1" applyFill="1" applyBorder="1" applyAlignment="1">
      <alignment horizontal="center" vertical="center" wrapText="1"/>
    </xf>
    <xf numFmtId="0" fontId="24" fillId="2" borderId="181" xfId="4" applyFont="1" applyFill="1" applyBorder="1" applyAlignment="1">
      <alignment horizontal="center" vertical="center" wrapText="1" shrinkToFit="1"/>
    </xf>
    <xf numFmtId="0" fontId="24" fillId="2" borderId="37" xfId="4" applyFont="1" applyFill="1" applyBorder="1" applyAlignment="1">
      <alignment horizontal="center" vertical="center" wrapText="1" shrinkToFit="1"/>
    </xf>
    <xf numFmtId="3" fontId="24" fillId="22" borderId="165" xfId="4" applyNumberFormat="1" applyFont="1" applyFill="1" applyBorder="1" applyAlignment="1">
      <alignment horizontal="center" vertical="center"/>
    </xf>
    <xf numFmtId="3" fontId="24" fillId="22" borderId="190" xfId="4" applyNumberFormat="1" applyFont="1" applyFill="1" applyBorder="1" applyAlignment="1">
      <alignment horizontal="center" vertical="center"/>
    </xf>
    <xf numFmtId="0" fontId="18" fillId="0" borderId="64" xfId="4" applyFont="1" applyFill="1" applyBorder="1" applyAlignment="1">
      <alignment horizontal="center" vertical="center" wrapText="1"/>
    </xf>
    <xf numFmtId="0" fontId="18" fillId="0" borderId="65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25" fillId="2" borderId="114" xfId="4" applyFont="1" applyFill="1" applyBorder="1" applyAlignment="1">
      <alignment horizontal="center" vertical="center" wrapText="1"/>
    </xf>
    <xf numFmtId="0" fontId="4" fillId="0" borderId="114" xfId="0" applyFont="1" applyBorder="1"/>
    <xf numFmtId="0" fontId="32" fillId="0" borderId="114" xfId="0" applyFont="1" applyBorder="1" applyAlignment="1">
      <alignment horizontal="center" vertical="center" wrapText="1"/>
    </xf>
    <xf numFmtId="3" fontId="25" fillId="22" borderId="176" xfId="4" applyNumberFormat="1" applyFont="1" applyFill="1" applyBorder="1" applyAlignment="1">
      <alignment horizontal="center" vertical="center"/>
    </xf>
    <xf numFmtId="3" fontId="24" fillId="34" borderId="176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24" fillId="0" borderId="43" xfId="4" applyFont="1" applyFill="1" applyBorder="1" applyAlignment="1">
      <alignment horizontal="center" vertical="center"/>
    </xf>
    <xf numFmtId="0" fontId="18" fillId="0" borderId="27" xfId="4" applyFont="1" applyFill="1" applyBorder="1" applyAlignment="1">
      <alignment horizontal="center" vertical="center" wrapText="1"/>
    </xf>
    <xf numFmtId="0" fontId="25" fillId="2" borderId="181" xfId="4" applyFont="1" applyFill="1" applyBorder="1" applyAlignment="1">
      <alignment horizontal="center" vertical="center" wrapText="1"/>
    </xf>
    <xf numFmtId="0" fontId="32" fillId="0" borderId="181" xfId="0" applyFont="1" applyBorder="1" applyAlignment="1">
      <alignment horizontal="center" vertical="center" wrapText="1"/>
    </xf>
    <xf numFmtId="0" fontId="4" fillId="0" borderId="183" xfId="0" applyFont="1" applyBorder="1"/>
    <xf numFmtId="0" fontId="24" fillId="0" borderId="41" xfId="4" applyFont="1" applyFill="1" applyBorder="1" applyAlignment="1">
      <alignment horizontal="center" vertical="center"/>
    </xf>
    <xf numFmtId="0" fontId="18" fillId="0" borderId="23" xfId="4" applyFont="1" applyFill="1" applyBorder="1" applyAlignment="1">
      <alignment horizontal="center" vertical="center" wrapText="1"/>
    </xf>
    <xf numFmtId="0" fontId="25" fillId="2" borderId="22" xfId="4" applyFont="1" applyFill="1" applyBorder="1" applyAlignment="1">
      <alignment horizontal="center" vertical="center" wrapText="1"/>
    </xf>
    <xf numFmtId="0" fontId="4" fillId="0" borderId="11" xfId="0" applyFont="1" applyBorder="1"/>
    <xf numFmtId="0" fontId="18" fillId="0" borderId="15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horizontal="center" vertical="center" wrapText="1"/>
    </xf>
    <xf numFmtId="0" fontId="18" fillId="0" borderId="68" xfId="0" applyFont="1" applyFill="1" applyBorder="1" applyAlignment="1">
      <alignment horizontal="center" vertical="center" wrapText="1"/>
    </xf>
    <xf numFmtId="0" fontId="18" fillId="0" borderId="190" xfId="0" applyFont="1" applyFill="1" applyBorder="1" applyAlignment="1">
      <alignment horizontal="center" vertical="center" wrapText="1"/>
    </xf>
    <xf numFmtId="0" fontId="4" fillId="0" borderId="25" xfId="0" applyFont="1" applyBorder="1"/>
    <xf numFmtId="0" fontId="25" fillId="2" borderId="27" xfId="4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 wrapText="1"/>
    </xf>
    <xf numFmtId="0" fontId="18" fillId="0" borderId="44" xfId="0" applyFont="1" applyFill="1" applyBorder="1" applyAlignment="1">
      <alignment horizontal="center" vertical="center" wrapText="1"/>
    </xf>
    <xf numFmtId="0" fontId="18" fillId="0" borderId="117" xfId="0" applyFont="1" applyFill="1" applyBorder="1" applyAlignment="1">
      <alignment horizontal="center" vertical="center" wrapText="1"/>
    </xf>
    <xf numFmtId="3" fontId="24" fillId="26" borderId="24" xfId="4" applyNumberFormat="1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18" fillId="0" borderId="186" xfId="0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 wrapText="1"/>
    </xf>
    <xf numFmtId="0" fontId="4" fillId="0" borderId="52" xfId="0" applyFont="1" applyBorder="1" applyAlignment="1">
      <alignment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3" fontId="25" fillId="2" borderId="27" xfId="4" applyNumberFormat="1" applyFont="1" applyFill="1" applyBorder="1" applyAlignment="1">
      <alignment horizontal="center" vertical="center" wrapText="1"/>
    </xf>
    <xf numFmtId="0" fontId="25" fillId="2" borderId="37" xfId="4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71" xfId="4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0" fontId="4" fillId="0" borderId="84" xfId="0" applyFont="1" applyBorder="1" applyAlignment="1">
      <alignment vertical="center" wrapText="1"/>
    </xf>
    <xf numFmtId="0" fontId="25" fillId="2" borderId="200" xfId="4" applyFont="1" applyFill="1" applyBorder="1" applyAlignment="1">
      <alignment horizontal="center" vertical="center" wrapText="1"/>
    </xf>
    <xf numFmtId="0" fontId="25" fillId="8" borderId="22" xfId="0" applyFont="1" applyFill="1" applyBorder="1" applyAlignment="1">
      <alignment horizontal="center" vertical="center" wrapText="1"/>
    </xf>
    <xf numFmtId="0" fontId="25" fillId="8" borderId="38" xfId="0" applyFont="1" applyFill="1" applyBorder="1" applyAlignment="1">
      <alignment horizontal="center" vertical="center" wrapText="1"/>
    </xf>
    <xf numFmtId="3" fontId="25" fillId="28" borderId="40" xfId="0" applyNumberFormat="1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3" fontId="25" fillId="2" borderId="16" xfId="4" applyNumberFormat="1" applyFont="1" applyFill="1" applyBorder="1" applyAlignment="1">
      <alignment horizontal="center" vertical="center" wrapText="1"/>
    </xf>
    <xf numFmtId="0" fontId="25" fillId="2" borderId="0" xfId="4" applyFont="1" applyFill="1" applyBorder="1" applyAlignment="1">
      <alignment horizontal="center" vertical="center" wrapText="1"/>
    </xf>
    <xf numFmtId="3" fontId="17" fillId="26" borderId="176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66" xfId="0" applyFont="1" applyBorder="1" applyAlignment="1">
      <alignment horizontal="center" vertical="center" wrapText="1"/>
    </xf>
    <xf numFmtId="0" fontId="4" fillId="0" borderId="22" xfId="0" applyFont="1" applyBorder="1" applyAlignment="1">
      <alignment vertical="center"/>
    </xf>
    <xf numFmtId="0" fontId="18" fillId="0" borderId="12" xfId="4" applyFont="1" applyBorder="1" applyAlignment="1">
      <alignment horizontal="center" vertical="center" wrapText="1"/>
    </xf>
    <xf numFmtId="0" fontId="25" fillId="0" borderId="178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0" fontId="25" fillId="2" borderId="20" xfId="4" applyFont="1" applyFill="1" applyBorder="1" applyAlignment="1">
      <alignment horizontal="center" vertical="center" wrapText="1"/>
    </xf>
    <xf numFmtId="0" fontId="4" fillId="0" borderId="185" xfId="0" applyFont="1" applyBorder="1" applyAlignment="1">
      <alignment vertical="center" wrapText="1"/>
    </xf>
    <xf numFmtId="0" fontId="4" fillId="0" borderId="186" xfId="0" applyFont="1" applyBorder="1" applyAlignment="1">
      <alignment horizontal="center" vertical="center" wrapText="1"/>
    </xf>
    <xf numFmtId="3" fontId="24" fillId="26" borderId="4" xfId="4" applyNumberFormat="1" applyFont="1" applyFill="1" applyBorder="1" applyAlignment="1">
      <alignment horizontal="center" vertical="center"/>
    </xf>
    <xf numFmtId="0" fontId="25" fillId="32" borderId="178" xfId="4" applyFont="1" applyFill="1" applyBorder="1" applyAlignment="1">
      <alignment horizontal="center" vertical="center" wrapText="1"/>
    </xf>
    <xf numFmtId="0" fontId="25" fillId="32" borderId="20" xfId="4" applyFont="1" applyFill="1" applyBorder="1" applyAlignment="1">
      <alignment horizontal="center" vertical="center" wrapText="1"/>
    </xf>
    <xf numFmtId="0" fontId="25" fillId="32" borderId="27" xfId="4" applyFont="1" applyFill="1" applyBorder="1" applyAlignment="1">
      <alignment horizontal="center" vertical="center" wrapText="1"/>
    </xf>
    <xf numFmtId="0" fontId="25" fillId="32" borderId="23" xfId="4" applyFont="1" applyFill="1" applyBorder="1" applyAlignment="1">
      <alignment horizontal="center" vertical="center" wrapText="1"/>
    </xf>
    <xf numFmtId="0" fontId="22" fillId="0" borderId="186" xfId="112" applyFont="1" applyBorder="1" applyAlignment="1">
      <alignment horizontal="center" vertical="center" wrapText="1"/>
    </xf>
    <xf numFmtId="0" fontId="22" fillId="0" borderId="43" xfId="112" applyFont="1" applyBorder="1" applyAlignment="1">
      <alignment horizontal="center" vertical="center" wrapText="1"/>
    </xf>
    <xf numFmtId="0" fontId="22" fillId="0" borderId="41" xfId="112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18" fillId="0" borderId="64" xfId="112" applyFont="1" applyFill="1" applyBorder="1" applyAlignment="1">
      <alignment horizontal="center" vertical="center" wrapText="1"/>
    </xf>
    <xf numFmtId="0" fontId="18" fillId="0" borderId="65" xfId="112" applyFont="1" applyFill="1" applyBorder="1" applyAlignment="1">
      <alignment horizontal="center" vertical="center" wrapText="1"/>
    </xf>
    <xf numFmtId="0" fontId="4" fillId="0" borderId="65" xfId="112" applyFont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3" fontId="24" fillId="26" borderId="122" xfId="4" applyNumberFormat="1" applyFont="1" applyFill="1" applyBorder="1" applyAlignment="1">
      <alignment horizontal="center" vertical="center"/>
    </xf>
    <xf numFmtId="0" fontId="32" fillId="0" borderId="22" xfId="112" applyFont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17" fillId="0" borderId="40" xfId="0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vertical="center"/>
    </xf>
    <xf numFmtId="0" fontId="25" fillId="0" borderId="178" xfId="0" applyFont="1" applyFill="1" applyBorder="1" applyAlignment="1">
      <alignment horizontal="center" vertical="center" wrapText="1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2" fontId="4" fillId="0" borderId="25" xfId="112" applyNumberFormat="1" applyFont="1" applyBorder="1" applyAlignment="1">
      <alignment horizontal="center" vertical="center" wrapText="1"/>
    </xf>
    <xf numFmtId="0" fontId="22" fillId="0" borderId="46" xfId="112" applyFont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horizontal="left" vertical="center" wrapText="1"/>
    </xf>
    <xf numFmtId="2" fontId="60" fillId="0" borderId="25" xfId="112" applyNumberFormat="1" applyFont="1" applyBorder="1" applyAlignment="1">
      <alignment horizontal="center" vertical="center" wrapText="1"/>
    </xf>
    <xf numFmtId="0" fontId="30" fillId="0" borderId="67" xfId="4" applyFont="1" applyFill="1" applyBorder="1" applyAlignment="1">
      <alignment horizontal="center" vertical="center" wrapText="1"/>
    </xf>
    <xf numFmtId="3" fontId="25" fillId="28" borderId="176" xfId="0" applyNumberFormat="1" applyFont="1" applyFill="1" applyBorder="1" applyAlignment="1">
      <alignment horizontal="center" vertical="center" wrapText="1"/>
    </xf>
    <xf numFmtId="3" fontId="25" fillId="28" borderId="13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87" fillId="56" borderId="205" xfId="0" applyFont="1" applyFill="1" applyBorder="1" applyAlignment="1"/>
    <xf numFmtId="0" fontId="88" fillId="56" borderId="204" xfId="0" applyFont="1" applyFill="1" applyBorder="1"/>
    <xf numFmtId="0" fontId="0" fillId="0" borderId="204" xfId="0" applyFont="1" applyBorder="1"/>
    <xf numFmtId="0" fontId="68" fillId="0" borderId="205" xfId="0" applyFont="1" applyBorder="1" applyAlignment="1"/>
    <xf numFmtId="0" fontId="8" fillId="0" borderId="204" xfId="0" applyFont="1" applyBorder="1"/>
    <xf numFmtId="3" fontId="84" fillId="0" borderId="206" xfId="5" applyNumberFormat="1" applyFont="1" applyBorder="1" applyAlignment="1">
      <alignment horizontal="center" vertical="center"/>
    </xf>
    <xf numFmtId="0" fontId="84" fillId="0" borderId="207" xfId="5" applyFont="1" applyBorder="1" applyAlignment="1">
      <alignment horizontal="center" vertical="center" wrapText="1"/>
    </xf>
    <xf numFmtId="0" fontId="84" fillId="0" borderId="206" xfId="0" applyFont="1" applyBorder="1" applyAlignment="1">
      <alignment horizontal="center" vertical="center" wrapText="1"/>
    </xf>
    <xf numFmtId="3" fontId="73" fillId="0" borderId="206" xfId="5" applyNumberFormat="1" applyFont="1" applyBorder="1" applyAlignment="1">
      <alignment horizontal="center" vertical="center"/>
    </xf>
    <xf numFmtId="0" fontId="93" fillId="0" borderId="208" xfId="5" applyFont="1" applyBorder="1" applyAlignment="1">
      <alignment horizontal="left" vertical="center" wrapText="1"/>
    </xf>
    <xf numFmtId="3" fontId="93" fillId="0" borderId="206" xfId="5" applyNumberFormat="1" applyFont="1" applyBorder="1" applyAlignment="1">
      <alignment vertical="center"/>
    </xf>
    <xf numFmtId="0" fontId="98" fillId="0" borderId="207" xfId="0" applyFont="1" applyBorder="1" applyAlignment="1">
      <alignment horizontal="left" vertical="center" wrapText="1"/>
    </xf>
    <xf numFmtId="0" fontId="98" fillId="0" borderId="208" xfId="0" applyFont="1" applyBorder="1" applyAlignment="1">
      <alignment horizontal="left" vertical="center" wrapText="1"/>
    </xf>
    <xf numFmtId="0" fontId="98" fillId="0" borderId="209" xfId="0" applyFont="1" applyBorder="1" applyAlignment="1">
      <alignment horizontal="left" vertical="center" wrapText="1"/>
    </xf>
    <xf numFmtId="0" fontId="0" fillId="0" borderId="206" xfId="0" applyFont="1" applyBorder="1" applyAlignment="1"/>
    <xf numFmtId="0" fontId="0" fillId="0" borderId="204" xfId="0" applyFont="1" applyBorder="1" applyAlignment="1">
      <alignment horizontal="center"/>
    </xf>
    <xf numFmtId="0" fontId="93" fillId="0" borderId="208" xfId="5" applyFont="1" applyBorder="1" applyAlignment="1">
      <alignment horizontal="left" vertical="top" wrapText="1"/>
    </xf>
    <xf numFmtId="3" fontId="73" fillId="0" borderId="206" xfId="5" applyNumberFormat="1" applyFont="1" applyBorder="1" applyAlignment="1">
      <alignment vertical="center"/>
    </xf>
    <xf numFmtId="3" fontId="85" fillId="20" borderId="207" xfId="5" applyNumberFormat="1" applyFont="1" applyFill="1" applyBorder="1"/>
    <xf numFmtId="0" fontId="85" fillId="20" borderId="208" xfId="5" applyFont="1" applyFill="1" applyBorder="1" applyAlignment="1">
      <alignment horizontal="center" vertical="center"/>
    </xf>
    <xf numFmtId="3" fontId="85" fillId="20" borderId="206" xfId="5" applyNumberFormat="1" applyFont="1" applyFill="1" applyBorder="1" applyAlignment="1">
      <alignment vertical="center"/>
    </xf>
    <xf numFmtId="0" fontId="0" fillId="56" borderId="204" xfId="0" applyFont="1" applyFill="1" applyBorder="1"/>
    <xf numFmtId="0" fontId="90" fillId="56" borderId="204" xfId="0" applyFont="1" applyFill="1" applyBorder="1" applyAlignment="1">
      <alignment horizontal="center" vertical="center"/>
    </xf>
    <xf numFmtId="0" fontId="90" fillId="56" borderId="204" xfId="0" applyFont="1" applyFill="1" applyBorder="1" applyAlignment="1">
      <alignment horizontal="left" vertical="center" wrapText="1"/>
    </xf>
    <xf numFmtId="0" fontId="84" fillId="0" borderId="207" xfId="5" applyFont="1" applyBorder="1" applyAlignment="1">
      <alignment vertical="center" wrapText="1"/>
    </xf>
    <xf numFmtId="0" fontId="84" fillId="0" borderId="206" xfId="0" applyFont="1" applyBorder="1" applyAlignment="1">
      <alignment horizontal="center" vertical="center"/>
    </xf>
    <xf numFmtId="0" fontId="90" fillId="56" borderId="205" xfId="0" applyFont="1" applyFill="1" applyBorder="1" applyAlignment="1">
      <alignment horizontal="center" vertical="center"/>
    </xf>
    <xf numFmtId="0" fontId="93" fillId="0" borderId="207" xfId="5" applyFont="1" applyBorder="1" applyAlignment="1">
      <alignment vertical="center" wrapText="1"/>
    </xf>
    <xf numFmtId="0" fontId="89" fillId="0" borderId="206" xfId="0" applyFont="1" applyBorder="1" applyAlignment="1">
      <alignment vertical="center"/>
    </xf>
    <xf numFmtId="49" fontId="89" fillId="0" borderId="206" xfId="0" applyNumberFormat="1" applyFont="1" applyBorder="1" applyAlignment="1">
      <alignment horizontal="center" vertical="center"/>
    </xf>
    <xf numFmtId="49" fontId="99" fillId="0" borderId="206" xfId="0" applyNumberFormat="1" applyFont="1" applyBorder="1" applyAlignment="1">
      <alignment vertical="center" wrapText="1"/>
    </xf>
    <xf numFmtId="49" fontId="0" fillId="0" borderId="204" xfId="0" applyNumberFormat="1" applyFont="1" applyBorder="1" applyAlignment="1">
      <alignment horizontal="left" vertical="center" wrapText="1"/>
    </xf>
    <xf numFmtId="0" fontId="93" fillId="0" borderId="208" xfId="5" applyFont="1" applyBorder="1" applyAlignment="1">
      <alignment vertical="center" wrapText="1"/>
    </xf>
    <xf numFmtId="49" fontId="0" fillId="0" borderId="206" xfId="0" applyNumberFormat="1" applyBorder="1" applyAlignment="1">
      <alignment horizontal="center" vertical="center"/>
    </xf>
    <xf numFmtId="0" fontId="0" fillId="0" borderId="206" xfId="0" applyBorder="1" applyAlignment="1">
      <alignment horizontal="center" vertical="center" wrapText="1"/>
    </xf>
    <xf numFmtId="0" fontId="89" fillId="0" borderId="206" xfId="0" applyFont="1" applyBorder="1" applyAlignment="1">
      <alignment vertical="center" wrapText="1"/>
    </xf>
    <xf numFmtId="49" fontId="0" fillId="0" borderId="206" xfId="0" applyNumberFormat="1" applyBorder="1" applyAlignment="1">
      <alignment horizontal="left" vertical="center" wrapText="1"/>
    </xf>
    <xf numFmtId="0" fontId="0" fillId="0" borderId="204" xfId="0" applyFont="1" applyBorder="1" applyAlignment="1">
      <alignment horizontal="left" vertical="center"/>
    </xf>
    <xf numFmtId="49" fontId="0" fillId="0" borderId="206" xfId="0" applyNumberFormat="1" applyBorder="1" applyAlignment="1">
      <alignment horizontal="left" vertical="center"/>
    </xf>
    <xf numFmtId="0" fontId="0" fillId="0" borderId="206" xfId="0" applyBorder="1" applyAlignment="1">
      <alignment vertical="center"/>
    </xf>
    <xf numFmtId="49" fontId="0" fillId="0" borderId="206" xfId="0" applyNumberFormat="1" applyBorder="1" applyAlignment="1">
      <alignment vertical="center"/>
    </xf>
    <xf numFmtId="0" fontId="0" fillId="0" borderId="206" xfId="0" applyBorder="1" applyAlignment="1">
      <alignment vertical="center" wrapText="1"/>
    </xf>
    <xf numFmtId="0" fontId="89" fillId="0" borderId="204" xfId="0" applyFont="1" applyBorder="1"/>
    <xf numFmtId="49" fontId="89" fillId="0" borderId="204" xfId="0" applyNumberFormat="1" applyFont="1" applyBorder="1"/>
    <xf numFmtId="0" fontId="89" fillId="0" borderId="204" xfId="0" applyFont="1" applyBorder="1" applyAlignment="1">
      <alignment vertical="center"/>
    </xf>
    <xf numFmtId="3" fontId="73" fillId="0" borderId="207" xfId="5" applyNumberFormat="1" applyFont="1" applyBorder="1" applyAlignment="1">
      <alignment horizontal="center" vertical="center"/>
    </xf>
    <xf numFmtId="0" fontId="93" fillId="0" borderId="206" xfId="5" applyFont="1" applyBorder="1" applyAlignment="1">
      <alignment vertical="center" wrapText="1"/>
    </xf>
    <xf numFmtId="3" fontId="0" fillId="0" borderId="204" xfId="0" applyNumberFormat="1" applyFont="1" applyBorder="1"/>
    <xf numFmtId="0" fontId="19" fillId="0" borderId="204" xfId="0" applyFont="1" applyBorder="1" applyAlignment="1">
      <alignment vertical="top"/>
    </xf>
    <xf numFmtId="0" fontId="0" fillId="0" borderId="204" xfId="0" applyFont="1" applyBorder="1" applyAlignment="1">
      <alignment vertical="top"/>
    </xf>
    <xf numFmtId="3" fontId="0" fillId="0" borderId="204" xfId="0" applyNumberFormat="1" applyFont="1" applyBorder="1" applyAlignment="1">
      <alignment vertical="top"/>
    </xf>
    <xf numFmtId="0" fontId="11" fillId="0" borderId="204" xfId="0" applyFont="1" applyFill="1" applyBorder="1" applyAlignment="1"/>
    <xf numFmtId="0" fontId="14" fillId="2" borderId="204" xfId="3" applyFont="1" applyFill="1" applyBorder="1" applyAlignment="1">
      <alignment horizontal="right" vertical="center"/>
    </xf>
    <xf numFmtId="0" fontId="15" fillId="2" borderId="204" xfId="0" applyFont="1" applyFill="1" applyBorder="1" applyAlignment="1">
      <alignment horizontal="right" vertical="center"/>
    </xf>
    <xf numFmtId="0" fontId="0" fillId="0" borderId="204" xfId="0" applyFont="1" applyFill="1" applyBorder="1" applyAlignment="1">
      <alignment vertical="top"/>
    </xf>
    <xf numFmtId="0" fontId="16" fillId="2" borderId="210" xfId="4" applyFont="1" applyFill="1" applyBorder="1" applyAlignment="1">
      <alignment horizontal="left" vertical="center" wrapText="1"/>
    </xf>
    <xf numFmtId="0" fontId="16" fillId="2" borderId="211" xfId="4" applyFont="1" applyFill="1" applyBorder="1" applyAlignment="1">
      <alignment horizontal="left" vertical="center" wrapText="1"/>
    </xf>
    <xf numFmtId="0" fontId="16" fillId="2" borderId="212" xfId="4" applyFont="1" applyFill="1" applyBorder="1" applyAlignment="1">
      <alignment horizontal="left" vertical="center" wrapText="1"/>
    </xf>
    <xf numFmtId="0" fontId="17" fillId="0" borderId="213" xfId="4" applyFont="1" applyBorder="1" applyAlignment="1">
      <alignment horizontal="center" vertical="center"/>
    </xf>
    <xf numFmtId="0" fontId="17" fillId="0" borderId="214" xfId="4" applyFont="1" applyBorder="1" applyAlignment="1">
      <alignment horizontal="center" vertical="center" wrapText="1"/>
    </xf>
    <xf numFmtId="0" fontId="18" fillId="0" borderId="213" xfId="4" applyFont="1" applyBorder="1" applyAlignment="1">
      <alignment horizontal="center" vertical="center" wrapText="1"/>
    </xf>
    <xf numFmtId="0" fontId="18" fillId="0" borderId="215" xfId="4" applyFont="1" applyBorder="1" applyAlignment="1">
      <alignment horizontal="center" vertical="center" wrapText="1"/>
    </xf>
    <xf numFmtId="0" fontId="24" fillId="2" borderId="216" xfId="0" applyFont="1" applyFill="1" applyBorder="1" applyAlignment="1">
      <alignment horizontal="center" vertical="center" wrapText="1"/>
    </xf>
    <xf numFmtId="0" fontId="23" fillId="0" borderId="216" xfId="6" applyFont="1" applyBorder="1" applyAlignment="1">
      <alignment horizontal="center" vertical="center" wrapText="1"/>
    </xf>
    <xf numFmtId="0" fontId="25" fillId="0" borderId="217" xfId="4" applyFont="1" applyBorder="1" applyAlignment="1">
      <alignment horizontal="center" vertical="center" wrapText="1"/>
    </xf>
    <xf numFmtId="0" fontId="25" fillId="0" borderId="218" xfId="4" applyFont="1" applyBorder="1" applyAlignment="1">
      <alignment horizontal="center" vertical="center" wrapText="1"/>
    </xf>
    <xf numFmtId="0" fontId="25" fillId="0" borderId="219" xfId="4" applyFont="1" applyBorder="1" applyAlignment="1">
      <alignment horizontal="center" vertical="center" wrapText="1"/>
    </xf>
    <xf numFmtId="0" fontId="20" fillId="19" borderId="216" xfId="4" applyFont="1" applyFill="1" applyBorder="1" applyAlignment="1">
      <alignment horizontal="center" vertical="center" wrapText="1"/>
    </xf>
    <xf numFmtId="0" fontId="21" fillId="0" borderId="220" xfId="4" applyFont="1" applyBorder="1" applyAlignment="1">
      <alignment horizontal="center" vertical="center" wrapText="1"/>
    </xf>
    <xf numFmtId="0" fontId="0" fillId="0" borderId="204" xfId="0" applyFont="1" applyBorder="1" applyAlignment="1">
      <alignment vertical="center"/>
    </xf>
    <xf numFmtId="0" fontId="17" fillId="0" borderId="221" xfId="4" applyFont="1" applyBorder="1" applyAlignment="1">
      <alignment horizontal="center" vertical="center"/>
    </xf>
    <xf numFmtId="0" fontId="17" fillId="0" borderId="206" xfId="4" applyFont="1" applyBorder="1" applyAlignment="1">
      <alignment horizontal="center" vertical="center" wrapText="1"/>
    </xf>
    <xf numFmtId="0" fontId="0" fillId="0" borderId="222" xfId="0" applyFont="1" applyBorder="1" applyAlignment="1">
      <alignment horizontal="center" vertical="center" wrapText="1"/>
    </xf>
    <xf numFmtId="0" fontId="22" fillId="0" borderId="212" xfId="6" applyFont="1" applyBorder="1" applyAlignment="1">
      <alignment horizontal="center" vertical="center" wrapText="1"/>
    </xf>
    <xf numFmtId="0" fontId="25" fillId="32" borderId="211" xfId="4" applyFont="1" applyFill="1" applyBorder="1" applyAlignment="1">
      <alignment horizontal="center" vertical="center" wrapText="1"/>
    </xf>
    <xf numFmtId="0" fontId="23" fillId="0" borderId="211" xfId="6" applyFont="1" applyBorder="1" applyAlignment="1">
      <alignment horizontal="center" vertical="center"/>
    </xf>
    <xf numFmtId="0" fontId="23" fillId="0" borderId="211" xfId="6" applyFont="1" applyBorder="1" applyAlignment="1">
      <alignment horizontal="center" vertical="center"/>
    </xf>
    <xf numFmtId="0" fontId="0" fillId="19" borderId="211" xfId="0" applyFont="1" applyFill="1" applyBorder="1" applyAlignment="1">
      <alignment horizontal="center" vertical="center" wrapText="1"/>
    </xf>
    <xf numFmtId="0" fontId="21" fillId="0" borderId="223" xfId="4" applyFont="1" applyBorder="1" applyAlignment="1">
      <alignment horizontal="center" vertical="center" wrapText="1"/>
    </xf>
    <xf numFmtId="3" fontId="0" fillId="0" borderId="204" xfId="0" applyNumberFormat="1" applyFont="1" applyBorder="1" applyAlignment="1">
      <alignment vertical="center"/>
    </xf>
    <xf numFmtId="0" fontId="18" fillId="0" borderId="224" xfId="4" applyFont="1" applyBorder="1" applyAlignment="1">
      <alignment horizontal="center" vertical="center"/>
    </xf>
    <xf numFmtId="0" fontId="18" fillId="0" borderId="225" xfId="4" applyFont="1" applyBorder="1" applyAlignment="1">
      <alignment horizontal="center" vertical="center"/>
    </xf>
    <xf numFmtId="0" fontId="22" fillId="0" borderId="226" xfId="0" applyFont="1" applyBorder="1" applyAlignment="1">
      <alignment horizontal="center" vertical="center" wrapText="1"/>
    </xf>
    <xf numFmtId="0" fontId="22" fillId="0" borderId="227" xfId="6" applyFont="1" applyBorder="1" applyAlignment="1">
      <alignment horizontal="center" vertical="center" wrapText="1"/>
    </xf>
    <xf numFmtId="0" fontId="22" fillId="0" borderId="228" xfId="6" applyFont="1" applyBorder="1" applyAlignment="1">
      <alignment horizontal="center" vertical="center"/>
    </xf>
    <xf numFmtId="0" fontId="22" fillId="0" borderId="229" xfId="6" applyFont="1" applyBorder="1" applyAlignment="1">
      <alignment horizontal="center" vertical="center"/>
    </xf>
    <xf numFmtId="0" fontId="22" fillId="19" borderId="228" xfId="0" applyFont="1" applyFill="1" applyBorder="1" applyAlignment="1">
      <alignment horizontal="center" vertical="center" wrapText="1"/>
    </xf>
    <xf numFmtId="0" fontId="21" fillId="0" borderId="225" xfId="4" applyFont="1" applyBorder="1" applyAlignment="1">
      <alignment horizontal="center" vertical="center" wrapText="1"/>
    </xf>
    <xf numFmtId="3" fontId="22" fillId="0" borderId="204" xfId="0" applyNumberFormat="1" applyFont="1" applyBorder="1" applyAlignment="1">
      <alignment vertical="center"/>
    </xf>
    <xf numFmtId="0" fontId="22" fillId="0" borderId="204" xfId="0" applyFont="1" applyBorder="1" applyAlignment="1">
      <alignment vertical="center"/>
    </xf>
    <xf numFmtId="0" fontId="19" fillId="0" borderId="230" xfId="0" applyFont="1" applyBorder="1" applyAlignment="1">
      <alignment vertical="top"/>
    </xf>
    <xf numFmtId="0" fontId="27" fillId="55" borderId="231" xfId="4" applyFont="1" applyFill="1" applyBorder="1" applyAlignment="1">
      <alignment horizontal="left" vertical="center"/>
    </xf>
    <xf numFmtId="0" fontId="27" fillId="55" borderId="232" xfId="4" applyFont="1" applyFill="1" applyBorder="1" applyAlignment="1">
      <alignment horizontal="left" vertical="center"/>
    </xf>
    <xf numFmtId="3" fontId="27" fillId="55" borderId="219" xfId="4" applyNumberFormat="1" applyFont="1" applyFill="1" applyBorder="1" applyAlignment="1">
      <alignment horizontal="right" vertical="center"/>
    </xf>
    <xf numFmtId="3" fontId="27" fillId="21" borderId="214" xfId="4" applyNumberFormat="1" applyFont="1" applyFill="1" applyBorder="1" applyAlignment="1">
      <alignment horizontal="right" vertical="center"/>
    </xf>
    <xf numFmtId="0" fontId="0" fillId="0" borderId="220" xfId="0" applyFont="1" applyBorder="1" applyAlignment="1">
      <alignment vertical="center"/>
    </xf>
    <xf numFmtId="0" fontId="19" fillId="0" borderId="233" xfId="0" applyFont="1" applyBorder="1" applyAlignment="1">
      <alignment vertical="top"/>
    </xf>
    <xf numFmtId="0" fontId="27" fillId="55" borderId="234" xfId="4" applyFont="1" applyFill="1" applyBorder="1" applyAlignment="1">
      <alignment horizontal="left" vertical="center"/>
    </xf>
    <xf numFmtId="0" fontId="27" fillId="55" borderId="235" xfId="4" applyFont="1" applyFill="1" applyBorder="1" applyAlignment="1">
      <alignment horizontal="left" vertical="center"/>
    </xf>
    <xf numFmtId="3" fontId="27" fillId="55" borderId="236" xfId="4" applyNumberFormat="1" applyFont="1" applyFill="1" applyBorder="1" applyAlignment="1">
      <alignment horizontal="right" vertical="center"/>
    </xf>
    <xf numFmtId="3" fontId="27" fillId="21" borderId="237" xfId="4" applyNumberFormat="1" applyFont="1" applyFill="1" applyBorder="1" applyAlignment="1">
      <alignment horizontal="right" vertical="center"/>
    </xf>
    <xf numFmtId="3" fontId="18" fillId="8" borderId="238" xfId="4" applyNumberFormat="1" applyFont="1" applyFill="1" applyBorder="1" applyAlignment="1">
      <alignment vertical="center" wrapText="1"/>
    </xf>
    <xf numFmtId="0" fontId="27" fillId="55" borderId="234" xfId="0" applyFont="1" applyFill="1" applyBorder="1" applyAlignment="1">
      <alignment horizontal="left" vertical="center"/>
    </xf>
    <xf numFmtId="0" fontId="28" fillId="55" borderId="235" xfId="0" quotePrefix="1" applyFont="1" applyFill="1" applyBorder="1" applyAlignment="1">
      <alignment horizontal="center" vertical="center"/>
    </xf>
    <xf numFmtId="3" fontId="27" fillId="55" borderId="236" xfId="0" quotePrefix="1" applyNumberFormat="1" applyFont="1" applyFill="1" applyBorder="1" applyAlignment="1">
      <alignment horizontal="right" vertical="center"/>
    </xf>
    <xf numFmtId="3" fontId="27" fillId="21" borderId="211" xfId="4" applyNumberFormat="1" applyFont="1" applyFill="1" applyBorder="1" applyAlignment="1">
      <alignment horizontal="right" vertical="center"/>
    </xf>
    <xf numFmtId="0" fontId="25" fillId="6" borderId="231" xfId="4" applyFont="1" applyFill="1" applyBorder="1" applyAlignment="1">
      <alignment horizontal="left" vertical="center"/>
    </xf>
    <xf numFmtId="0" fontId="25" fillId="6" borderId="218" xfId="4" applyFont="1" applyFill="1" applyBorder="1" applyAlignment="1">
      <alignment horizontal="left" vertical="center"/>
    </xf>
    <xf numFmtId="3" fontId="24" fillId="6" borderId="214" xfId="4" applyNumberFormat="1" applyFont="1" applyFill="1" applyBorder="1" applyAlignment="1">
      <alignment vertical="center"/>
    </xf>
    <xf numFmtId="3" fontId="24" fillId="22" borderId="214" xfId="4" applyNumberFormat="1" applyFont="1" applyFill="1" applyBorder="1" applyAlignment="1">
      <alignment vertical="center"/>
    </xf>
    <xf numFmtId="3" fontId="18" fillId="8" borderId="239" xfId="4" applyNumberFormat="1" applyFont="1" applyFill="1" applyBorder="1" applyAlignment="1">
      <alignment vertical="center" wrapText="1"/>
    </xf>
    <xf numFmtId="3" fontId="39" fillId="0" borderId="204" xfId="0" applyNumberFormat="1" applyFont="1" applyBorder="1" applyAlignment="1">
      <alignment vertical="center"/>
    </xf>
    <xf numFmtId="0" fontId="29" fillId="8" borderId="240" xfId="4" applyFont="1" applyFill="1" applyBorder="1" applyAlignment="1">
      <alignment vertical="center"/>
    </xf>
    <xf numFmtId="0" fontId="29" fillId="8" borderId="241" xfId="4" applyFont="1" applyFill="1" applyBorder="1" applyAlignment="1">
      <alignment vertical="center"/>
    </xf>
    <xf numFmtId="3" fontId="29" fillId="8" borderId="209" xfId="4" applyNumberFormat="1" applyFont="1" applyFill="1" applyBorder="1" applyAlignment="1">
      <alignment vertical="center"/>
    </xf>
    <xf numFmtId="3" fontId="29" fillId="23" borderId="206" xfId="4" applyNumberFormat="1" applyFont="1" applyFill="1" applyBorder="1" applyAlignment="1">
      <alignment vertical="center"/>
    </xf>
    <xf numFmtId="3" fontId="30" fillId="8" borderId="239" xfId="4" applyNumberFormat="1" applyFont="1" applyFill="1" applyBorder="1" applyAlignment="1">
      <alignment vertical="center" wrapText="1"/>
    </xf>
    <xf numFmtId="3" fontId="60" fillId="0" borderId="204" xfId="0" applyNumberFormat="1" applyFont="1" applyBorder="1" applyAlignment="1">
      <alignment vertical="center"/>
    </xf>
    <xf numFmtId="0" fontId="39" fillId="0" borderId="204" xfId="0" applyFont="1" applyBorder="1" applyAlignment="1">
      <alignment vertical="center"/>
    </xf>
    <xf numFmtId="0" fontId="7" fillId="8" borderId="242" xfId="4" applyFont="1" applyFill="1" applyBorder="1" applyAlignment="1">
      <alignment vertical="center" wrapText="1"/>
    </xf>
    <xf numFmtId="0" fontId="7" fillId="8" borderId="221" xfId="4" applyFont="1" applyFill="1" applyBorder="1" applyAlignment="1">
      <alignment vertical="center"/>
    </xf>
    <xf numFmtId="3" fontId="7" fillId="8" borderId="209" xfId="4" applyNumberFormat="1" applyFont="1" applyFill="1" applyBorder="1" applyAlignment="1">
      <alignment vertical="center"/>
    </xf>
    <xf numFmtId="3" fontId="31" fillId="23" borderId="206" xfId="4" applyNumberFormat="1" applyFont="1" applyFill="1" applyBorder="1" applyAlignment="1">
      <alignment horizontal="right" vertical="center"/>
    </xf>
    <xf numFmtId="3" fontId="7" fillId="8" borderId="241" xfId="4" applyNumberFormat="1" applyFont="1" applyFill="1" applyBorder="1" applyAlignment="1">
      <alignment vertical="center" wrapText="1"/>
    </xf>
    <xf numFmtId="0" fontId="18" fillId="8" borderId="239" xfId="4" applyFont="1" applyFill="1" applyBorder="1" applyAlignment="1">
      <alignment vertical="center" wrapText="1"/>
    </xf>
    <xf numFmtId="3" fontId="31" fillId="25" borderId="209" xfId="4" applyNumberFormat="1" applyFont="1" applyFill="1" applyBorder="1" applyAlignment="1">
      <alignment horizontal="right" vertical="center"/>
    </xf>
    <xf numFmtId="0" fontId="29" fillId="8" borderId="221" xfId="4" applyFont="1" applyFill="1" applyBorder="1" applyAlignment="1">
      <alignment vertical="center"/>
    </xf>
    <xf numFmtId="3" fontId="27" fillId="23" borderId="206" xfId="4" applyNumberFormat="1" applyFont="1" applyFill="1" applyBorder="1" applyAlignment="1">
      <alignment vertical="center"/>
    </xf>
    <xf numFmtId="0" fontId="30" fillId="8" borderId="239" xfId="4" applyFont="1" applyFill="1" applyBorder="1" applyAlignment="1">
      <alignment vertical="center" wrapText="1"/>
    </xf>
    <xf numFmtId="0" fontId="7" fillId="8" borderId="241" xfId="4" applyFont="1" applyFill="1" applyBorder="1" applyAlignment="1">
      <alignment vertical="center" wrapText="1"/>
    </xf>
    <xf numFmtId="0" fontId="25" fillId="6" borderId="242" xfId="4" applyFont="1" applyFill="1" applyBorder="1" applyAlignment="1">
      <alignment horizontal="left" vertical="center"/>
    </xf>
    <xf numFmtId="0" fontId="25" fillId="6" borderId="241" xfId="4" applyFont="1" applyFill="1" applyBorder="1" applyAlignment="1">
      <alignment horizontal="left" vertical="center"/>
    </xf>
    <xf numFmtId="3" fontId="25" fillId="6" borderId="209" xfId="4" applyNumberFormat="1" applyFont="1" applyFill="1" applyBorder="1" applyAlignment="1">
      <alignment vertical="center"/>
    </xf>
    <xf numFmtId="0" fontId="0" fillId="70" borderId="243" xfId="3" applyFont="1" applyFill="1" applyBorder="1" applyAlignment="1">
      <alignment horizontal="center" vertical="center"/>
    </xf>
    <xf numFmtId="3" fontId="27" fillId="8" borderId="242" xfId="4" applyNumberFormat="1" applyFont="1" applyFill="1" applyBorder="1" applyAlignment="1">
      <alignment vertical="center" wrapText="1"/>
    </xf>
    <xf numFmtId="3" fontId="27" fillId="8" borderId="241" xfId="4" applyNumberFormat="1" applyFont="1" applyFill="1" applyBorder="1" applyAlignment="1">
      <alignment vertical="center" wrapText="1"/>
    </xf>
    <xf numFmtId="3" fontId="27" fillId="8" borderId="209" xfId="4" applyNumberFormat="1" applyFont="1" applyFill="1" applyBorder="1" applyAlignment="1">
      <alignment vertical="center"/>
    </xf>
    <xf numFmtId="0" fontId="0" fillId="70" borderId="236" xfId="3" applyFont="1" applyFill="1" applyBorder="1" applyAlignment="1">
      <alignment horizontal="center" vertical="center"/>
    </xf>
    <xf numFmtId="0" fontId="7" fillId="8" borderId="240" xfId="4" applyFont="1" applyFill="1" applyBorder="1" applyAlignment="1">
      <alignment vertical="center"/>
    </xf>
    <xf numFmtId="3" fontId="7" fillId="8" borderId="221" xfId="4" applyNumberFormat="1" applyFont="1" applyFill="1" applyBorder="1" applyAlignment="1">
      <alignment horizontal="left" vertical="center"/>
    </xf>
    <xf numFmtId="0" fontId="27" fillId="8" borderId="242" xfId="4" applyFont="1" applyFill="1" applyBorder="1" applyAlignment="1">
      <alignment vertical="center"/>
    </xf>
    <xf numFmtId="0" fontId="27" fillId="8" borderId="241" xfId="4" applyFont="1" applyFill="1" applyBorder="1" applyAlignment="1">
      <alignment vertical="center"/>
    </xf>
    <xf numFmtId="0" fontId="19" fillId="0" borderId="244" xfId="0" applyFont="1" applyBorder="1" applyAlignment="1">
      <alignment vertical="top"/>
    </xf>
    <xf numFmtId="0" fontId="7" fillId="8" borderId="245" xfId="4" applyFont="1" applyFill="1" applyBorder="1" applyAlignment="1">
      <alignment vertical="center" wrapText="1"/>
    </xf>
    <xf numFmtId="0" fontId="7" fillId="8" borderId="246" xfId="4" applyFont="1" applyFill="1" applyBorder="1" applyAlignment="1">
      <alignment vertical="center"/>
    </xf>
    <xf numFmtId="3" fontId="7" fillId="8" borderId="247" xfId="4" applyNumberFormat="1" applyFont="1" applyFill="1" applyBorder="1" applyAlignment="1">
      <alignment vertical="center"/>
    </xf>
    <xf numFmtId="0" fontId="0" fillId="70" borderId="210" xfId="3" applyFont="1" applyFill="1" applyBorder="1" applyAlignment="1">
      <alignment horizontal="center" vertical="center"/>
    </xf>
    <xf numFmtId="0" fontId="18" fillId="8" borderId="248" xfId="4" applyFont="1" applyFill="1" applyBorder="1" applyAlignment="1">
      <alignment vertical="center" wrapText="1"/>
    </xf>
    <xf numFmtId="0" fontId="17" fillId="2" borderId="249" xfId="0" quotePrefix="1" applyFont="1" applyFill="1" applyBorder="1" applyAlignment="1">
      <alignment horizontal="center" vertical="center" wrapText="1"/>
    </xf>
    <xf numFmtId="0" fontId="24" fillId="8" borderId="231" xfId="0" applyFont="1" applyFill="1" applyBorder="1" applyAlignment="1">
      <alignment vertical="center" wrapText="1"/>
    </xf>
    <xf numFmtId="0" fontId="24" fillId="8" borderId="219" xfId="0" applyFont="1" applyFill="1" applyBorder="1" applyAlignment="1">
      <alignment horizontal="center" vertical="center" wrapText="1"/>
    </xf>
    <xf numFmtId="3" fontId="25" fillId="8" borderId="217" xfId="0" applyNumberFormat="1" applyFont="1" applyFill="1" applyBorder="1" applyAlignment="1">
      <alignment vertical="top"/>
    </xf>
    <xf numFmtId="3" fontId="25" fillId="8" borderId="218" xfId="0" applyNumberFormat="1" applyFont="1" applyFill="1" applyBorder="1" applyAlignment="1">
      <alignment vertical="top"/>
    </xf>
    <xf numFmtId="3" fontId="25" fillId="8" borderId="218" xfId="0" applyNumberFormat="1" applyFont="1" applyFill="1" applyBorder="1" applyAlignment="1">
      <alignment vertical="center"/>
    </xf>
    <xf numFmtId="3" fontId="25" fillId="8" borderId="219" xfId="0" applyNumberFormat="1" applyFont="1" applyFill="1" applyBorder="1" applyAlignment="1">
      <alignment vertical="top"/>
    </xf>
    <xf numFmtId="3" fontId="25" fillId="23" borderId="250" xfId="0" applyNumberFormat="1" applyFont="1" applyFill="1" applyBorder="1" applyAlignment="1">
      <alignment vertical="top"/>
    </xf>
    <xf numFmtId="3" fontId="25" fillId="23" borderId="217" xfId="0" applyNumberFormat="1" applyFont="1" applyFill="1" applyBorder="1" applyAlignment="1">
      <alignment vertical="top"/>
    </xf>
    <xf numFmtId="0" fontId="18" fillId="0" borderId="251" xfId="0" applyFont="1" applyFill="1" applyBorder="1" applyAlignment="1">
      <alignment horizontal="center" vertical="center" wrapText="1"/>
    </xf>
    <xf numFmtId="0" fontId="17" fillId="2" borderId="252" xfId="0" quotePrefix="1" applyFont="1" applyFill="1" applyBorder="1" applyAlignment="1">
      <alignment horizontal="center" vertical="center" wrapText="1"/>
    </xf>
    <xf numFmtId="0" fontId="24" fillId="6" borderId="242" xfId="4" applyFont="1" applyFill="1" applyBorder="1" applyAlignment="1">
      <alignment horizontal="left" vertical="center"/>
    </xf>
    <xf numFmtId="0" fontId="7" fillId="6" borderId="209" xfId="0" applyFont="1" applyFill="1" applyBorder="1" applyAlignment="1">
      <alignment vertical="top"/>
    </xf>
    <xf numFmtId="3" fontId="25" fillId="6" borderId="206" xfId="0" applyNumberFormat="1" applyFont="1" applyFill="1" applyBorder="1" applyAlignment="1"/>
    <xf numFmtId="43" fontId="25" fillId="6" borderId="206" xfId="1" applyFont="1" applyFill="1" applyBorder="1" applyAlignment="1"/>
    <xf numFmtId="3" fontId="25" fillId="22" borderId="253" xfId="0" applyNumberFormat="1" applyFont="1" applyFill="1" applyBorder="1" applyAlignment="1"/>
    <xf numFmtId="3" fontId="25" fillId="22" borderId="207" xfId="0" applyNumberFormat="1" applyFont="1" applyFill="1" applyBorder="1" applyAlignment="1"/>
    <xf numFmtId="0" fontId="18" fillId="0" borderId="239" xfId="0" applyFont="1" applyFill="1" applyBorder="1" applyAlignment="1">
      <alignment horizontal="center" vertical="center" wrapText="1"/>
    </xf>
    <xf numFmtId="3" fontId="0" fillId="0" borderId="204" xfId="0" applyNumberFormat="1" applyFont="1" applyFill="1" applyBorder="1" applyAlignment="1">
      <alignment vertical="top"/>
    </xf>
    <xf numFmtId="3" fontId="29" fillId="2" borderId="242" xfId="4" applyNumberFormat="1" applyFont="1" applyFill="1" applyBorder="1" applyAlignment="1">
      <alignment vertical="top" wrapText="1"/>
    </xf>
    <xf numFmtId="0" fontId="24" fillId="0" borderId="254" xfId="0" applyFont="1" applyFill="1" applyBorder="1" applyAlignment="1">
      <alignment horizontal="center" vertical="center" wrapText="1"/>
    </xf>
    <xf numFmtId="3" fontId="27" fillId="2" borderId="206" xfId="0" applyNumberFormat="1" applyFont="1" applyFill="1" applyBorder="1" applyAlignment="1"/>
    <xf numFmtId="43" fontId="27" fillId="2" borderId="206" xfId="1" applyFont="1" applyFill="1" applyBorder="1" applyAlignment="1"/>
    <xf numFmtId="3" fontId="27" fillId="2" borderId="255" xfId="0" applyNumberFormat="1" applyFont="1" applyFill="1" applyBorder="1" applyAlignment="1">
      <alignment vertical="center"/>
    </xf>
    <xf numFmtId="3" fontId="27" fillId="25" borderId="253" xfId="0" applyNumberFormat="1" applyFont="1" applyFill="1" applyBorder="1" applyAlignment="1"/>
    <xf numFmtId="3" fontId="27" fillId="25" borderId="207" xfId="0" applyNumberFormat="1" applyFont="1" applyFill="1" applyBorder="1" applyAlignment="1"/>
    <xf numFmtId="0" fontId="7" fillId="0" borderId="242" xfId="0" applyFont="1" applyFill="1" applyBorder="1" applyAlignment="1">
      <alignment vertical="center"/>
    </xf>
    <xf numFmtId="0" fontId="24" fillId="0" borderId="235" xfId="0" applyFont="1" applyFill="1" applyBorder="1" applyAlignment="1">
      <alignment horizontal="center" vertical="center" wrapText="1"/>
    </xf>
    <xf numFmtId="3" fontId="31" fillId="0" borderId="206" xfId="4" applyNumberFormat="1" applyFont="1" applyFill="1" applyBorder="1" applyAlignment="1">
      <alignment vertical="center"/>
    </xf>
    <xf numFmtId="3" fontId="31" fillId="0" borderId="206" xfId="0" applyNumberFormat="1" applyFont="1" applyFill="1" applyBorder="1" applyAlignment="1">
      <alignment vertical="center"/>
    </xf>
    <xf numFmtId="3" fontId="31" fillId="25" borderId="207" xfId="0" applyNumberFormat="1" applyFont="1" applyFill="1" applyBorder="1" applyAlignment="1"/>
    <xf numFmtId="0" fontId="7" fillId="0" borderId="242" xfId="0" applyFont="1" applyFill="1" applyBorder="1" applyAlignment="1">
      <alignment vertical="top"/>
    </xf>
    <xf numFmtId="43" fontId="31" fillId="0" borderId="206" xfId="1" applyFont="1" applyFill="1" applyBorder="1" applyAlignment="1"/>
    <xf numFmtId="43" fontId="31" fillId="0" borderId="206" xfId="1" applyFont="1" applyFill="1" applyBorder="1" applyAlignment="1">
      <alignment vertical="top"/>
    </xf>
    <xf numFmtId="3" fontId="31" fillId="25" borderId="253" xfId="0" applyNumberFormat="1" applyFont="1" applyFill="1" applyBorder="1" applyAlignment="1">
      <alignment horizontal="center" vertical="top"/>
    </xf>
    <xf numFmtId="3" fontId="31" fillId="25" borderId="207" xfId="0" applyNumberFormat="1" applyFont="1" applyFill="1" applyBorder="1" applyAlignment="1">
      <alignment horizontal="center" vertical="top"/>
    </xf>
    <xf numFmtId="0" fontId="7" fillId="0" borderId="242" xfId="0" applyFont="1" applyFill="1" applyBorder="1" applyAlignment="1">
      <alignment horizontal="left" vertical="center"/>
    </xf>
    <xf numFmtId="3" fontId="31" fillId="25" borderId="253" xfId="0" applyNumberFormat="1" applyFont="1" applyFill="1" applyBorder="1" applyAlignment="1">
      <alignment vertical="top"/>
    </xf>
    <xf numFmtId="3" fontId="31" fillId="25" borderId="207" xfId="0" applyNumberFormat="1" applyFont="1" applyFill="1" applyBorder="1" applyAlignment="1">
      <alignment vertical="top"/>
    </xf>
    <xf numFmtId="43" fontId="0" fillId="0" borderId="206" xfId="1" applyFont="1" applyBorder="1"/>
    <xf numFmtId="3" fontId="27" fillId="23" borderId="253" xfId="0" applyNumberFormat="1" applyFont="1" applyFill="1" applyBorder="1" applyAlignment="1"/>
    <xf numFmtId="3" fontId="27" fillId="23" borderId="207" xfId="0" applyNumberFormat="1" applyFont="1" applyFill="1" applyBorder="1" applyAlignment="1"/>
    <xf numFmtId="0" fontId="24" fillId="0" borderId="221" xfId="0" applyFont="1" applyFill="1" applyBorder="1" applyAlignment="1">
      <alignment horizontal="center" vertical="center" wrapText="1"/>
    </xf>
    <xf numFmtId="3" fontId="31" fillId="25" borderId="256" xfId="0" applyNumberFormat="1" applyFont="1" applyFill="1" applyBorder="1" applyAlignment="1">
      <alignment vertical="top"/>
    </xf>
    <xf numFmtId="3" fontId="31" fillId="25" borderId="257" xfId="0" applyNumberFormat="1" applyFont="1" applyFill="1" applyBorder="1" applyAlignment="1">
      <alignment vertical="top"/>
    </xf>
    <xf numFmtId="0" fontId="18" fillId="0" borderId="258" xfId="0" applyFont="1" applyFill="1" applyBorder="1" applyAlignment="1">
      <alignment horizontal="center" vertical="center" wrapText="1"/>
    </xf>
    <xf numFmtId="3" fontId="25" fillId="6" borderId="255" xfId="0" applyNumberFormat="1" applyFont="1" applyFill="1" applyBorder="1" applyAlignment="1"/>
    <xf numFmtId="43" fontId="25" fillId="22" borderId="253" xfId="1" applyFont="1" applyFill="1" applyBorder="1" applyAlignment="1">
      <alignment horizontal="center" vertical="center"/>
    </xf>
    <xf numFmtId="43" fontId="25" fillId="22" borderId="207" xfId="1" applyFont="1" applyFill="1" applyBorder="1" applyAlignment="1">
      <alignment horizontal="center" vertical="center"/>
    </xf>
    <xf numFmtId="3" fontId="27" fillId="2" borderId="242" xfId="4" applyNumberFormat="1" applyFont="1" applyFill="1" applyBorder="1" applyAlignment="1">
      <alignment vertical="center" wrapText="1"/>
    </xf>
    <xf numFmtId="0" fontId="37" fillId="0" borderId="254" xfId="0" applyFont="1" applyBorder="1" applyAlignment="1">
      <alignment horizontal="center" vertical="center" wrapText="1"/>
    </xf>
    <xf numFmtId="3" fontId="27" fillId="2" borderId="206" xfId="0" applyNumberFormat="1" applyFont="1" applyFill="1" applyBorder="1" applyAlignment="1">
      <alignment vertical="center"/>
    </xf>
    <xf numFmtId="43" fontId="27" fillId="2" borderId="206" xfId="1" applyFont="1" applyFill="1" applyBorder="1" applyAlignment="1">
      <alignment vertical="center"/>
    </xf>
    <xf numFmtId="0" fontId="37" fillId="0" borderId="235" xfId="0" applyFont="1" applyBorder="1" applyAlignment="1">
      <alignment horizontal="center" vertical="center" wrapText="1"/>
    </xf>
    <xf numFmtId="0" fontId="27" fillId="2" borderId="242" xfId="4" applyFont="1" applyFill="1" applyBorder="1" applyAlignment="1">
      <alignment vertical="center"/>
    </xf>
    <xf numFmtId="43" fontId="31" fillId="0" borderId="206" xfId="1" applyFont="1" applyFill="1" applyBorder="1" applyAlignment="1">
      <alignment vertical="center"/>
    </xf>
    <xf numFmtId="0" fontId="17" fillId="2" borderId="259" xfId="0" quotePrefix="1" applyFont="1" applyFill="1" applyBorder="1" applyAlignment="1">
      <alignment horizontal="center" vertical="center" wrapText="1"/>
    </xf>
    <xf numFmtId="0" fontId="31" fillId="0" borderId="245" xfId="4" applyFont="1" applyFill="1" applyBorder="1" applyAlignment="1">
      <alignment vertical="center"/>
    </xf>
    <xf numFmtId="0" fontId="37" fillId="0" borderId="222" xfId="0" applyFont="1" applyBorder="1" applyAlignment="1">
      <alignment horizontal="center" vertical="center" wrapText="1"/>
    </xf>
    <xf numFmtId="3" fontId="31" fillId="0" borderId="247" xfId="4" applyNumberFormat="1" applyFont="1" applyFill="1" applyBorder="1" applyAlignment="1">
      <alignment vertical="center"/>
    </xf>
    <xf numFmtId="43" fontId="31" fillId="0" borderId="247" xfId="1" applyFont="1" applyFill="1" applyBorder="1" applyAlignment="1"/>
    <xf numFmtId="43" fontId="31" fillId="0" borderId="247" xfId="1" applyFont="1" applyFill="1" applyBorder="1" applyAlignment="1">
      <alignment vertical="center"/>
    </xf>
    <xf numFmtId="3" fontId="31" fillId="0" borderId="247" xfId="0" applyNumberFormat="1" applyFont="1" applyFill="1" applyBorder="1" applyAlignment="1">
      <alignment vertical="center"/>
    </xf>
    <xf numFmtId="3" fontId="31" fillId="25" borderId="260" xfId="0" applyNumberFormat="1" applyFont="1" applyFill="1" applyBorder="1" applyAlignment="1">
      <alignment vertical="top"/>
    </xf>
    <xf numFmtId="3" fontId="31" fillId="25" borderId="261" xfId="0" applyNumberFormat="1" applyFont="1" applyFill="1" applyBorder="1" applyAlignment="1">
      <alignment vertical="top"/>
    </xf>
    <xf numFmtId="0" fontId="18" fillId="0" borderId="248" xfId="0" applyFont="1" applyFill="1" applyBorder="1" applyAlignment="1">
      <alignment horizontal="center" vertical="center" wrapText="1"/>
    </xf>
    <xf numFmtId="0" fontId="16" fillId="2" borderId="262" xfId="0" applyFont="1" applyFill="1" applyBorder="1" applyAlignment="1">
      <alignment vertical="center"/>
    </xf>
    <xf numFmtId="0" fontId="34" fillId="2" borderId="262" xfId="0" applyFont="1" applyFill="1" applyBorder="1" applyAlignment="1">
      <alignment vertical="center"/>
    </xf>
    <xf numFmtId="0" fontId="34" fillId="0" borderId="262" xfId="0" applyFont="1" applyFill="1" applyBorder="1" applyAlignment="1">
      <alignment vertical="center"/>
    </xf>
    <xf numFmtId="0" fontId="34" fillId="0" borderId="204" xfId="0" applyFont="1" applyFill="1" applyBorder="1" applyAlignment="1">
      <alignment vertical="center"/>
    </xf>
    <xf numFmtId="0" fontId="17" fillId="2" borderId="263" xfId="0" applyFont="1" applyFill="1" applyBorder="1" applyAlignment="1">
      <alignment horizontal="center" vertical="top"/>
    </xf>
    <xf numFmtId="0" fontId="18" fillId="0" borderId="216" xfId="4" applyFont="1" applyBorder="1" applyAlignment="1">
      <alignment horizontal="center" vertical="center" wrapText="1"/>
    </xf>
    <xf numFmtId="0" fontId="24" fillId="2" borderId="216" xfId="0" applyFont="1" applyFill="1" applyBorder="1" applyAlignment="1">
      <alignment horizontal="center" vertical="center" wrapText="1"/>
    </xf>
    <xf numFmtId="0" fontId="17" fillId="0" borderId="251" xfId="4" applyFont="1" applyBorder="1" applyAlignment="1">
      <alignment horizontal="center" vertical="center" wrapText="1"/>
    </xf>
    <xf numFmtId="0" fontId="17" fillId="2" borderId="234" xfId="0" applyFont="1" applyFill="1" applyBorder="1" applyAlignment="1">
      <alignment horizontal="center" vertical="center"/>
    </xf>
    <xf numFmtId="0" fontId="17" fillId="2" borderId="204" xfId="0" applyFont="1" applyFill="1" applyBorder="1" applyAlignment="1">
      <alignment horizontal="center" vertical="center" wrapText="1"/>
    </xf>
    <xf numFmtId="0" fontId="18" fillId="0" borderId="235" xfId="4" applyFont="1" applyBorder="1" applyAlignment="1">
      <alignment horizontal="center" vertical="center" wrapText="1"/>
    </xf>
    <xf numFmtId="0" fontId="18" fillId="0" borderId="264" xfId="4" applyFont="1" applyBorder="1" applyAlignment="1">
      <alignment horizontal="center" vertical="center" wrapText="1"/>
    </xf>
    <xf numFmtId="0" fontId="24" fillId="2" borderId="264" xfId="0" applyFont="1" applyFill="1" applyBorder="1" applyAlignment="1">
      <alignment horizontal="center" vertical="center" wrapText="1"/>
    </xf>
    <xf numFmtId="0" fontId="23" fillId="0" borderId="264" xfId="6" applyFont="1" applyBorder="1" applyAlignment="1">
      <alignment horizontal="center" vertical="center" wrapText="1"/>
    </xf>
    <xf numFmtId="0" fontId="23" fillId="0" borderId="237" xfId="6" applyFont="1" applyBorder="1" applyAlignment="1">
      <alignment horizontal="center" vertical="center"/>
    </xf>
    <xf numFmtId="0" fontId="20" fillId="19" borderId="264" xfId="4" applyFont="1" applyFill="1" applyBorder="1" applyAlignment="1">
      <alignment horizontal="center" vertical="center" wrapText="1"/>
    </xf>
    <xf numFmtId="0" fontId="17" fillId="0" borderId="239" xfId="4" applyFont="1" applyBorder="1" applyAlignment="1">
      <alignment horizontal="center" vertical="center" wrapText="1"/>
    </xf>
    <xf numFmtId="0" fontId="17" fillId="2" borderId="265" xfId="0" applyFont="1" applyFill="1" applyBorder="1" applyAlignment="1">
      <alignment horizontal="center" vertical="top"/>
    </xf>
    <xf numFmtId="0" fontId="17" fillId="2" borderId="262" xfId="0" applyFont="1" applyFill="1" applyBorder="1" applyAlignment="1">
      <alignment horizontal="center" vertical="top"/>
    </xf>
    <xf numFmtId="0" fontId="18" fillId="0" borderId="222" xfId="4" applyFont="1" applyBorder="1" applyAlignment="1">
      <alignment horizontal="center" vertical="center" wrapText="1"/>
    </xf>
    <xf numFmtId="0" fontId="18" fillId="0" borderId="211" xfId="4" applyFont="1" applyBorder="1" applyAlignment="1">
      <alignment horizontal="center" vertical="center" wrapText="1"/>
    </xf>
    <xf numFmtId="0" fontId="24" fillId="2" borderId="211" xfId="0" applyFont="1" applyFill="1" applyBorder="1" applyAlignment="1">
      <alignment horizontal="center" vertical="center" wrapText="1"/>
    </xf>
    <xf numFmtId="0" fontId="23" fillId="0" borderId="211" xfId="6" applyFont="1" applyBorder="1" applyAlignment="1">
      <alignment horizontal="center" vertical="center" wrapText="1"/>
    </xf>
    <xf numFmtId="0" fontId="20" fillId="19" borderId="211" xfId="4" applyFont="1" applyFill="1" applyBorder="1" applyAlignment="1">
      <alignment horizontal="center" vertical="center" wrapText="1"/>
    </xf>
    <xf numFmtId="0" fontId="17" fillId="0" borderId="248" xfId="4" applyFont="1" applyBorder="1" applyAlignment="1">
      <alignment horizontal="center" vertical="center" wrapText="1"/>
    </xf>
    <xf numFmtId="0" fontId="21" fillId="2" borderId="241" xfId="0" applyFont="1" applyFill="1" applyBorder="1" applyAlignment="1">
      <alignment horizontal="center" vertical="top"/>
    </xf>
    <xf numFmtId="0" fontId="21" fillId="2" borderId="206" xfId="0" applyFont="1" applyFill="1" applyBorder="1" applyAlignment="1">
      <alignment horizontal="center" vertical="top"/>
    </xf>
    <xf numFmtId="0" fontId="21" fillId="2" borderId="206" xfId="0" quotePrefix="1" applyFont="1" applyFill="1" applyBorder="1" applyAlignment="1">
      <alignment horizontal="center" vertical="top"/>
    </xf>
    <xf numFmtId="0" fontId="21" fillId="26" borderId="206" xfId="0" quotePrefix="1" applyFont="1" applyFill="1" applyBorder="1" applyAlignment="1">
      <alignment horizontal="center" vertical="top"/>
    </xf>
    <xf numFmtId="0" fontId="21" fillId="2" borderId="253" xfId="0" quotePrefix="1" applyFont="1" applyFill="1" applyBorder="1" applyAlignment="1">
      <alignment horizontal="center" vertical="top"/>
    </xf>
    <xf numFmtId="0" fontId="21" fillId="0" borderId="204" xfId="0" applyFont="1" applyFill="1" applyBorder="1" applyAlignment="1">
      <alignment vertical="top"/>
    </xf>
    <xf numFmtId="3" fontId="7" fillId="0" borderId="204" xfId="0" applyNumberFormat="1" applyFont="1" applyFill="1" applyBorder="1" applyAlignment="1">
      <alignment vertical="top"/>
    </xf>
    <xf numFmtId="0" fontId="30" fillId="8" borderId="263" xfId="0" applyFont="1" applyFill="1" applyBorder="1" applyAlignment="1">
      <alignment vertical="top"/>
    </xf>
    <xf numFmtId="3" fontId="27" fillId="55" borderId="218" xfId="4" applyNumberFormat="1" applyFont="1" applyFill="1" applyBorder="1" applyAlignment="1">
      <alignment horizontal="right" vertical="center"/>
    </xf>
    <xf numFmtId="3" fontId="27" fillId="21" borderId="250" xfId="4" applyNumberFormat="1" applyFont="1" applyFill="1" applyBorder="1" applyAlignment="1">
      <alignment horizontal="right" vertical="center"/>
    </xf>
    <xf numFmtId="3" fontId="27" fillId="21" borderId="217" xfId="4" applyNumberFormat="1" applyFont="1" applyFill="1" applyBorder="1" applyAlignment="1">
      <alignment horizontal="right" vertical="center"/>
    </xf>
    <xf numFmtId="3" fontId="18" fillId="8" borderId="251" xfId="4" applyNumberFormat="1" applyFont="1" applyFill="1" applyBorder="1" applyAlignment="1">
      <alignment vertical="top" wrapText="1"/>
    </xf>
    <xf numFmtId="0" fontId="30" fillId="8" borderId="234" xfId="0" applyFont="1" applyFill="1" applyBorder="1" applyAlignment="1">
      <alignment vertical="top"/>
    </xf>
    <xf numFmtId="3" fontId="27" fillId="55" borderId="237" xfId="4" applyNumberFormat="1" applyFont="1" applyFill="1" applyBorder="1" applyAlignment="1">
      <alignment horizontal="right" vertical="center"/>
    </xf>
    <xf numFmtId="3" fontId="27" fillId="55" borderId="243" xfId="4" applyNumberFormat="1" applyFont="1" applyFill="1" applyBorder="1" applyAlignment="1">
      <alignment horizontal="right" vertical="center"/>
    </xf>
    <xf numFmtId="3" fontId="27" fillId="21" borderId="257" xfId="4" applyNumberFormat="1" applyFont="1" applyFill="1" applyBorder="1" applyAlignment="1">
      <alignment horizontal="right" vertical="center"/>
    </xf>
    <xf numFmtId="3" fontId="18" fillId="8" borderId="239" xfId="4" applyNumberFormat="1" applyFont="1" applyFill="1" applyBorder="1" applyAlignment="1">
      <alignment vertical="top" wrapText="1"/>
    </xf>
    <xf numFmtId="0" fontId="27" fillId="55" borderId="265" xfId="0" applyFont="1" applyFill="1" applyBorder="1" applyAlignment="1">
      <alignment horizontal="left" vertical="top"/>
    </xf>
    <xf numFmtId="0" fontId="28" fillId="55" borderId="222" xfId="0" quotePrefix="1" applyFont="1" applyFill="1" applyBorder="1" applyAlignment="1">
      <alignment horizontal="center" vertical="top"/>
    </xf>
    <xf numFmtId="3" fontId="27" fillId="55" borderId="210" xfId="0" quotePrefix="1" applyNumberFormat="1" applyFont="1" applyFill="1" applyBorder="1" applyAlignment="1">
      <alignment horizontal="right" vertical="top"/>
    </xf>
    <xf numFmtId="3" fontId="27" fillId="55" borderId="211" xfId="0" quotePrefix="1" applyNumberFormat="1" applyFont="1" applyFill="1" applyBorder="1" applyAlignment="1">
      <alignment horizontal="right" vertical="top"/>
    </xf>
    <xf numFmtId="3" fontId="27" fillId="21" borderId="212" xfId="4" applyNumberFormat="1" applyFont="1" applyFill="1" applyBorder="1" applyAlignment="1">
      <alignment horizontal="right" vertical="center"/>
    </xf>
    <xf numFmtId="0" fontId="25" fillId="6" borderId="240" xfId="4" applyFont="1" applyFill="1" applyBorder="1" applyAlignment="1">
      <alignment horizontal="left"/>
    </xf>
    <xf numFmtId="0" fontId="25" fillId="6" borderId="266" xfId="4" applyFont="1" applyFill="1" applyBorder="1" applyAlignment="1">
      <alignment horizontal="left"/>
    </xf>
    <xf numFmtId="3" fontId="25" fillId="6" borderId="205" xfId="0" applyNumberFormat="1" applyFont="1" applyFill="1" applyBorder="1" applyAlignment="1"/>
    <xf numFmtId="3" fontId="25" fillId="22" borderId="258" xfId="0" applyNumberFormat="1" applyFont="1" applyFill="1" applyBorder="1" applyAlignment="1"/>
    <xf numFmtId="3" fontId="25" fillId="22" borderId="267" xfId="0" applyNumberFormat="1" applyFont="1" applyFill="1" applyBorder="1" applyAlignment="1"/>
    <xf numFmtId="3" fontId="18" fillId="8" borderId="239" xfId="0" applyNumberFormat="1" applyFont="1" applyFill="1" applyBorder="1" applyAlignment="1">
      <alignment horizontal="center" vertical="top" wrapText="1"/>
    </xf>
    <xf numFmtId="3" fontId="21" fillId="0" borderId="204" xfId="0" applyNumberFormat="1" applyFont="1" applyFill="1" applyBorder="1" applyAlignment="1">
      <alignment vertical="top"/>
    </xf>
    <xf numFmtId="0" fontId="27" fillId="8" borderId="268" xfId="4" applyFont="1" applyFill="1" applyBorder="1" applyAlignment="1"/>
    <xf numFmtId="0" fontId="25" fillId="8" borderId="266" xfId="0" applyFont="1" applyFill="1" applyBorder="1" applyAlignment="1">
      <alignment wrapText="1"/>
    </xf>
    <xf numFmtId="3" fontId="25" fillId="8" borderId="255" xfId="0" applyNumberFormat="1" applyFont="1" applyFill="1" applyBorder="1" applyAlignment="1"/>
    <xf numFmtId="3" fontId="25" fillId="23" borderId="258" xfId="0" applyNumberFormat="1" applyFont="1" applyFill="1" applyBorder="1" applyAlignment="1"/>
    <xf numFmtId="3" fontId="25" fillId="23" borderId="267" xfId="0" applyNumberFormat="1" applyFont="1" applyFill="1" applyBorder="1" applyAlignment="1"/>
    <xf numFmtId="3" fontId="18" fillId="8" borderId="239" xfId="0" applyNumberFormat="1" applyFont="1" applyFill="1" applyBorder="1" applyAlignment="1">
      <alignment horizontal="center" vertical="center" wrapText="1"/>
    </xf>
    <xf numFmtId="0" fontId="21" fillId="0" borderId="204" xfId="0" applyFont="1" applyFill="1" applyBorder="1" applyAlignment="1">
      <alignment vertical="center"/>
    </xf>
    <xf numFmtId="3" fontId="21" fillId="0" borderId="204" xfId="0" applyNumberFormat="1" applyFont="1" applyFill="1" applyBorder="1" applyAlignment="1">
      <alignment vertical="center"/>
    </xf>
    <xf numFmtId="0" fontId="31" fillId="8" borderId="240" xfId="0" applyFont="1" applyFill="1" applyBorder="1" applyAlignment="1">
      <alignment vertical="center"/>
    </xf>
    <xf numFmtId="3" fontId="31" fillId="8" borderId="255" xfId="0" applyNumberFormat="1" applyFont="1" applyFill="1" applyBorder="1" applyAlignment="1"/>
    <xf numFmtId="3" fontId="31" fillId="23" borderId="253" xfId="0" applyNumberFormat="1" applyFont="1" applyFill="1" applyBorder="1" applyAlignment="1">
      <alignment vertical="center"/>
    </xf>
    <xf numFmtId="3" fontId="31" fillId="23" borderId="207" xfId="0" applyNumberFormat="1" applyFont="1" applyFill="1" applyBorder="1" applyAlignment="1">
      <alignment vertical="top"/>
    </xf>
    <xf numFmtId="0" fontId="31" fillId="8" borderId="266" xfId="0" applyFont="1" applyFill="1" applyBorder="1" applyAlignment="1">
      <alignment vertical="center"/>
    </xf>
    <xf numFmtId="3" fontId="31" fillId="8" borderId="206" xfId="0" applyNumberFormat="1" applyFont="1" applyFill="1" applyBorder="1" applyAlignment="1">
      <alignment vertical="center"/>
    </xf>
    <xf numFmtId="3" fontId="31" fillId="8" borderId="255" xfId="0" applyNumberFormat="1" applyFont="1" applyFill="1" applyBorder="1" applyAlignment="1">
      <alignment vertical="center"/>
    </xf>
    <xf numFmtId="3" fontId="31" fillId="23" borderId="253" xfId="0" applyNumberFormat="1" applyFont="1" applyFill="1" applyBorder="1" applyAlignment="1">
      <alignment vertical="top"/>
    </xf>
    <xf numFmtId="0" fontId="57" fillId="8" borderId="238" xfId="0" applyFont="1" applyFill="1" applyBorder="1" applyAlignment="1">
      <alignment horizontal="center" vertical="top" wrapText="1"/>
    </xf>
    <xf numFmtId="0" fontId="30" fillId="8" borderId="234" xfId="0" applyFont="1" applyFill="1" applyBorder="1" applyAlignment="1">
      <alignment vertical="center"/>
    </xf>
    <xf numFmtId="0" fontId="31" fillId="8" borderId="242" xfId="0" applyFont="1" applyFill="1" applyBorder="1" applyAlignment="1">
      <alignment vertical="center" wrapText="1"/>
    </xf>
    <xf numFmtId="3" fontId="7" fillId="23" borderId="253" xfId="0" applyNumberFormat="1" applyFont="1" applyFill="1" applyBorder="1" applyAlignment="1">
      <alignment vertical="center"/>
    </xf>
    <xf numFmtId="0" fontId="57" fillId="8" borderId="238" xfId="0" applyFont="1" applyFill="1" applyBorder="1" applyAlignment="1">
      <alignment horizontal="center" vertical="center" wrapText="1"/>
    </xf>
    <xf numFmtId="0" fontId="18" fillId="0" borderId="204" xfId="0" applyFont="1" applyFill="1" applyBorder="1" applyAlignment="1">
      <alignment vertical="center"/>
    </xf>
    <xf numFmtId="3" fontId="18" fillId="0" borderId="204" xfId="0" applyNumberFormat="1" applyFont="1" applyFill="1" applyBorder="1" applyAlignment="1">
      <alignment vertical="center"/>
    </xf>
    <xf numFmtId="0" fontId="17" fillId="8" borderId="234" xfId="0" applyFont="1" applyFill="1" applyBorder="1" applyAlignment="1">
      <alignment vertical="center"/>
    </xf>
    <xf numFmtId="0" fontId="27" fillId="8" borderId="268" xfId="4" applyFont="1" applyFill="1" applyBorder="1" applyAlignment="1">
      <alignment vertical="center"/>
    </xf>
    <xf numFmtId="0" fontId="25" fillId="8" borderId="266" xfId="0" applyFont="1" applyFill="1" applyBorder="1" applyAlignment="1">
      <alignment vertical="center" wrapText="1"/>
    </xf>
    <xf numFmtId="3" fontId="25" fillId="8" borderId="255" xfId="0" applyNumberFormat="1" applyFont="1" applyFill="1" applyBorder="1" applyAlignment="1">
      <alignment vertical="center"/>
    </xf>
    <xf numFmtId="3" fontId="18" fillId="8" borderId="238" xfId="0" applyNumberFormat="1" applyFont="1" applyFill="1" applyBorder="1" applyAlignment="1">
      <alignment horizontal="center" vertical="center" wrapText="1"/>
    </xf>
    <xf numFmtId="0" fontId="17" fillId="8" borderId="234" xfId="0" applyFont="1" applyFill="1" applyBorder="1" applyAlignment="1">
      <alignment vertical="top"/>
    </xf>
    <xf numFmtId="0" fontId="31" fillId="8" borderId="269" xfId="4" applyFont="1" applyFill="1" applyBorder="1" applyAlignment="1">
      <alignment vertical="top" wrapText="1"/>
    </xf>
    <xf numFmtId="0" fontId="31" fillId="8" borderId="241" xfId="0" applyFont="1" applyFill="1" applyBorder="1" applyAlignment="1">
      <alignment vertical="top" wrapText="1"/>
    </xf>
    <xf numFmtId="3" fontId="31" fillId="8" borderId="237" xfId="0" applyNumberFormat="1" applyFont="1" applyFill="1" applyBorder="1" applyAlignment="1">
      <alignment vertical="top"/>
    </xf>
    <xf numFmtId="0" fontId="18" fillId="8" borderId="238" xfId="0" applyFont="1" applyFill="1" applyBorder="1" applyAlignment="1">
      <alignment horizontal="center" vertical="top" wrapText="1"/>
    </xf>
    <xf numFmtId="0" fontId="25" fillId="6" borderId="266" xfId="4" applyFont="1" applyFill="1" applyBorder="1" applyAlignment="1">
      <alignment horizontal="left" vertical="center"/>
    </xf>
    <xf numFmtId="3" fontId="25" fillId="6" borderId="206" xfId="0" applyNumberFormat="1" applyFont="1" applyFill="1" applyBorder="1" applyAlignment="1">
      <alignment vertical="center"/>
    </xf>
    <xf numFmtId="3" fontId="25" fillId="22" borderId="256" xfId="0" applyNumberFormat="1" applyFont="1" applyFill="1" applyBorder="1" applyAlignment="1">
      <alignment horizontal="center" vertical="center"/>
    </xf>
    <xf numFmtId="0" fontId="18" fillId="8" borderId="238" xfId="0" applyFont="1" applyFill="1" applyBorder="1" applyAlignment="1">
      <alignment horizontal="center" vertical="center" wrapText="1"/>
    </xf>
    <xf numFmtId="3" fontId="25" fillId="22" borderId="239" xfId="0" applyNumberFormat="1" applyFont="1" applyFill="1" applyBorder="1" applyAlignment="1">
      <alignment horizontal="center" vertical="center"/>
    </xf>
    <xf numFmtId="0" fontId="31" fillId="8" borderId="236" xfId="0" applyFont="1" applyFill="1" applyBorder="1" applyAlignment="1">
      <alignment vertical="top" wrapText="1"/>
    </xf>
    <xf numFmtId="3" fontId="31" fillId="8" borderId="247" xfId="0" applyNumberFormat="1" applyFont="1" applyFill="1" applyBorder="1" applyAlignment="1">
      <alignment vertical="top"/>
    </xf>
    <xf numFmtId="3" fontId="25" fillId="22" borderId="248" xfId="0" applyNumberFormat="1" applyFont="1" applyFill="1" applyBorder="1" applyAlignment="1">
      <alignment horizontal="center" vertical="center"/>
    </xf>
    <xf numFmtId="0" fontId="17" fillId="2" borderId="263" xfId="0" quotePrefix="1" applyFont="1" applyFill="1" applyBorder="1" applyAlignment="1">
      <alignment horizontal="center" vertical="center" wrapText="1"/>
    </xf>
    <xf numFmtId="0" fontId="24" fillId="8" borderId="263" xfId="0" applyFont="1" applyFill="1" applyBorder="1" applyAlignment="1">
      <alignment vertical="center" wrapText="1"/>
    </xf>
    <xf numFmtId="3" fontId="25" fillId="8" borderId="270" xfId="0" applyNumberFormat="1" applyFont="1" applyFill="1" applyBorder="1" applyAlignment="1">
      <alignment vertical="top"/>
    </xf>
    <xf numFmtId="3" fontId="25" fillId="8" borderId="216" xfId="0" applyNumberFormat="1" applyFont="1" applyFill="1" applyBorder="1" applyAlignment="1">
      <alignment vertical="top"/>
    </xf>
    <xf numFmtId="3" fontId="25" fillId="8" borderId="271" xfId="0" applyNumberFormat="1" applyFont="1" applyFill="1" applyBorder="1" applyAlignment="1">
      <alignment vertical="top"/>
    </xf>
    <xf numFmtId="3" fontId="25" fillId="23" borderId="251" xfId="0" applyNumberFormat="1" applyFont="1" applyFill="1" applyBorder="1" applyAlignment="1">
      <alignment vertical="top"/>
    </xf>
    <xf numFmtId="0" fontId="18" fillId="0" borderId="220" xfId="0" applyFont="1" applyFill="1" applyBorder="1" applyAlignment="1">
      <alignment horizontal="center" vertical="center" wrapText="1"/>
    </xf>
    <xf numFmtId="0" fontId="18" fillId="0" borderId="204" xfId="0" applyFont="1" applyFill="1" applyBorder="1" applyAlignment="1">
      <alignment vertical="top"/>
    </xf>
    <xf numFmtId="0" fontId="18" fillId="0" borderId="204" xfId="0" applyFont="1" applyFill="1" applyBorder="1" applyAlignment="1">
      <alignment horizontal="left" vertical="top" wrapText="1"/>
    </xf>
    <xf numFmtId="0" fontId="0" fillId="0" borderId="233" xfId="0" applyFont="1" applyBorder="1"/>
    <xf numFmtId="43" fontId="25" fillId="6" borderId="209" xfId="1" applyFont="1" applyFill="1" applyBorder="1" applyAlignment="1"/>
    <xf numFmtId="0" fontId="18" fillId="0" borderId="238" xfId="0" applyFont="1" applyFill="1" applyBorder="1" applyAlignment="1">
      <alignment horizontal="center" vertical="center" wrapText="1"/>
    </xf>
    <xf numFmtId="3" fontId="18" fillId="0" borderId="204" xfId="0" applyNumberFormat="1" applyFont="1" applyFill="1" applyBorder="1" applyAlignment="1">
      <alignment vertical="top"/>
    </xf>
    <xf numFmtId="43" fontId="27" fillId="2" borderId="209" xfId="1" applyFont="1" applyFill="1" applyBorder="1" applyAlignment="1"/>
    <xf numFmtId="0" fontId="7" fillId="0" borderId="240" xfId="0" applyFont="1" applyFill="1" applyBorder="1" applyAlignment="1">
      <alignment vertical="top"/>
    </xf>
    <xf numFmtId="0" fontId="23" fillId="0" borderId="235" xfId="0" applyFont="1" applyBorder="1" applyAlignment="1">
      <alignment horizontal="center" vertical="center" wrapText="1"/>
    </xf>
    <xf numFmtId="3" fontId="31" fillId="0" borderId="243" xfId="4" applyNumberFormat="1" applyFont="1" applyFill="1" applyBorder="1" applyAlignment="1">
      <alignment vertical="center"/>
    </xf>
    <xf numFmtId="3" fontId="31" fillId="0" borderId="209" xfId="4" applyNumberFormat="1" applyFont="1" applyFill="1" applyBorder="1" applyAlignment="1"/>
    <xf numFmtId="3" fontId="31" fillId="0" borderId="206" xfId="0" applyNumberFormat="1" applyFont="1" applyFill="1" applyBorder="1" applyAlignment="1">
      <alignment vertical="top"/>
    </xf>
    <xf numFmtId="43" fontId="31" fillId="0" borderId="209" xfId="1" applyFont="1" applyFill="1" applyBorder="1" applyAlignment="1">
      <alignment vertical="top"/>
    </xf>
    <xf numFmtId="0" fontId="0" fillId="0" borderId="238" xfId="0" applyFont="1" applyBorder="1" applyAlignment="1">
      <alignment horizontal="center" wrapText="1"/>
    </xf>
    <xf numFmtId="0" fontId="7" fillId="0" borderId="242" xfId="0" applyFont="1" applyFill="1" applyBorder="1" applyAlignment="1">
      <alignment vertical="top" wrapText="1"/>
    </xf>
    <xf numFmtId="0" fontId="7" fillId="0" borderId="240" xfId="0" applyFont="1" applyFill="1" applyBorder="1" applyAlignment="1">
      <alignment horizontal="left" vertical="center"/>
    </xf>
    <xf numFmtId="43" fontId="31" fillId="0" borderId="237" xfId="1" applyFont="1" applyFill="1" applyBorder="1" applyAlignment="1">
      <alignment vertical="top"/>
    </xf>
    <xf numFmtId="43" fontId="31" fillId="0" borderId="243" xfId="1" applyFont="1" applyFill="1" applyBorder="1" applyAlignment="1">
      <alignment vertical="top"/>
    </xf>
    <xf numFmtId="43" fontId="31" fillId="0" borderId="243" xfId="1" applyFont="1" applyFill="1" applyBorder="1" applyAlignment="1">
      <alignment vertical="center"/>
    </xf>
    <xf numFmtId="0" fontId="23" fillId="0" borderId="221" xfId="0" applyFont="1" applyBorder="1" applyAlignment="1">
      <alignment horizontal="center" vertical="center" wrapText="1"/>
    </xf>
    <xf numFmtId="43" fontId="0" fillId="0" borderId="205" xfId="1" applyFont="1" applyBorder="1"/>
    <xf numFmtId="43" fontId="0" fillId="0" borderId="266" xfId="1" applyFont="1" applyBorder="1"/>
    <xf numFmtId="43" fontId="0" fillId="0" borderId="255" xfId="1" applyFont="1" applyBorder="1"/>
    <xf numFmtId="3" fontId="31" fillId="25" borderId="239" xfId="0" applyNumberFormat="1" applyFont="1" applyFill="1" applyBorder="1" applyAlignment="1">
      <alignment horizontal="center" vertical="top"/>
    </xf>
    <xf numFmtId="0" fontId="7" fillId="6" borderId="221" xfId="0" applyFont="1" applyFill="1" applyBorder="1" applyAlignment="1">
      <alignment vertical="top"/>
    </xf>
    <xf numFmtId="43" fontId="25" fillId="22" borderId="258" xfId="1" applyFont="1" applyFill="1" applyBorder="1" applyAlignment="1">
      <alignment horizontal="center" vertical="center"/>
    </xf>
    <xf numFmtId="43" fontId="25" fillId="22" borderId="256" xfId="1" applyFont="1" applyFill="1" applyBorder="1" applyAlignment="1">
      <alignment horizontal="center" vertical="center"/>
    </xf>
    <xf numFmtId="43" fontId="27" fillId="2" borderId="209" xfId="1" applyFont="1" applyFill="1" applyBorder="1" applyAlignment="1">
      <alignment vertical="center"/>
    </xf>
    <xf numFmtId="43" fontId="25" fillId="22" borderId="239" xfId="1" applyFont="1" applyFill="1" applyBorder="1" applyAlignment="1">
      <alignment horizontal="center" vertical="center"/>
    </xf>
    <xf numFmtId="0" fontId="0" fillId="0" borderId="244" xfId="0" applyFont="1" applyBorder="1"/>
    <xf numFmtId="0" fontId="7" fillId="0" borderId="265" xfId="0" applyFont="1" applyFill="1" applyBorder="1" applyAlignment="1">
      <alignment horizontal="left" vertical="center"/>
    </xf>
    <xf numFmtId="3" fontId="31" fillId="0" borderId="272" xfId="4" applyNumberFormat="1" applyFont="1" applyFill="1" applyBorder="1" applyAlignment="1"/>
    <xf numFmtId="43" fontId="31" fillId="0" borderId="247" xfId="1" applyFont="1" applyFill="1" applyBorder="1" applyAlignment="1">
      <alignment vertical="top"/>
    </xf>
    <xf numFmtId="43" fontId="31" fillId="0" borderId="272" xfId="1" applyFont="1" applyFill="1" applyBorder="1" applyAlignment="1">
      <alignment vertical="top"/>
    </xf>
    <xf numFmtId="43" fontId="25" fillId="22" borderId="248" xfId="1" applyFont="1" applyFill="1" applyBorder="1" applyAlignment="1">
      <alignment horizontal="center" vertical="center"/>
    </xf>
    <xf numFmtId="3" fontId="25" fillId="23" borderId="215" xfId="0" applyNumberFormat="1" applyFont="1" applyFill="1" applyBorder="1" applyAlignment="1">
      <alignment vertical="top"/>
    </xf>
    <xf numFmtId="49" fontId="112" fillId="0" borderId="237" xfId="3" applyNumberFormat="1" applyFont="1" applyBorder="1" applyAlignment="1">
      <alignment horizontal="center" vertical="center" wrapText="1"/>
    </xf>
    <xf numFmtId="0" fontId="17" fillId="2" borderId="234" xfId="0" quotePrefix="1" applyFont="1" applyFill="1" applyBorder="1" applyAlignment="1">
      <alignment horizontal="center" vertical="center" wrapText="1"/>
    </xf>
    <xf numFmtId="0" fontId="7" fillId="6" borderId="241" xfId="0" applyFont="1" applyFill="1" applyBorder="1" applyAlignment="1">
      <alignment vertical="top"/>
    </xf>
    <xf numFmtId="43" fontId="25" fillId="6" borderId="208" xfId="1" applyFont="1" applyFill="1" applyBorder="1" applyAlignment="1"/>
    <xf numFmtId="49" fontId="112" fillId="0" borderId="264" xfId="3" applyNumberFormat="1" applyFont="1" applyBorder="1" applyAlignment="1">
      <alignment horizontal="center" vertical="center" wrapText="1"/>
    </xf>
    <xf numFmtId="3" fontId="29" fillId="2" borderId="242" xfId="4" applyNumberFormat="1" applyFont="1" applyFill="1" applyBorder="1" applyAlignment="1">
      <alignment vertical="center" wrapText="1"/>
    </xf>
    <xf numFmtId="0" fontId="24" fillId="2" borderId="254" xfId="0" applyFont="1" applyFill="1" applyBorder="1" applyAlignment="1">
      <alignment horizontal="center" vertical="center" wrapText="1"/>
    </xf>
    <xf numFmtId="43" fontId="27" fillId="2" borderId="208" xfId="1" applyFont="1" applyFill="1" applyBorder="1" applyAlignment="1">
      <alignment vertical="center"/>
    </xf>
    <xf numFmtId="0" fontId="24" fillId="2" borderId="235" xfId="0" applyFont="1" applyFill="1" applyBorder="1" applyAlignment="1">
      <alignment horizontal="center" vertical="center" wrapText="1"/>
    </xf>
    <xf numFmtId="43" fontId="31" fillId="0" borderId="208" xfId="1" applyFont="1" applyFill="1" applyBorder="1" applyAlignment="1">
      <alignment vertical="center"/>
    </xf>
    <xf numFmtId="43" fontId="31" fillId="25" borderId="207" xfId="1" applyFont="1" applyFill="1" applyBorder="1" applyAlignment="1">
      <alignment vertical="top"/>
    </xf>
    <xf numFmtId="0" fontId="17" fillId="2" borderId="265" xfId="0" quotePrefix="1" applyFont="1" applyFill="1" applyBorder="1" applyAlignment="1">
      <alignment horizontal="center" vertical="center" wrapText="1"/>
    </xf>
    <xf numFmtId="0" fontId="7" fillId="0" borderId="265" xfId="0" applyFont="1" applyFill="1" applyBorder="1" applyAlignment="1">
      <alignment vertical="center"/>
    </xf>
    <xf numFmtId="0" fontId="24" fillId="2" borderId="222" xfId="0" applyFont="1" applyFill="1" applyBorder="1" applyAlignment="1">
      <alignment horizontal="center" vertical="center" wrapText="1"/>
    </xf>
    <xf numFmtId="3" fontId="31" fillId="0" borderId="272" xfId="4" applyNumberFormat="1" applyFont="1" applyFill="1" applyBorder="1" applyAlignment="1">
      <alignment vertical="center"/>
    </xf>
    <xf numFmtId="3" fontId="31" fillId="0" borderId="211" xfId="0" applyNumberFormat="1" applyFont="1" applyFill="1" applyBorder="1" applyAlignment="1">
      <alignment vertical="center"/>
    </xf>
    <xf numFmtId="43" fontId="31" fillId="0" borderId="273" xfId="1" applyFont="1" applyFill="1" applyBorder="1" applyAlignment="1">
      <alignment vertical="center"/>
    </xf>
    <xf numFmtId="49" fontId="112" fillId="0" borderId="211" xfId="3" applyNumberFormat="1" applyFont="1" applyBorder="1" applyAlignment="1">
      <alignment horizontal="center" vertical="center" wrapText="1"/>
    </xf>
    <xf numFmtId="0" fontId="24" fillId="8" borderId="263" xfId="0" applyFont="1" applyFill="1" applyBorder="1" applyAlignment="1">
      <alignment vertical="top" wrapText="1"/>
    </xf>
    <xf numFmtId="3" fontId="31" fillId="23" borderId="274" xfId="0" applyNumberFormat="1" applyFont="1" applyFill="1" applyBorder="1" applyAlignment="1"/>
    <xf numFmtId="3" fontId="31" fillId="23" borderId="218" xfId="0" applyNumberFormat="1" applyFont="1" applyFill="1" applyBorder="1" applyAlignment="1"/>
    <xf numFmtId="49" fontId="22" fillId="0" borderId="216" xfId="3" applyNumberFormat="1" applyFont="1" applyBorder="1" applyAlignment="1">
      <alignment horizontal="center" vertical="center" wrapText="1"/>
    </xf>
    <xf numFmtId="3" fontId="25" fillId="22" borderId="275" xfId="0" applyNumberFormat="1" applyFont="1" applyFill="1" applyBorder="1" applyAlignment="1"/>
    <xf numFmtId="3" fontId="25" fillId="22" borderId="208" xfId="0" applyNumberFormat="1" applyFont="1" applyFill="1" applyBorder="1" applyAlignment="1"/>
    <xf numFmtId="49" fontId="22" fillId="0" borderId="211" xfId="3" applyNumberFormat="1" applyFont="1" applyBorder="1" applyAlignment="1">
      <alignment horizontal="center" vertical="center" wrapText="1"/>
    </xf>
    <xf numFmtId="49" fontId="22" fillId="0" borderId="228" xfId="3" applyNumberFormat="1" applyFont="1" applyBorder="1" applyAlignment="1">
      <alignment horizontal="center" vertical="center" wrapText="1"/>
    </xf>
    <xf numFmtId="3" fontId="31" fillId="0" borderId="247" xfId="4" applyNumberFormat="1" applyFont="1" applyFill="1" applyBorder="1" applyAlignment="1"/>
    <xf numFmtId="49" fontId="22" fillId="0" borderId="214" xfId="3" applyNumberFormat="1" applyFont="1" applyBorder="1" applyAlignment="1">
      <alignment horizontal="center" vertical="center" wrapText="1"/>
    </xf>
    <xf numFmtId="3" fontId="31" fillId="0" borderId="243" xfId="0" applyNumberFormat="1" applyFont="1" applyFill="1" applyBorder="1" applyAlignment="1">
      <alignment vertical="center"/>
    </xf>
    <xf numFmtId="49" fontId="22" fillId="0" borderId="247" xfId="3" applyNumberFormat="1" applyFont="1" applyBorder="1" applyAlignment="1">
      <alignment horizontal="center" vertical="center" wrapText="1"/>
    </xf>
    <xf numFmtId="0" fontId="17" fillId="2" borderId="224" xfId="0" quotePrefix="1" applyFont="1" applyFill="1" applyBorder="1" applyAlignment="1">
      <alignment horizontal="center" vertical="center" wrapText="1"/>
    </xf>
    <xf numFmtId="43" fontId="31" fillId="0" borderId="209" xfId="1" applyFont="1" applyFill="1" applyBorder="1" applyAlignment="1"/>
    <xf numFmtId="43" fontId="31" fillId="0" borderId="209" xfId="1" applyFont="1" applyFill="1" applyBorder="1" applyAlignment="1">
      <alignment vertical="center"/>
    </xf>
    <xf numFmtId="3" fontId="31" fillId="23" borderId="276" xfId="0" applyNumberFormat="1" applyFont="1" applyFill="1" applyBorder="1" applyAlignment="1"/>
    <xf numFmtId="3" fontId="31" fillId="23" borderId="246" xfId="0" applyNumberFormat="1" applyFont="1" applyFill="1" applyBorder="1" applyAlignment="1"/>
    <xf numFmtId="0" fontId="17" fillId="2" borderId="263" xfId="0" applyFont="1" applyFill="1" applyBorder="1" applyAlignment="1">
      <alignment horizontal="center" vertical="center" wrapText="1"/>
    </xf>
    <xf numFmtId="3" fontId="25" fillId="23" borderId="204" xfId="0" applyNumberFormat="1" applyFont="1" applyFill="1" applyBorder="1" applyAlignment="1">
      <alignment vertical="top"/>
    </xf>
    <xf numFmtId="3" fontId="31" fillId="0" borderId="204" xfId="0" applyNumberFormat="1" applyFont="1" applyFill="1" applyBorder="1" applyAlignment="1">
      <alignment vertical="center"/>
    </xf>
    <xf numFmtId="0" fontId="24" fillId="2" borderId="246" xfId="0" applyFont="1" applyFill="1" applyBorder="1" applyAlignment="1">
      <alignment horizontal="center" vertical="center" wrapText="1"/>
    </xf>
    <xf numFmtId="3" fontId="27" fillId="23" borderId="267" xfId="0" applyNumberFormat="1" applyFont="1" applyFill="1" applyBorder="1" applyAlignment="1"/>
    <xf numFmtId="0" fontId="24" fillId="2" borderId="226" xfId="0" applyFont="1" applyFill="1" applyBorder="1" applyAlignment="1">
      <alignment horizontal="center" vertical="center" wrapText="1"/>
    </xf>
    <xf numFmtId="3" fontId="31" fillId="0" borderId="210" xfId="4" applyNumberFormat="1" applyFont="1" applyFill="1" applyBorder="1" applyAlignment="1">
      <alignment vertical="center"/>
    </xf>
    <xf numFmtId="43" fontId="31" fillId="0" borderId="210" xfId="1" applyFont="1" applyFill="1" applyBorder="1" applyAlignment="1"/>
    <xf numFmtId="43" fontId="31" fillId="0" borderId="211" xfId="1" applyFont="1" applyFill="1" applyBorder="1" applyAlignment="1">
      <alignment vertical="center"/>
    </xf>
    <xf numFmtId="43" fontId="31" fillId="0" borderId="210" xfId="1" applyFont="1" applyFill="1" applyBorder="1" applyAlignment="1">
      <alignment vertical="center"/>
    </xf>
    <xf numFmtId="3" fontId="31" fillId="25" borderId="248" xfId="0" applyNumberFormat="1" applyFont="1" applyFill="1" applyBorder="1" applyAlignment="1">
      <alignment vertical="top"/>
    </xf>
    <xf numFmtId="3" fontId="31" fillId="25" borderId="212" xfId="0" applyNumberFormat="1" applyFont="1" applyFill="1" applyBorder="1" applyAlignment="1">
      <alignment vertical="top"/>
    </xf>
    <xf numFmtId="49" fontId="22" fillId="0" borderId="248" xfId="3" applyNumberFormat="1" applyFont="1" applyBorder="1" applyAlignment="1">
      <alignment horizontal="center" vertical="center" wrapText="1"/>
    </xf>
    <xf numFmtId="0" fontId="57" fillId="0" borderId="204" xfId="0" applyFont="1" applyFill="1" applyBorder="1" applyAlignment="1">
      <alignment horizontal="left" vertical="top"/>
    </xf>
    <xf numFmtId="0" fontId="57" fillId="0" borderId="233" xfId="0" applyFont="1" applyFill="1" applyBorder="1" applyAlignment="1">
      <alignment horizontal="left" vertical="top"/>
    </xf>
    <xf numFmtId="0" fontId="57" fillId="0" borderId="204" xfId="0" applyFont="1" applyFill="1" applyBorder="1" applyAlignment="1">
      <alignment vertical="top"/>
    </xf>
    <xf numFmtId="0" fontId="13" fillId="2" borderId="204" xfId="0" applyFont="1" applyFill="1" applyBorder="1" applyAlignment="1">
      <alignment horizontal="left" vertical="center" wrapText="1"/>
    </xf>
    <xf numFmtId="0" fontId="13" fillId="2" borderId="204" xfId="0" applyFont="1" applyFill="1" applyBorder="1" applyAlignment="1">
      <alignment horizontal="left" vertical="center" wrapText="1"/>
    </xf>
    <xf numFmtId="0" fontId="38" fillId="0" borderId="262" xfId="0" applyFont="1" applyFill="1" applyBorder="1" applyAlignment="1">
      <alignment vertical="top"/>
    </xf>
    <xf numFmtId="0" fontId="38" fillId="0" borderId="204" xfId="0" applyFont="1" applyFill="1" applyBorder="1" applyAlignment="1">
      <alignment vertical="top"/>
    </xf>
    <xf numFmtId="3" fontId="22" fillId="0" borderId="204" xfId="0" applyNumberFormat="1" applyFont="1" applyBorder="1" applyAlignment="1">
      <alignment vertical="top"/>
    </xf>
    <xf numFmtId="0" fontId="4" fillId="0" borderId="204" xfId="0" applyFont="1" applyBorder="1" applyAlignment="1">
      <alignment vertical="top"/>
    </xf>
    <xf numFmtId="0" fontId="4" fillId="0" borderId="244" xfId="0" applyFont="1" applyBorder="1" applyAlignment="1">
      <alignment horizontal="center" vertical="top" wrapText="1"/>
    </xf>
    <xf numFmtId="0" fontId="19" fillId="0" borderId="227" xfId="0" applyFont="1" applyBorder="1" applyAlignment="1">
      <alignment vertical="top"/>
    </xf>
    <xf numFmtId="3" fontId="4" fillId="0" borderId="204" xfId="0" applyNumberFormat="1" applyFont="1" applyBorder="1" applyAlignment="1">
      <alignment vertical="top"/>
    </xf>
    <xf numFmtId="0" fontId="4" fillId="0" borderId="277" xfId="0" applyFont="1" applyBorder="1" applyAlignment="1">
      <alignment horizontal="center" vertical="top" wrapText="1"/>
    </xf>
    <xf numFmtId="0" fontId="57" fillId="0" borderId="227" xfId="0" applyFont="1" applyFill="1" applyBorder="1" applyAlignment="1">
      <alignment vertical="top"/>
    </xf>
    <xf numFmtId="0" fontId="4" fillId="0" borderId="206" xfId="0" applyFont="1" applyBorder="1" applyAlignment="1">
      <alignment horizontal="center" vertical="top"/>
    </xf>
    <xf numFmtId="0" fontId="4" fillId="0" borderId="207" xfId="0" applyFont="1" applyBorder="1" applyAlignment="1">
      <alignment horizontal="center" vertical="top"/>
    </xf>
    <xf numFmtId="0" fontId="4" fillId="0" borderId="226" xfId="0" applyFont="1" applyBorder="1" applyAlignment="1">
      <alignment horizontal="center" vertical="top"/>
    </xf>
    <xf numFmtId="0" fontId="0" fillId="0" borderId="206" xfId="0" applyFont="1" applyBorder="1" applyAlignment="1">
      <alignment horizontal="center" vertical="top"/>
    </xf>
    <xf numFmtId="0" fontId="37" fillId="0" borderId="204" xfId="0" applyFont="1" applyBorder="1" applyAlignment="1">
      <alignment horizontal="center" vertical="top"/>
    </xf>
    <xf numFmtId="3" fontId="37" fillId="0" borderId="204" xfId="0" applyNumberFormat="1" applyFont="1" applyBorder="1" applyAlignment="1">
      <alignment horizontal="center" vertical="top"/>
    </xf>
    <xf numFmtId="3" fontId="37" fillId="0" borderId="206" xfId="0" applyNumberFormat="1" applyFont="1" applyBorder="1" applyAlignment="1">
      <alignment vertical="top"/>
    </xf>
    <xf numFmtId="3" fontId="37" fillId="0" borderId="207" xfId="0" applyNumberFormat="1" applyFont="1" applyBorder="1" applyAlignment="1">
      <alignment vertical="top"/>
    </xf>
    <xf numFmtId="3" fontId="37" fillId="0" borderId="226" xfId="0" applyNumberFormat="1" applyFont="1" applyBorder="1" applyAlignment="1">
      <alignment vertical="top"/>
    </xf>
    <xf numFmtId="3" fontId="57" fillId="0" borderId="204" xfId="0" applyNumberFormat="1" applyFont="1" applyFill="1" applyBorder="1" applyAlignment="1">
      <alignment vertical="top"/>
    </xf>
    <xf numFmtId="2" fontId="4" fillId="0" borderId="206" xfId="0" applyNumberFormat="1" applyFont="1" applyBorder="1" applyAlignment="1">
      <alignment vertical="center"/>
    </xf>
    <xf numFmtId="2" fontId="4" fillId="0" borderId="206" xfId="0" applyNumberFormat="1" applyFont="1" applyBorder="1"/>
    <xf numFmtId="0" fontId="17" fillId="0" borderId="204" xfId="0" applyFont="1" applyFill="1" applyBorder="1" applyAlignment="1">
      <alignment vertical="top"/>
    </xf>
    <xf numFmtId="3" fontId="17" fillId="0" borderId="204" xfId="0" applyNumberFormat="1" applyFont="1" applyFill="1" applyBorder="1" applyAlignment="1">
      <alignment vertical="top"/>
    </xf>
    <xf numFmtId="3" fontId="4" fillId="0" borderId="206" xfId="0" applyNumberFormat="1" applyFont="1" applyBorder="1"/>
    <xf numFmtId="0" fontId="19" fillId="0" borderId="270" xfId="0" applyFont="1" applyBorder="1" applyAlignment="1">
      <alignment horizontal="center" vertical="top"/>
    </xf>
    <xf numFmtId="0" fontId="4" fillId="0" borderId="230" xfId="0" applyFont="1" applyBorder="1" applyAlignment="1">
      <alignment horizontal="center" vertical="top" wrapText="1"/>
    </xf>
    <xf numFmtId="3" fontId="37" fillId="0" borderId="206" xfId="0" applyNumberFormat="1" applyFont="1" applyBorder="1"/>
    <xf numFmtId="0" fontId="4" fillId="0" borderId="204" xfId="0" applyFont="1" applyBorder="1" applyAlignment="1">
      <alignment horizontal="center" vertical="top" wrapText="1"/>
    </xf>
    <xf numFmtId="2" fontId="39" fillId="0" borderId="206" xfId="0" applyNumberFormat="1" applyFont="1" applyBorder="1" applyAlignment="1">
      <alignment vertical="center"/>
    </xf>
    <xf numFmtId="2" fontId="18" fillId="0" borderId="206" xfId="0" applyNumberFormat="1" applyFont="1" applyBorder="1" applyAlignment="1">
      <alignment vertical="top"/>
    </xf>
    <xf numFmtId="3" fontId="8" fillId="0" borderId="206" xfId="0" applyNumberFormat="1" applyFont="1" applyBorder="1" applyAlignment="1">
      <alignment vertical="top"/>
    </xf>
    <xf numFmtId="0" fontId="19" fillId="0" borderId="262" xfId="0" applyFont="1" applyBorder="1" applyAlignment="1">
      <alignment vertical="top"/>
    </xf>
    <xf numFmtId="0" fontId="4" fillId="0" borderId="262" xfId="0" applyFont="1" applyBorder="1" applyAlignment="1">
      <alignment vertical="top"/>
    </xf>
    <xf numFmtId="0" fontId="4" fillId="0" borderId="262" xfId="0" applyFont="1" applyBorder="1" applyAlignment="1">
      <alignment horizontal="center" vertical="top" wrapText="1"/>
    </xf>
    <xf numFmtId="0" fontId="4" fillId="0" borderId="270" xfId="0" applyFont="1" applyBorder="1" applyAlignment="1">
      <alignment vertical="top"/>
    </xf>
    <xf numFmtId="0" fontId="24" fillId="0" borderId="204" xfId="0" applyFont="1" applyFill="1" applyBorder="1" applyAlignment="1">
      <alignment vertical="top"/>
    </xf>
    <xf numFmtId="0" fontId="4" fillId="0" borderId="227" xfId="0" applyFont="1" applyBorder="1" applyAlignment="1">
      <alignment vertical="top"/>
    </xf>
    <xf numFmtId="0" fontId="4" fillId="0" borderId="227" xfId="0" applyFont="1" applyBorder="1" applyAlignment="1">
      <alignment horizontal="center" vertical="top" wrapText="1"/>
    </xf>
    <xf numFmtId="0" fontId="19" fillId="0" borderId="270" xfId="0" applyFont="1" applyBorder="1" applyAlignment="1">
      <alignment vertical="top"/>
    </xf>
    <xf numFmtId="0" fontId="4" fillId="0" borderId="270" xfId="0" applyFont="1" applyBorder="1" applyAlignment="1">
      <alignment horizontal="center" vertical="top" wrapText="1"/>
    </xf>
    <xf numFmtId="0" fontId="4" fillId="0" borderId="227" xfId="0" applyFont="1" applyFill="1" applyBorder="1" applyAlignment="1">
      <alignment horizontal="center" vertical="top" wrapText="1"/>
    </xf>
    <xf numFmtId="0" fontId="4" fillId="0" borderId="270" xfId="0" applyFont="1" applyFill="1" applyBorder="1" applyAlignment="1">
      <alignment horizontal="center" vertical="top" wrapText="1"/>
    </xf>
    <xf numFmtId="0" fontId="4" fillId="0" borderId="204" xfId="0" applyFont="1" applyFill="1" applyBorder="1" applyAlignment="1">
      <alignment horizontal="center" vertical="top" wrapText="1"/>
    </xf>
    <xf numFmtId="0" fontId="4" fillId="0" borderId="204" xfId="0" applyFont="1" applyFill="1" applyBorder="1" applyAlignment="1">
      <alignment vertical="top"/>
    </xf>
    <xf numFmtId="0" fontId="20" fillId="0" borderId="270" xfId="0" applyFont="1" applyBorder="1" applyAlignment="1">
      <alignment vertical="top" wrapText="1"/>
    </xf>
    <xf numFmtId="0" fontId="4" fillId="0" borderId="220" xfId="0" applyFont="1" applyBorder="1" applyAlignment="1">
      <alignment horizontal="center" vertical="top" wrapText="1"/>
    </xf>
    <xf numFmtId="0" fontId="4" fillId="0" borderId="238" xfId="0" applyFont="1" applyBorder="1" applyAlignment="1">
      <alignment horizontal="center" vertical="top" wrapText="1"/>
    </xf>
    <xf numFmtId="0" fontId="4" fillId="0" borderId="223" xfId="0" applyFont="1" applyBorder="1" applyAlignment="1">
      <alignment horizontal="center" vertical="top" wrapText="1"/>
    </xf>
    <xf numFmtId="0" fontId="0" fillId="0" borderId="204" xfId="0" applyFont="1" applyBorder="1" applyAlignment="1">
      <alignment horizontal="center" vertical="top" wrapText="1"/>
    </xf>
    <xf numFmtId="0" fontId="77" fillId="2" borderId="208" xfId="0" applyFont="1" applyFill="1" applyBorder="1" applyAlignment="1">
      <alignment horizontal="center" wrapText="1"/>
    </xf>
    <xf numFmtId="0" fontId="0" fillId="0" borderId="208" xfId="0" applyFont="1" applyBorder="1" applyAlignment="1">
      <alignment horizontal="center" wrapText="1"/>
    </xf>
    <xf numFmtId="0" fontId="0" fillId="0" borderId="208" xfId="0" applyFont="1" applyBorder="1" applyAlignment="1">
      <alignment horizontal="center" wrapText="1"/>
    </xf>
    <xf numFmtId="0" fontId="8" fillId="0" borderId="208" xfId="0" applyFont="1" applyFill="1" applyBorder="1"/>
    <xf numFmtId="0" fontId="0" fillId="0" borderId="208" xfId="0" applyFont="1" applyBorder="1"/>
    <xf numFmtId="0" fontId="8" fillId="0" borderId="208" xfId="0" applyFont="1" applyBorder="1"/>
    <xf numFmtId="0" fontId="77" fillId="2" borderId="208" xfId="0" applyFont="1" applyFill="1" applyBorder="1" applyAlignment="1">
      <alignment horizontal="center" wrapText="1"/>
    </xf>
    <xf numFmtId="0" fontId="19" fillId="2" borderId="252" xfId="0" applyFont="1" applyFill="1" applyBorder="1" applyAlignment="1">
      <alignment horizontal="center" vertical="center"/>
    </xf>
    <xf numFmtId="0" fontId="19" fillId="2" borderId="209" xfId="0" applyFont="1" applyFill="1" applyBorder="1" applyAlignment="1">
      <alignment horizontal="center" vertical="center"/>
    </xf>
    <xf numFmtId="0" fontId="36" fillId="0" borderId="207" xfId="0" applyFont="1" applyBorder="1" applyAlignment="1">
      <alignment horizontal="center" vertical="center" wrapText="1"/>
    </xf>
    <xf numFmtId="0" fontId="25" fillId="0" borderId="206" xfId="4" applyFont="1" applyBorder="1" applyAlignment="1">
      <alignment horizontal="center" vertical="center" wrapText="1"/>
    </xf>
    <xf numFmtId="0" fontId="25" fillId="0" borderId="207" xfId="4" applyFont="1" applyBorder="1" applyAlignment="1">
      <alignment horizontal="center" vertical="center" wrapText="1"/>
    </xf>
    <xf numFmtId="0" fontId="25" fillId="0" borderId="208" xfId="4" applyFont="1" applyBorder="1" applyAlignment="1">
      <alignment horizontal="center" vertical="center" wrapText="1"/>
    </xf>
    <xf numFmtId="0" fontId="25" fillId="0" borderId="209" xfId="4" applyFont="1" applyBorder="1" applyAlignment="1">
      <alignment horizontal="center" vertical="center" wrapText="1"/>
    </xf>
    <xf numFmtId="0" fontId="19" fillId="0" borderId="207" xfId="0" applyFont="1" applyBorder="1" applyAlignment="1">
      <alignment horizontal="center" vertical="center" wrapText="1"/>
    </xf>
    <xf numFmtId="0" fontId="19" fillId="0" borderId="253" xfId="0" applyFont="1" applyBorder="1" applyAlignment="1">
      <alignment horizontal="center" vertical="center" wrapText="1"/>
    </xf>
    <xf numFmtId="0" fontId="19" fillId="0" borderId="208" xfId="0" applyFont="1" applyBorder="1" applyAlignment="1">
      <alignment horizontal="center" vertical="center" wrapText="1"/>
    </xf>
    <xf numFmtId="0" fontId="36" fillId="0" borderId="206" xfId="0" applyFont="1" applyBorder="1" applyAlignment="1">
      <alignment horizontal="center" vertical="center"/>
    </xf>
    <xf numFmtId="0" fontId="7" fillId="0" borderId="252" xfId="0" applyFont="1" applyBorder="1" applyAlignment="1">
      <alignment horizontal="center" vertical="center"/>
    </xf>
    <xf numFmtId="0" fontId="7" fillId="0" borderId="209" xfId="0" applyFont="1" applyBorder="1" applyAlignment="1">
      <alignment horizontal="center" vertical="center"/>
    </xf>
    <xf numFmtId="3" fontId="31" fillId="0" borderId="206" xfId="0" quotePrefix="1" applyNumberFormat="1" applyFont="1" applyBorder="1" applyAlignment="1">
      <alignment horizontal="center" vertical="center"/>
    </xf>
    <xf numFmtId="3" fontId="7" fillId="0" borderId="207" xfId="0" quotePrefix="1" applyNumberFormat="1" applyFont="1" applyBorder="1" applyAlignment="1">
      <alignment horizontal="center" vertical="center"/>
    </xf>
    <xf numFmtId="3" fontId="6" fillId="0" borderId="253" xfId="0" applyNumberFormat="1" applyFont="1" applyFill="1" applyBorder="1" applyAlignment="1">
      <alignment horizontal="center" vertical="center" wrapText="1"/>
    </xf>
    <xf numFmtId="3" fontId="6" fillId="0" borderId="208" xfId="0" applyNumberFormat="1" applyFont="1" applyFill="1" applyBorder="1" applyAlignment="1">
      <alignment horizontal="center" vertical="center" wrapText="1"/>
    </xf>
    <xf numFmtId="0" fontId="8" fillId="0" borderId="208" xfId="0" applyFont="1" applyFill="1" applyBorder="1" applyAlignment="1">
      <alignment vertical="center"/>
    </xf>
    <xf numFmtId="0" fontId="0" fillId="0" borderId="208" xfId="0" applyFont="1" applyBorder="1" applyAlignment="1">
      <alignment vertical="center"/>
    </xf>
    <xf numFmtId="0" fontId="8" fillId="0" borderId="208" xfId="0" applyFont="1" applyBorder="1" applyAlignment="1">
      <alignment vertical="center"/>
    </xf>
    <xf numFmtId="0" fontId="69" fillId="37" borderId="252" xfId="4" applyFont="1" applyFill="1" applyBorder="1" applyAlignment="1">
      <alignment horizontal="left" vertical="center"/>
    </xf>
    <xf numFmtId="0" fontId="0" fillId="37" borderId="209" xfId="0" applyFont="1" applyFill="1" applyBorder="1" applyAlignment="1">
      <alignment vertical="center"/>
    </xf>
    <xf numFmtId="3" fontId="62" fillId="37" borderId="206" xfId="0" applyNumberFormat="1" applyFont="1" applyFill="1" applyBorder="1" applyAlignment="1">
      <alignment vertical="center" wrapText="1"/>
    </xf>
    <xf numFmtId="3" fontId="62" fillId="38" borderId="253" xfId="0" applyNumberFormat="1" applyFont="1" applyFill="1" applyBorder="1" applyAlignment="1">
      <alignment vertical="center" wrapText="1"/>
    </xf>
    <xf numFmtId="164" fontId="62" fillId="38" borderId="208" xfId="0" applyNumberFormat="1" applyFont="1" applyFill="1" applyBorder="1" applyAlignment="1">
      <alignment vertical="center" wrapText="1"/>
    </xf>
    <xf numFmtId="164" fontId="78" fillId="0" borderId="208" xfId="0" applyNumberFormat="1" applyFont="1" applyFill="1" applyBorder="1" applyAlignment="1">
      <alignment vertical="center"/>
    </xf>
    <xf numFmtId="3" fontId="78" fillId="0" borderId="208" xfId="0" applyNumberFormat="1" applyFont="1" applyFill="1" applyBorder="1" applyAlignment="1">
      <alignment vertical="center"/>
    </xf>
    <xf numFmtId="0" fontId="78" fillId="0" borderId="208" xfId="0" applyFont="1" applyFill="1" applyBorder="1" applyAlignment="1">
      <alignment vertical="center"/>
    </xf>
    <xf numFmtId="0" fontId="69" fillId="6" borderId="252" xfId="4" applyFont="1" applyFill="1" applyBorder="1" applyAlignment="1">
      <alignment horizontal="left" vertical="center"/>
    </xf>
    <xf numFmtId="0" fontId="0" fillId="6" borderId="209" xfId="0" applyFont="1" applyFill="1" applyBorder="1" applyAlignment="1">
      <alignment vertical="center"/>
    </xf>
    <xf numFmtId="3" fontId="62" fillId="6" borderId="206" xfId="0" applyNumberFormat="1" applyFont="1" applyFill="1" applyBorder="1" applyAlignment="1">
      <alignment vertical="center" wrapText="1"/>
    </xf>
    <xf numFmtId="3" fontId="62" fillId="39" borderId="253" xfId="0" applyNumberFormat="1" applyFont="1" applyFill="1" applyBorder="1" applyAlignment="1">
      <alignment horizontal="center" vertical="center" wrapText="1"/>
    </xf>
    <xf numFmtId="3" fontId="62" fillId="39" borderId="208" xfId="0" applyNumberFormat="1" applyFont="1" applyFill="1" applyBorder="1" applyAlignment="1">
      <alignment horizontal="center" vertical="center" wrapText="1"/>
    </xf>
    <xf numFmtId="0" fontId="69" fillId="37" borderId="252" xfId="4" applyFont="1" applyFill="1" applyBorder="1" applyAlignment="1">
      <alignment horizontal="left" vertical="center"/>
    </xf>
    <xf numFmtId="0" fontId="0" fillId="37" borderId="209" xfId="0" applyFont="1" applyFill="1" applyBorder="1" applyAlignment="1">
      <alignment vertical="center"/>
    </xf>
    <xf numFmtId="3" fontId="62" fillId="38" borderId="208" xfId="0" applyNumberFormat="1" applyFont="1" applyFill="1" applyBorder="1" applyAlignment="1">
      <alignment vertical="center" wrapText="1"/>
    </xf>
    <xf numFmtId="0" fontId="74" fillId="37" borderId="252" xfId="0" applyFont="1" applyFill="1" applyBorder="1" applyAlignment="1">
      <alignment horizontal="left" vertical="center"/>
    </xf>
    <xf numFmtId="0" fontId="74" fillId="37" borderId="209" xfId="0" applyFont="1" applyFill="1" applyBorder="1" applyAlignment="1">
      <alignment horizontal="left" vertical="center"/>
    </xf>
    <xf numFmtId="0" fontId="69" fillId="37" borderId="252" xfId="4" applyFont="1" applyFill="1" applyBorder="1" applyAlignment="1">
      <alignment horizontal="left" vertical="center" wrapText="1"/>
    </xf>
    <xf numFmtId="0" fontId="0" fillId="37" borderId="209" xfId="0" applyFont="1" applyFill="1" applyBorder="1" applyAlignment="1">
      <alignment vertical="center" wrapText="1"/>
    </xf>
    <xf numFmtId="0" fontId="69" fillId="6" borderId="252" xfId="4" applyFont="1" applyFill="1" applyBorder="1" applyAlignment="1">
      <alignment horizontal="left" vertical="center" wrapText="1"/>
    </xf>
    <xf numFmtId="0" fontId="0" fillId="6" borderId="209" xfId="0" applyFont="1" applyFill="1" applyBorder="1" applyAlignment="1">
      <alignment vertical="center" wrapText="1"/>
    </xf>
    <xf numFmtId="164" fontId="78" fillId="2" borderId="208" xfId="0" applyNumberFormat="1" applyFont="1" applyFill="1" applyBorder="1" applyAlignment="1">
      <alignment vertical="center"/>
    </xf>
    <xf numFmtId="3" fontId="78" fillId="2" borderId="208" xfId="0" applyNumberFormat="1" applyFont="1" applyFill="1" applyBorder="1" applyAlignment="1">
      <alignment vertical="center"/>
    </xf>
    <xf numFmtId="0" fontId="78" fillId="2" borderId="208" xfId="0" applyFont="1" applyFill="1" applyBorder="1" applyAlignment="1">
      <alignment vertical="center"/>
    </xf>
    <xf numFmtId="0" fontId="82" fillId="0" borderId="252" xfId="4" applyFont="1" applyFill="1" applyBorder="1" applyAlignment="1">
      <alignment horizontal="center" vertical="center" wrapText="1"/>
    </xf>
    <xf numFmtId="0" fontId="82" fillId="0" borderId="209" xfId="4" applyFont="1" applyFill="1" applyBorder="1" applyAlignment="1">
      <alignment horizontal="center" vertical="center" wrapText="1"/>
    </xf>
    <xf numFmtId="3" fontId="62" fillId="2" borderId="206" xfId="0" applyNumberFormat="1" applyFont="1" applyFill="1" applyBorder="1" applyAlignment="1">
      <alignment vertical="center" wrapText="1"/>
    </xf>
    <xf numFmtId="3" fontId="62" fillId="0" borderId="253" xfId="0" applyNumberFormat="1" applyFont="1" applyFill="1" applyBorder="1" applyAlignment="1">
      <alignment horizontal="center" vertical="center" wrapText="1"/>
    </xf>
    <xf numFmtId="3" fontId="62" fillId="0" borderId="208" xfId="0" applyNumberFormat="1" applyFont="1" applyFill="1" applyBorder="1" applyAlignment="1">
      <alignment horizontal="center" vertical="center" wrapText="1"/>
    </xf>
    <xf numFmtId="0" fontId="83" fillId="4" borderId="252" xfId="4" applyFont="1" applyFill="1" applyBorder="1" applyAlignment="1">
      <alignment horizontal="left" vertical="center"/>
    </xf>
    <xf numFmtId="0" fontId="39" fillId="4" borderId="209" xfId="0" applyFont="1" applyFill="1" applyBorder="1" applyAlignment="1">
      <alignment vertical="center"/>
    </xf>
    <xf numFmtId="3" fontId="82" fillId="4" borderId="206" xfId="0" applyNumberFormat="1" applyFont="1" applyFill="1" applyBorder="1" applyAlignment="1">
      <alignment vertical="center" wrapText="1"/>
    </xf>
    <xf numFmtId="3" fontId="68" fillId="40" borderId="253" xfId="0" applyNumberFormat="1" applyFont="1" applyFill="1" applyBorder="1" applyAlignment="1">
      <alignment vertical="center" wrapText="1"/>
    </xf>
    <xf numFmtId="3" fontId="68" fillId="40" borderId="208" xfId="0" applyNumberFormat="1" applyFont="1" applyFill="1" applyBorder="1" applyAlignment="1">
      <alignment vertical="center" wrapText="1"/>
    </xf>
    <xf numFmtId="0" fontId="83" fillId="6" borderId="252" xfId="4" applyFont="1" applyFill="1" applyBorder="1" applyAlignment="1">
      <alignment horizontal="left" vertical="center"/>
    </xf>
    <xf numFmtId="0" fontId="39" fillId="6" borderId="209" xfId="0" applyFont="1" applyFill="1" applyBorder="1" applyAlignment="1">
      <alignment vertical="center"/>
    </xf>
    <xf numFmtId="3" fontId="82" fillId="6" borderId="206" xfId="0" applyNumberFormat="1" applyFont="1" applyFill="1" applyBorder="1" applyAlignment="1">
      <alignment vertical="center" wrapText="1"/>
    </xf>
    <xf numFmtId="3" fontId="62" fillId="41" borderId="253" xfId="0" applyNumberFormat="1" applyFont="1" applyFill="1" applyBorder="1" applyAlignment="1">
      <alignment horizontal="center" vertical="center" wrapText="1"/>
    </xf>
    <xf numFmtId="3" fontId="62" fillId="41" borderId="208" xfId="0" applyNumberFormat="1" applyFont="1" applyFill="1" applyBorder="1" applyAlignment="1">
      <alignment horizontal="center" vertical="center" wrapText="1"/>
    </xf>
    <xf numFmtId="0" fontId="83" fillId="61" borderId="252" xfId="4" applyFont="1" applyFill="1" applyBorder="1" applyAlignment="1">
      <alignment horizontal="left" vertical="center" wrapText="1"/>
    </xf>
    <xf numFmtId="0" fontId="39" fillId="61" borderId="209" xfId="0" applyFont="1" applyFill="1" applyBorder="1" applyAlignment="1">
      <alignment vertical="center" wrapText="1"/>
    </xf>
    <xf numFmtId="0" fontId="83" fillId="6" borderId="252" xfId="4" applyFont="1" applyFill="1" applyBorder="1" applyAlignment="1">
      <alignment horizontal="left" vertical="center" wrapText="1"/>
    </xf>
    <xf numFmtId="0" fontId="39" fillId="6" borderId="209" xfId="0" applyFont="1" applyFill="1" applyBorder="1" applyAlignment="1">
      <alignment vertical="center" wrapText="1"/>
    </xf>
    <xf numFmtId="0" fontId="83" fillId="61" borderId="252" xfId="4" applyFont="1" applyFill="1" applyBorder="1" applyAlignment="1">
      <alignment horizontal="left" vertical="center"/>
    </xf>
    <xf numFmtId="0" fontId="39" fillId="61" borderId="209" xfId="0" applyFont="1" applyFill="1" applyBorder="1" applyAlignment="1">
      <alignment vertical="center"/>
    </xf>
    <xf numFmtId="164" fontId="78" fillId="2" borderId="208" xfId="0" applyNumberFormat="1" applyFont="1" applyFill="1" applyBorder="1" applyAlignment="1">
      <alignment vertical="center" wrapText="1"/>
    </xf>
    <xf numFmtId="3" fontId="78" fillId="2" borderId="208" xfId="0" applyNumberFormat="1" applyFont="1" applyFill="1" applyBorder="1" applyAlignment="1">
      <alignment vertical="center" wrapText="1"/>
    </xf>
    <xf numFmtId="0" fontId="78" fillId="2" borderId="208" xfId="0" applyFont="1" applyFill="1" applyBorder="1" applyAlignment="1">
      <alignment vertical="center" wrapText="1"/>
    </xf>
    <xf numFmtId="3" fontId="68" fillId="40" borderId="253" xfId="0" applyNumberFormat="1" applyFont="1" applyFill="1" applyBorder="1" applyAlignment="1">
      <alignment horizontal="center" vertical="center" wrapText="1"/>
    </xf>
    <xf numFmtId="3" fontId="68" fillId="40" borderId="208" xfId="0" applyNumberFormat="1" applyFont="1" applyFill="1" applyBorder="1" applyAlignment="1">
      <alignment horizontal="center" vertical="center" wrapText="1"/>
    </xf>
    <xf numFmtId="0" fontId="94" fillId="61" borderId="252" xfId="4" applyFont="1" applyFill="1" applyBorder="1" applyAlignment="1">
      <alignment horizontal="left" vertical="center" wrapText="1"/>
    </xf>
    <xf numFmtId="0" fontId="95" fillId="61" borderId="209" xfId="0" applyFont="1" applyFill="1" applyBorder="1" applyAlignment="1">
      <alignment vertical="center" wrapText="1"/>
    </xf>
    <xf numFmtId="3" fontId="96" fillId="4" borderId="206" xfId="0" applyNumberFormat="1" applyFont="1" applyFill="1" applyBorder="1" applyAlignment="1">
      <alignment vertical="center" wrapText="1"/>
    </xf>
    <xf numFmtId="3" fontId="97" fillId="40" borderId="253" xfId="0" applyNumberFormat="1" applyFont="1" applyFill="1" applyBorder="1" applyAlignment="1">
      <alignment vertical="center" wrapText="1"/>
    </xf>
    <xf numFmtId="3" fontId="97" fillId="40" borderId="208" xfId="0" applyNumberFormat="1" applyFont="1" applyFill="1" applyBorder="1" applyAlignment="1">
      <alignment vertical="center" wrapText="1"/>
    </xf>
    <xf numFmtId="0" fontId="94" fillId="6" borderId="252" xfId="4" applyFont="1" applyFill="1" applyBorder="1" applyAlignment="1">
      <alignment horizontal="left" vertical="center" wrapText="1"/>
    </xf>
    <xf numFmtId="0" fontId="95" fillId="6" borderId="209" xfId="0" applyFont="1" applyFill="1" applyBorder="1" applyAlignment="1">
      <alignment vertical="center" wrapText="1"/>
    </xf>
    <xf numFmtId="3" fontId="96" fillId="6" borderId="206" xfId="0" applyNumberFormat="1" applyFont="1" applyFill="1" applyBorder="1" applyAlignment="1">
      <alignment vertical="center" wrapText="1"/>
    </xf>
    <xf numFmtId="3" fontId="97" fillId="40" borderId="253" xfId="0" applyNumberFormat="1" applyFont="1" applyFill="1" applyBorder="1" applyAlignment="1">
      <alignment horizontal="center" vertical="center" wrapText="1"/>
    </xf>
    <xf numFmtId="3" fontId="97" fillId="40" borderId="208" xfId="0" applyNumberFormat="1" applyFont="1" applyFill="1" applyBorder="1" applyAlignment="1">
      <alignment horizontal="center" vertical="center" wrapText="1"/>
    </xf>
    <xf numFmtId="0" fontId="8" fillId="0" borderId="208" xfId="0" applyFont="1" applyBorder="1" applyAlignment="1">
      <alignment horizontal="center" vertical="center"/>
    </xf>
    <xf numFmtId="0" fontId="6" fillId="0" borderId="208" xfId="0" applyFont="1" applyBorder="1"/>
    <xf numFmtId="3" fontId="6" fillId="0" borderId="208" xfId="0" applyNumberFormat="1" applyFont="1" applyBorder="1"/>
    <xf numFmtId="3" fontId="8" fillId="0" borderId="208" xfId="0" applyNumberFormat="1" applyFont="1" applyBorder="1"/>
    <xf numFmtId="164" fontId="8" fillId="0" borderId="208" xfId="0" applyNumberFormat="1" applyFont="1" applyBorder="1"/>
    <xf numFmtId="3" fontId="8" fillId="0" borderId="279" xfId="0" applyNumberFormat="1" applyFont="1" applyBorder="1"/>
    <xf numFmtId="0" fontId="68" fillId="0" borderId="208" xfId="0" applyFont="1" applyBorder="1"/>
    <xf numFmtId="0" fontId="36" fillId="0" borderId="208" xfId="0" applyFont="1" applyBorder="1" applyAlignment="1">
      <alignment horizontal="right"/>
    </xf>
    <xf numFmtId="0" fontId="36" fillId="0" borderId="208" xfId="0" applyFont="1" applyBorder="1" applyAlignment="1">
      <alignment horizontal="center" vertical="center"/>
    </xf>
    <xf numFmtId="0" fontId="8" fillId="0" borderId="208" xfId="0" applyFont="1" applyBorder="1" applyAlignment="1">
      <alignment wrapText="1"/>
    </xf>
    <xf numFmtId="0" fontId="36" fillId="0" borderId="208" xfId="0" applyFont="1" applyBorder="1" applyAlignment="1">
      <alignment horizontal="left" vertical="center"/>
    </xf>
    <xf numFmtId="0" fontId="8" fillId="0" borderId="252" xfId="0" applyFont="1" applyBorder="1" applyAlignment="1">
      <alignment horizontal="center" vertical="center"/>
    </xf>
    <xf numFmtId="0" fontId="20" fillId="0" borderId="208" xfId="0" applyFont="1" applyBorder="1" applyAlignment="1">
      <alignment wrapText="1"/>
    </xf>
    <xf numFmtId="0" fontId="70" fillId="2" borderId="204" xfId="3" applyFont="1" applyFill="1" applyBorder="1" applyAlignment="1">
      <alignment horizontal="center" vertical="center" wrapText="1"/>
    </xf>
    <xf numFmtId="0" fontId="71" fillId="2" borderId="204" xfId="0" applyFont="1" applyFill="1" applyBorder="1" applyAlignment="1">
      <alignment horizontal="center" vertical="center" wrapText="1"/>
    </xf>
    <xf numFmtId="0" fontId="4" fillId="0" borderId="204" xfId="0" applyFont="1" applyBorder="1" applyAlignment="1">
      <alignment vertical="center"/>
    </xf>
    <xf numFmtId="0" fontId="4" fillId="0" borderId="204" xfId="0" applyFont="1" applyBorder="1" applyAlignment="1">
      <alignment horizontal="center" vertical="center"/>
    </xf>
    <xf numFmtId="0" fontId="16" fillId="2" borderId="204" xfId="4" applyFont="1" applyFill="1" applyBorder="1" applyAlignment="1">
      <alignment horizontal="center" vertical="center"/>
    </xf>
    <xf numFmtId="0" fontId="34" fillId="2" borderId="204" xfId="4" applyFont="1" applyFill="1" applyBorder="1" applyAlignment="1">
      <alignment vertical="center"/>
    </xf>
    <xf numFmtId="0" fontId="17" fillId="0" borderId="263" xfId="4" applyFont="1" applyBorder="1" applyAlignment="1">
      <alignment horizontal="center" vertical="center" wrapText="1"/>
    </xf>
    <xf numFmtId="0" fontId="19" fillId="0" borderId="263" xfId="4" applyFont="1" applyBorder="1" applyAlignment="1">
      <alignment horizontal="center" vertical="center" wrapText="1"/>
    </xf>
    <xf numFmtId="0" fontId="19" fillId="0" borderId="213" xfId="4" applyFont="1" applyBorder="1" applyAlignment="1">
      <alignment horizontal="center" vertical="center" wrapText="1"/>
    </xf>
    <xf numFmtId="0" fontId="25" fillId="0" borderId="216" xfId="4" applyFont="1" applyBorder="1" applyAlignment="1">
      <alignment horizontal="center" vertical="center" wrapText="1"/>
    </xf>
    <xf numFmtId="0" fontId="20" fillId="0" borderId="216" xfId="4" applyFont="1" applyBorder="1" applyAlignment="1">
      <alignment horizontal="center" vertical="center" wrapText="1"/>
    </xf>
    <xf numFmtId="0" fontId="26" fillId="32" borderId="215" xfId="6" applyFont="1" applyFill="1" applyBorder="1" applyAlignment="1">
      <alignment horizontal="center" vertical="center" wrapText="1"/>
    </xf>
    <xf numFmtId="0" fontId="20" fillId="0" borderId="215" xfId="4" applyFont="1" applyBorder="1" applyAlignment="1">
      <alignment horizontal="center" wrapText="1"/>
    </xf>
    <xf numFmtId="0" fontId="20" fillId="0" borderId="270" xfId="4" applyFont="1" applyBorder="1" applyAlignment="1">
      <alignment horizontal="center" wrapText="1"/>
    </xf>
    <xf numFmtId="0" fontId="20" fillId="0" borderId="270" xfId="4" applyFont="1" applyBorder="1" applyAlignment="1">
      <alignment wrapText="1"/>
    </xf>
    <xf numFmtId="0" fontId="20" fillId="0" borderId="220" xfId="4" applyFont="1" applyBorder="1" applyAlignment="1">
      <alignment wrapText="1"/>
    </xf>
    <xf numFmtId="0" fontId="17" fillId="0" borderId="234" xfId="4" applyFont="1" applyBorder="1" applyAlignment="1">
      <alignment horizontal="center" vertical="center"/>
    </xf>
    <xf numFmtId="0" fontId="19" fillId="0" borderId="234" xfId="4" applyFont="1" applyBorder="1" applyAlignment="1">
      <alignment horizontal="center" vertical="center" wrapText="1"/>
    </xf>
    <xf numFmtId="0" fontId="19" fillId="0" borderId="235" xfId="4" applyFont="1" applyBorder="1" applyAlignment="1">
      <alignment horizontal="center" vertical="center" wrapText="1"/>
    </xf>
    <xf numFmtId="0" fontId="25" fillId="0" borderId="264" xfId="4" applyFont="1" applyBorder="1" applyAlignment="1">
      <alignment horizontal="center" vertical="center" wrapText="1"/>
    </xf>
    <xf numFmtId="0" fontId="22" fillId="0" borderId="264" xfId="6" applyFont="1" applyBorder="1" applyAlignment="1">
      <alignment horizontal="center" vertical="center" wrapText="1"/>
    </xf>
    <xf numFmtId="0" fontId="20" fillId="0" borderId="264" xfId="4" applyFont="1" applyBorder="1" applyAlignment="1">
      <alignment horizontal="center" vertical="center" wrapText="1"/>
    </xf>
    <xf numFmtId="0" fontId="26" fillId="32" borderId="280" xfId="6" applyFont="1" applyFill="1" applyBorder="1" applyAlignment="1">
      <alignment horizontal="center" vertical="center" wrapText="1"/>
    </xf>
    <xf numFmtId="0" fontId="20" fillId="0" borderId="280" xfId="4" applyFont="1" applyBorder="1" applyAlignment="1">
      <alignment horizontal="center" wrapText="1"/>
    </xf>
    <xf numFmtId="0" fontId="20" fillId="0" borderId="204" xfId="4" applyFont="1" applyBorder="1" applyAlignment="1">
      <alignment horizontal="center" wrapText="1"/>
    </xf>
    <xf numFmtId="0" fontId="20" fillId="0" borderId="204" xfId="4" applyFont="1" applyBorder="1" applyAlignment="1">
      <alignment wrapText="1"/>
    </xf>
    <xf numFmtId="0" fontId="20" fillId="0" borderId="238" xfId="4" applyFont="1" applyBorder="1" applyAlignment="1">
      <alignment wrapText="1"/>
    </xf>
    <xf numFmtId="0" fontId="20" fillId="0" borderId="212" xfId="4" applyFont="1" applyBorder="1" applyAlignment="1">
      <alignment horizontal="center" wrapText="1"/>
    </xf>
    <xf numFmtId="0" fontId="20" fillId="0" borderId="262" xfId="4" applyFont="1" applyBorder="1" applyAlignment="1">
      <alignment horizontal="center" wrapText="1"/>
    </xf>
    <xf numFmtId="0" fontId="20" fillId="0" borderId="262" xfId="4" applyFont="1" applyBorder="1" applyAlignment="1">
      <alignment wrapText="1"/>
    </xf>
    <xf numFmtId="0" fontId="20" fillId="0" borderId="223" xfId="4" applyFont="1" applyBorder="1" applyAlignment="1">
      <alignment wrapText="1"/>
    </xf>
    <xf numFmtId="0" fontId="17" fillId="0" borderId="265" xfId="4" applyFont="1" applyBorder="1" applyAlignment="1">
      <alignment horizontal="center" vertical="center"/>
    </xf>
    <xf numFmtId="0" fontId="19" fillId="0" borderId="265" xfId="4" applyFont="1" applyBorder="1" applyAlignment="1">
      <alignment horizontal="center" vertical="center" wrapText="1"/>
    </xf>
    <xf numFmtId="0" fontId="19" fillId="0" borderId="222" xfId="4" applyFont="1" applyBorder="1" applyAlignment="1">
      <alignment horizontal="center" vertical="center" wrapText="1"/>
    </xf>
    <xf numFmtId="0" fontId="25" fillId="0" borderId="211" xfId="4" applyFont="1" applyBorder="1" applyAlignment="1">
      <alignment horizontal="center" vertical="center" wrapText="1"/>
    </xf>
    <xf numFmtId="0" fontId="22" fillId="0" borderId="211" xfId="6" applyFont="1" applyBorder="1" applyAlignment="1">
      <alignment horizontal="center" vertical="center" wrapText="1"/>
    </xf>
    <xf numFmtId="0" fontId="20" fillId="0" borderId="211" xfId="4" applyFont="1" applyBorder="1" applyAlignment="1">
      <alignment horizontal="center" vertical="center" wrapText="1"/>
    </xf>
    <xf numFmtId="0" fontId="26" fillId="32" borderId="212" xfId="6" applyFont="1" applyFill="1" applyBorder="1" applyAlignment="1">
      <alignment horizontal="center" vertical="center" wrapText="1"/>
    </xf>
    <xf numFmtId="0" fontId="26" fillId="63" borderId="281" xfId="6" applyFont="1" applyFill="1" applyBorder="1" applyAlignment="1">
      <alignment horizontal="center" vertical="center"/>
    </xf>
    <xf numFmtId="0" fontId="26" fillId="0" borderId="262" xfId="6" applyFont="1" applyBorder="1" applyAlignment="1">
      <alignment horizontal="center" vertical="center"/>
    </xf>
    <xf numFmtId="0" fontId="26" fillId="0" borderId="211" xfId="6" applyFont="1" applyBorder="1" applyAlignment="1">
      <alignment horizontal="center" vertical="center"/>
    </xf>
    <xf numFmtId="0" fontId="26" fillId="0" borderId="223" xfId="6" applyFont="1" applyBorder="1" applyAlignment="1">
      <alignment horizontal="center" vertical="center"/>
    </xf>
    <xf numFmtId="0" fontId="21" fillId="2" borderId="224" xfId="0" applyFont="1" applyFill="1" applyBorder="1" applyAlignment="1">
      <alignment horizontal="center" vertical="center"/>
    </xf>
    <xf numFmtId="0" fontId="21" fillId="2" borderId="225" xfId="0" applyFont="1" applyFill="1" applyBorder="1" applyAlignment="1">
      <alignment horizontal="center" vertical="center"/>
    </xf>
    <xf numFmtId="0" fontId="21" fillId="2" borderId="227" xfId="0" applyFont="1" applyFill="1" applyBorder="1" applyAlignment="1">
      <alignment horizontal="center" vertical="center"/>
    </xf>
    <xf numFmtId="0" fontId="21" fillId="2" borderId="228" xfId="0" quotePrefix="1" applyFont="1" applyFill="1" applyBorder="1" applyAlignment="1">
      <alignment horizontal="center" vertical="center"/>
    </xf>
    <xf numFmtId="0" fontId="21" fillId="2" borderId="282" xfId="0" quotePrefix="1" applyFont="1" applyFill="1" applyBorder="1" applyAlignment="1">
      <alignment horizontal="center" vertical="center"/>
    </xf>
    <xf numFmtId="0" fontId="21" fillId="2" borderId="281" xfId="0" quotePrefix="1" applyFont="1" applyFill="1" applyBorder="1" applyAlignment="1">
      <alignment horizontal="center" vertical="center"/>
    </xf>
    <xf numFmtId="0" fontId="21" fillId="2" borderId="225" xfId="0" quotePrefix="1" applyFont="1" applyFill="1" applyBorder="1" applyAlignment="1">
      <alignment horizontal="center" vertical="center"/>
    </xf>
    <xf numFmtId="0" fontId="75" fillId="64" borderId="263" xfId="0" applyFont="1" applyFill="1" applyBorder="1" applyAlignment="1">
      <alignment horizontal="center" vertical="center" wrapText="1"/>
    </xf>
    <xf numFmtId="0" fontId="72" fillId="64" borderId="263" xfId="0" applyFont="1" applyFill="1" applyBorder="1" applyAlignment="1">
      <alignment horizontal="center" vertical="center" wrapText="1"/>
    </xf>
    <xf numFmtId="43" fontId="72" fillId="64" borderId="230" xfId="1" applyFont="1" applyFill="1" applyBorder="1" applyAlignment="1">
      <alignment horizontal="center" vertical="center" wrapText="1"/>
    </xf>
    <xf numFmtId="43" fontId="21" fillId="64" borderId="216" xfId="1" quotePrefix="1" applyFont="1" applyFill="1" applyBorder="1" applyAlignment="1">
      <alignment horizontal="center" vertical="center"/>
    </xf>
    <xf numFmtId="3" fontId="62" fillId="64" borderId="271" xfId="0" quotePrefix="1" applyNumberFormat="1" applyFont="1" applyFill="1" applyBorder="1" applyAlignment="1">
      <alignment horizontal="right" vertical="center"/>
    </xf>
    <xf numFmtId="3" fontId="62" fillId="64" borderId="220" xfId="0" quotePrefix="1" applyNumberFormat="1" applyFont="1" applyFill="1" applyBorder="1" applyAlignment="1">
      <alignment horizontal="right" vertical="center"/>
    </xf>
    <xf numFmtId="0" fontId="21" fillId="65" borderId="263" xfId="0" applyFont="1" applyFill="1" applyBorder="1" applyAlignment="1">
      <alignment horizontal="center" vertical="center"/>
    </xf>
    <xf numFmtId="0" fontId="113" fillId="65" borderId="220" xfId="0" applyFont="1" applyFill="1" applyBorder="1" applyAlignment="1">
      <alignment horizontal="center" vertical="center"/>
    </xf>
    <xf numFmtId="0" fontId="21" fillId="65" borderId="270" xfId="0" applyFont="1" applyFill="1" applyBorder="1" applyAlignment="1">
      <alignment horizontal="center" vertical="center"/>
    </xf>
    <xf numFmtId="0" fontId="21" fillId="65" borderId="216" xfId="0" quotePrefix="1" applyFont="1" applyFill="1" applyBorder="1" applyAlignment="1">
      <alignment horizontal="center" vertical="center"/>
    </xf>
    <xf numFmtId="0" fontId="21" fillId="65" borderId="271" xfId="0" quotePrefix="1" applyFont="1" applyFill="1" applyBorder="1" applyAlignment="1">
      <alignment horizontal="center" vertical="center"/>
    </xf>
    <xf numFmtId="0" fontId="21" fillId="65" borderId="270" xfId="0" quotePrefix="1" applyFont="1" applyFill="1" applyBorder="1" applyAlignment="1">
      <alignment horizontal="center" vertical="center"/>
    </xf>
    <xf numFmtId="0" fontId="21" fillId="65" borderId="220" xfId="0" quotePrefix="1" applyFont="1" applyFill="1" applyBorder="1" applyAlignment="1">
      <alignment horizontal="center" vertical="center"/>
    </xf>
    <xf numFmtId="0" fontId="4" fillId="65" borderId="204" xfId="0" applyFont="1" applyFill="1" applyBorder="1" applyAlignment="1">
      <alignment vertical="center"/>
    </xf>
    <xf numFmtId="0" fontId="67" fillId="66" borderId="233" xfId="4" applyFont="1" applyFill="1" applyBorder="1" applyAlignment="1">
      <alignment horizontal="center" vertical="center" wrapText="1"/>
    </xf>
    <xf numFmtId="0" fontId="66" fillId="66" borderId="224" xfId="4" applyFont="1" applyFill="1" applyBorder="1" applyAlignment="1">
      <alignment horizontal="left" vertical="center" wrapText="1"/>
    </xf>
    <xf numFmtId="0" fontId="7" fillId="66" borderId="227" xfId="4" applyFont="1" applyFill="1" applyBorder="1" applyAlignment="1">
      <alignment vertical="center"/>
    </xf>
    <xf numFmtId="0" fontId="32" fillId="66" borderId="228" xfId="0" applyFont="1" applyFill="1" applyBorder="1" applyAlignment="1">
      <alignment horizontal="center" vertical="center" wrapText="1"/>
    </xf>
    <xf numFmtId="3" fontId="37" fillId="66" borderId="228" xfId="4" applyNumberFormat="1" applyFont="1" applyFill="1" applyBorder="1" applyAlignment="1">
      <alignment horizontal="right" vertical="center"/>
    </xf>
    <xf numFmtId="3" fontId="37" fillId="66" borderId="281" xfId="4" applyNumberFormat="1" applyFont="1" applyFill="1" applyBorder="1" applyAlignment="1">
      <alignment horizontal="right" vertical="center"/>
    </xf>
    <xf numFmtId="3" fontId="37" fillId="66" borderId="225" xfId="4" applyNumberFormat="1" applyFont="1" applyFill="1" applyBorder="1" applyAlignment="1">
      <alignment horizontal="right" vertical="center"/>
    </xf>
    <xf numFmtId="0" fontId="66" fillId="67" borderId="224" xfId="4" applyFont="1" applyFill="1" applyBorder="1" applyAlignment="1">
      <alignment horizontal="center" vertical="center" wrapText="1"/>
    </xf>
    <xf numFmtId="0" fontId="66" fillId="67" borderId="224" xfId="4" applyFont="1" applyFill="1" applyBorder="1" applyAlignment="1">
      <alignment horizontal="left" vertical="center" wrapText="1"/>
    </xf>
    <xf numFmtId="0" fontId="7" fillId="67" borderId="227" xfId="4" applyFont="1" applyFill="1" applyBorder="1" applyAlignment="1">
      <alignment vertical="center"/>
    </xf>
    <xf numFmtId="0" fontId="32" fillId="67" borderId="228" xfId="0" applyFont="1" applyFill="1" applyBorder="1" applyAlignment="1">
      <alignment horizontal="center" vertical="center" wrapText="1"/>
    </xf>
    <xf numFmtId="3" fontId="37" fillId="67" borderId="228" xfId="4" applyNumberFormat="1" applyFont="1" applyFill="1" applyBorder="1" applyAlignment="1">
      <alignment horizontal="right" vertical="center"/>
    </xf>
    <xf numFmtId="3" fontId="37" fillId="67" borderId="281" xfId="4" applyNumberFormat="1" applyFont="1" applyFill="1" applyBorder="1" applyAlignment="1">
      <alignment horizontal="right" vertical="center"/>
    </xf>
    <xf numFmtId="3" fontId="37" fillId="67" borderId="225" xfId="4" applyNumberFormat="1" applyFont="1" applyFill="1" applyBorder="1" applyAlignment="1">
      <alignment horizontal="right" vertical="center"/>
    </xf>
    <xf numFmtId="0" fontId="66" fillId="32" borderId="234" xfId="4" applyFont="1" applyFill="1" applyBorder="1" applyAlignment="1">
      <alignment horizontal="center" vertical="center" wrapText="1"/>
    </xf>
    <xf numFmtId="0" fontId="22" fillId="32" borderId="234" xfId="4" applyFont="1" applyFill="1" applyBorder="1" applyAlignment="1">
      <alignment horizontal="left" vertical="center" wrapText="1"/>
    </xf>
    <xf numFmtId="3" fontId="7" fillId="62" borderId="204" xfId="4" applyNumberFormat="1" applyFont="1" applyFill="1" applyBorder="1" applyAlignment="1">
      <alignment vertical="center"/>
    </xf>
    <xf numFmtId="0" fontId="32" fillId="32" borderId="264" xfId="0" applyFont="1" applyFill="1" applyBorder="1" applyAlignment="1">
      <alignment horizontal="center" vertical="center" wrapText="1"/>
    </xf>
    <xf numFmtId="3" fontId="37" fillId="32" borderId="264" xfId="4" applyNumberFormat="1" applyFont="1" applyFill="1" applyBorder="1" applyAlignment="1">
      <alignment horizontal="right" vertical="center"/>
    </xf>
    <xf numFmtId="3" fontId="37" fillId="32" borderId="239" xfId="4" applyNumberFormat="1" applyFont="1" applyFill="1" applyBorder="1" applyAlignment="1">
      <alignment horizontal="right" vertical="center"/>
    </xf>
    <xf numFmtId="3" fontId="37" fillId="32" borderId="238" xfId="4" applyNumberFormat="1" applyFont="1" applyFill="1" applyBorder="1" applyAlignment="1">
      <alignment horizontal="right" vertical="center"/>
    </xf>
    <xf numFmtId="0" fontId="4" fillId="32" borderId="204" xfId="0" applyFont="1" applyFill="1" applyBorder="1" applyAlignment="1">
      <alignment vertical="center"/>
    </xf>
    <xf numFmtId="0" fontId="67" fillId="67" borderId="283" xfId="4" applyFont="1" applyFill="1" applyBorder="1" applyAlignment="1">
      <alignment horizontal="center" vertical="center" wrapText="1"/>
    </xf>
    <xf numFmtId="0" fontId="74" fillId="67" borderId="267" xfId="4" applyFont="1" applyFill="1" applyBorder="1" applyAlignment="1">
      <alignment horizontal="left" vertical="center" wrapText="1"/>
    </xf>
    <xf numFmtId="0" fontId="28" fillId="68" borderId="266" xfId="4" applyFont="1" applyFill="1" applyBorder="1" applyAlignment="1">
      <alignment vertical="center"/>
    </xf>
    <xf numFmtId="0" fontId="32" fillId="68" borderId="255" xfId="0" applyFont="1" applyFill="1" applyBorder="1" applyAlignment="1">
      <alignment horizontal="center" vertical="center" wrapText="1"/>
    </xf>
    <xf numFmtId="3" fontId="37" fillId="68" borderId="255" xfId="4" applyNumberFormat="1" applyFont="1" applyFill="1" applyBorder="1" applyAlignment="1">
      <alignment horizontal="right" vertical="center"/>
    </xf>
    <xf numFmtId="3" fontId="37" fillId="68" borderId="204" xfId="4" applyNumberFormat="1" applyFont="1" applyFill="1" applyBorder="1" applyAlignment="1">
      <alignment horizontal="right" vertical="center"/>
    </xf>
    <xf numFmtId="0" fontId="7" fillId="32" borderId="204" xfId="4" applyFont="1" applyFill="1" applyBorder="1" applyAlignment="1">
      <alignment vertical="center"/>
    </xf>
    <xf numFmtId="3" fontId="37" fillId="32" borderId="280" xfId="4" applyNumberFormat="1" applyFont="1" applyFill="1" applyBorder="1" applyAlignment="1">
      <alignment horizontal="right" vertical="center"/>
    </xf>
    <xf numFmtId="0" fontId="24" fillId="0" borderId="213" xfId="4" applyFont="1" applyFill="1" applyBorder="1" applyAlignment="1">
      <alignment horizontal="center" vertical="center"/>
    </xf>
    <xf numFmtId="0" fontId="24" fillId="0" borderId="250" xfId="4" applyFont="1" applyFill="1" applyBorder="1" applyAlignment="1">
      <alignment vertical="center" wrapText="1"/>
    </xf>
    <xf numFmtId="0" fontId="24" fillId="0" borderId="232" xfId="4" applyFont="1" applyFill="1" applyBorder="1" applyAlignment="1">
      <alignment horizontal="center" vertical="center" wrapText="1"/>
    </xf>
    <xf numFmtId="165" fontId="65" fillId="0" borderId="214" xfId="0" applyNumberFormat="1" applyFont="1" applyFill="1" applyBorder="1" applyAlignment="1">
      <alignment horizontal="center" vertical="center" wrapText="1"/>
    </xf>
    <xf numFmtId="3" fontId="7" fillId="0" borderId="214" xfId="4" applyNumberFormat="1" applyFont="1" applyFill="1" applyBorder="1" applyAlignment="1">
      <alignment horizontal="right" vertical="center"/>
    </xf>
    <xf numFmtId="3" fontId="24" fillId="0" borderId="214" xfId="4" applyNumberFormat="1" applyFont="1" applyFill="1" applyBorder="1" applyAlignment="1">
      <alignment horizontal="right" vertical="center"/>
    </xf>
    <xf numFmtId="3" fontId="24" fillId="0" borderId="217" xfId="4" applyNumberFormat="1" applyFont="1" applyFill="1" applyBorder="1" applyAlignment="1">
      <alignment horizontal="right" vertical="center"/>
    </xf>
    <xf numFmtId="3" fontId="24" fillId="0" borderId="250" xfId="4" applyNumberFormat="1" applyFont="1" applyFill="1" applyBorder="1" applyAlignment="1">
      <alignment horizontal="right" vertical="center"/>
    </xf>
    <xf numFmtId="3" fontId="24" fillId="0" borderId="220" xfId="4" applyNumberFormat="1" applyFont="1" applyFill="1" applyBorder="1" applyAlignment="1">
      <alignment horizontal="right" vertical="center"/>
    </xf>
    <xf numFmtId="0" fontId="24" fillId="0" borderId="235" xfId="4" applyFont="1" applyFill="1" applyBorder="1" applyAlignment="1">
      <alignment horizontal="center" vertical="center"/>
    </xf>
    <xf numFmtId="0" fontId="25" fillId="56" borderId="258" xfId="4" applyFont="1" applyFill="1" applyBorder="1" applyAlignment="1">
      <alignment horizontal="left" vertical="center"/>
    </xf>
    <xf numFmtId="0" fontId="25" fillId="56" borderId="205" xfId="4" applyFont="1" applyFill="1" applyBorder="1" applyAlignment="1">
      <alignment horizontal="left" vertical="center"/>
    </xf>
    <xf numFmtId="0" fontId="25" fillId="56" borderId="255" xfId="4" applyFont="1" applyFill="1" applyBorder="1" applyAlignment="1">
      <alignment horizontal="left" vertical="center"/>
    </xf>
    <xf numFmtId="3" fontId="25" fillId="56" borderId="255" xfId="4" applyNumberFormat="1" applyFont="1" applyFill="1" applyBorder="1" applyAlignment="1">
      <alignment horizontal="right" vertical="center"/>
    </xf>
    <xf numFmtId="3" fontId="25" fillId="56" borderId="266" xfId="4" applyNumberFormat="1" applyFont="1" applyFill="1" applyBorder="1" applyAlignment="1">
      <alignment horizontal="right" vertical="center"/>
    </xf>
    <xf numFmtId="3" fontId="25" fillId="56" borderId="268" xfId="4" applyNumberFormat="1" applyFont="1" applyFill="1" applyBorder="1" applyAlignment="1">
      <alignment horizontal="right" vertical="center"/>
    </xf>
    <xf numFmtId="3" fontId="25" fillId="56" borderId="238" xfId="4" applyNumberFormat="1" applyFont="1" applyFill="1" applyBorder="1" applyAlignment="1">
      <alignment horizontal="right" vertical="center"/>
    </xf>
    <xf numFmtId="3" fontId="27" fillId="2" borderId="253" xfId="4" applyNumberFormat="1" applyFont="1" applyFill="1" applyBorder="1" applyAlignment="1">
      <alignment vertical="center" wrapText="1"/>
    </xf>
    <xf numFmtId="3" fontId="27" fillId="2" borderId="208" xfId="4" applyNumberFormat="1" applyFont="1" applyFill="1" applyBorder="1" applyAlignment="1">
      <alignment vertical="center" wrapText="1"/>
    </xf>
    <xf numFmtId="3" fontId="25" fillId="2" borderId="206" xfId="4" applyNumberFormat="1" applyFont="1" applyFill="1" applyBorder="1" applyAlignment="1">
      <alignment horizontal="center" vertical="center" wrapText="1"/>
    </xf>
    <xf numFmtId="3" fontId="27" fillId="2" borderId="206" xfId="4" applyNumberFormat="1" applyFont="1" applyFill="1" applyBorder="1" applyAlignment="1">
      <alignment horizontal="right" vertical="center"/>
    </xf>
    <xf numFmtId="3" fontId="27" fillId="2" borderId="236" xfId="4" applyNumberFormat="1" applyFont="1" applyFill="1" applyBorder="1" applyAlignment="1">
      <alignment horizontal="right" vertical="center"/>
    </xf>
    <xf numFmtId="3" fontId="27" fillId="2" borderId="238" xfId="4" applyNumberFormat="1" applyFont="1" applyFill="1" applyBorder="1" applyAlignment="1">
      <alignment horizontal="right" vertical="center"/>
    </xf>
    <xf numFmtId="0" fontId="21" fillId="0" borderId="260" xfId="4" applyFont="1" applyFill="1" applyBorder="1" applyAlignment="1">
      <alignment vertical="center"/>
    </xf>
    <xf numFmtId="0" fontId="7" fillId="0" borderId="273" xfId="4" applyFont="1" applyFill="1" applyBorder="1" applyAlignment="1">
      <alignment vertical="center"/>
    </xf>
    <xf numFmtId="0" fontId="32" fillId="0" borderId="211" xfId="0" applyFont="1" applyBorder="1" applyAlignment="1">
      <alignment horizontal="center" vertical="center" wrapText="1"/>
    </xf>
    <xf numFmtId="3" fontId="21" fillId="2" borderId="211" xfId="4" applyNumberFormat="1" applyFont="1" applyFill="1" applyBorder="1" applyAlignment="1">
      <alignment horizontal="right" vertical="center"/>
    </xf>
    <xf numFmtId="3" fontId="21" fillId="0" borderId="247" xfId="4" applyNumberFormat="1" applyFont="1" applyFill="1" applyBorder="1" applyAlignment="1">
      <alignment horizontal="right" vertical="center"/>
    </xf>
    <xf numFmtId="3" fontId="21" fillId="0" borderId="260" xfId="4" applyNumberFormat="1" applyFont="1" applyFill="1" applyBorder="1" applyAlignment="1">
      <alignment horizontal="right" vertical="center"/>
    </xf>
    <xf numFmtId="3" fontId="21" fillId="0" borderId="238" xfId="4" applyNumberFormat="1" applyFont="1" applyFill="1" applyBorder="1" applyAlignment="1">
      <alignment horizontal="right" vertical="center"/>
    </xf>
    <xf numFmtId="0" fontId="24" fillId="0" borderId="222" xfId="4" applyFont="1" applyFill="1" applyBorder="1" applyAlignment="1">
      <alignment horizontal="center" vertical="center"/>
    </xf>
    <xf numFmtId="0" fontId="25" fillId="58" borderId="248" xfId="4" applyFont="1" applyFill="1" applyBorder="1" applyAlignment="1">
      <alignment horizontal="left" vertical="center"/>
    </xf>
    <xf numFmtId="0" fontId="25" fillId="58" borderId="262" xfId="4" applyFont="1" applyFill="1" applyBorder="1" applyAlignment="1">
      <alignment horizontal="left" vertical="center"/>
    </xf>
    <xf numFmtId="0" fontId="25" fillId="58" borderId="211" xfId="4" applyFont="1" applyFill="1" applyBorder="1" applyAlignment="1">
      <alignment horizontal="left" vertical="center"/>
    </xf>
    <xf numFmtId="3" fontId="25" fillId="58" borderId="211" xfId="4" applyNumberFormat="1" applyFont="1" applyFill="1" applyBorder="1" applyAlignment="1">
      <alignment horizontal="right" vertical="center"/>
    </xf>
    <xf numFmtId="3" fontId="25" fillId="58" borderId="210" xfId="4" applyNumberFormat="1" applyFont="1" applyFill="1" applyBorder="1" applyAlignment="1">
      <alignment horizontal="right" vertical="center"/>
    </xf>
    <xf numFmtId="3" fontId="25" fillId="58" borderId="223" xfId="4" applyNumberFormat="1" applyFont="1" applyFill="1" applyBorder="1" applyAlignment="1">
      <alignment horizontal="right" vertical="center"/>
    </xf>
    <xf numFmtId="3" fontId="7" fillId="0" borderId="273" xfId="4" applyNumberFormat="1" applyFont="1" applyFill="1" applyBorder="1" applyAlignment="1">
      <alignment vertical="center"/>
    </xf>
    <xf numFmtId="0" fontId="26" fillId="0" borderId="248" xfId="6" applyFont="1" applyBorder="1" applyAlignment="1">
      <alignment horizontal="center" vertical="center"/>
    </xf>
    <xf numFmtId="3" fontId="27" fillId="2" borderId="253" xfId="4" applyNumberFormat="1" applyFont="1" applyFill="1" applyBorder="1" applyAlignment="1">
      <alignment vertical="center"/>
    </xf>
    <xf numFmtId="0" fontId="24" fillId="32" borderId="213" xfId="4" applyFont="1" applyFill="1" applyBorder="1" applyAlignment="1">
      <alignment horizontal="center" vertical="center"/>
    </xf>
    <xf numFmtId="0" fontId="24" fillId="32" borderId="250" xfId="4" applyFont="1" applyFill="1" applyBorder="1" applyAlignment="1">
      <alignment vertical="center" wrapText="1"/>
    </xf>
    <xf numFmtId="0" fontId="24" fillId="32" borderId="235" xfId="4" applyFont="1" applyFill="1" applyBorder="1" applyAlignment="1">
      <alignment horizontal="center" vertical="center"/>
    </xf>
    <xf numFmtId="0" fontId="24" fillId="56" borderId="258" xfId="4" applyFont="1" applyFill="1" applyBorder="1" applyAlignment="1">
      <alignment horizontal="left" vertical="center"/>
    </xf>
    <xf numFmtId="3" fontId="29" fillId="2" borderId="253" xfId="4" applyNumberFormat="1" applyFont="1" applyFill="1" applyBorder="1" applyAlignment="1">
      <alignment vertical="center" wrapText="1"/>
    </xf>
    <xf numFmtId="0" fontId="18" fillId="0" borderId="260" xfId="4" applyFont="1" applyFill="1" applyBorder="1" applyAlignment="1">
      <alignment vertical="center"/>
    </xf>
    <xf numFmtId="0" fontId="24" fillId="32" borderId="222" xfId="4" applyFont="1" applyFill="1" applyBorder="1" applyAlignment="1">
      <alignment horizontal="center" vertical="center"/>
    </xf>
    <xf numFmtId="0" fontId="24" fillId="58" borderId="248" xfId="4" applyFont="1" applyFill="1" applyBorder="1" applyAlignment="1">
      <alignment horizontal="left" vertical="center"/>
    </xf>
    <xf numFmtId="0" fontId="24" fillId="61" borderId="250" xfId="4" applyFont="1" applyFill="1" applyBorder="1" applyAlignment="1">
      <alignment vertical="center" wrapText="1"/>
    </xf>
    <xf numFmtId="0" fontId="25" fillId="58" borderId="281" xfId="4" applyFont="1" applyFill="1" applyBorder="1" applyAlignment="1">
      <alignment horizontal="left" vertical="center"/>
    </xf>
    <xf numFmtId="0" fontId="25" fillId="58" borderId="227" xfId="4" applyFont="1" applyFill="1" applyBorder="1" applyAlignment="1">
      <alignment horizontal="left" vertical="center"/>
    </xf>
    <xf numFmtId="0" fontId="25" fillId="58" borderId="228" xfId="4" applyFont="1" applyFill="1" applyBorder="1" applyAlignment="1">
      <alignment horizontal="left" vertical="center"/>
    </xf>
    <xf numFmtId="0" fontId="24" fillId="32" borderId="230" xfId="4" applyFont="1" applyFill="1" applyBorder="1" applyAlignment="1">
      <alignment horizontal="center" vertical="center"/>
    </xf>
    <xf numFmtId="0" fontId="24" fillId="32" borderId="284" xfId="4" applyFont="1" applyFill="1" applyBorder="1" applyAlignment="1">
      <alignment vertical="center" wrapText="1"/>
    </xf>
    <xf numFmtId="0" fontId="24" fillId="0" borderId="285" xfId="4" applyFont="1" applyFill="1" applyBorder="1" applyAlignment="1">
      <alignment horizontal="center" vertical="center" wrapText="1"/>
    </xf>
    <xf numFmtId="165" fontId="65" fillId="0" borderId="284" xfId="0" applyNumberFormat="1" applyFont="1" applyFill="1" applyBorder="1" applyAlignment="1">
      <alignment horizontal="center" vertical="center" wrapText="1"/>
    </xf>
    <xf numFmtId="3" fontId="7" fillId="0" borderId="286" xfId="4" applyNumberFormat="1" applyFont="1" applyFill="1" applyBorder="1" applyAlignment="1">
      <alignment horizontal="right" vertical="center"/>
    </xf>
    <xf numFmtId="3" fontId="24" fillId="0" borderId="286" xfId="4" applyNumberFormat="1" applyFont="1" applyFill="1" applyBorder="1" applyAlignment="1">
      <alignment horizontal="right" vertical="center"/>
    </xf>
    <xf numFmtId="3" fontId="24" fillId="0" borderId="287" xfId="4" applyNumberFormat="1" applyFont="1" applyFill="1" applyBorder="1" applyAlignment="1">
      <alignment horizontal="right" vertical="center"/>
    </xf>
    <xf numFmtId="3" fontId="24" fillId="0" borderId="288" xfId="4" applyNumberFormat="1" applyFont="1" applyFill="1" applyBorder="1" applyAlignment="1">
      <alignment horizontal="right" vertical="center"/>
    </xf>
    <xf numFmtId="0" fontId="24" fillId="32" borderId="233" xfId="4" applyFont="1" applyFill="1" applyBorder="1" applyAlignment="1">
      <alignment horizontal="center" vertical="center"/>
    </xf>
    <xf numFmtId="0" fontId="25" fillId="56" borderId="208" xfId="4" applyFont="1" applyFill="1" applyBorder="1" applyAlignment="1">
      <alignment horizontal="center" vertical="center"/>
    </xf>
    <xf numFmtId="0" fontId="25" fillId="56" borderId="206" xfId="4" applyFont="1" applyFill="1" applyBorder="1" applyAlignment="1">
      <alignment horizontal="left" vertical="center"/>
    </xf>
    <xf numFmtId="3" fontId="27" fillId="2" borderId="206" xfId="4" applyNumberFormat="1" applyFont="1" applyFill="1" applyBorder="1" applyAlignment="1">
      <alignment vertical="center" wrapText="1"/>
    </xf>
    <xf numFmtId="3" fontId="27" fillId="2" borderId="208" xfId="4" applyNumberFormat="1" applyFont="1" applyFill="1" applyBorder="1" applyAlignment="1">
      <alignment horizontal="center" vertical="center" wrapText="1"/>
    </xf>
    <xf numFmtId="3" fontId="27" fillId="2" borderId="243" xfId="4" applyNumberFormat="1" applyFont="1" applyFill="1" applyBorder="1" applyAlignment="1">
      <alignment horizontal="right" vertical="center"/>
    </xf>
    <xf numFmtId="3" fontId="27" fillId="2" borderId="289" xfId="4" applyNumberFormat="1" applyFont="1" applyFill="1" applyBorder="1" applyAlignment="1">
      <alignment horizontal="right" vertical="center"/>
    </xf>
    <xf numFmtId="0" fontId="21" fillId="0" borderId="237" xfId="4" applyFont="1" applyFill="1" applyBorder="1" applyAlignment="1">
      <alignment vertical="center"/>
    </xf>
    <xf numFmtId="0" fontId="7" fillId="0" borderId="278" xfId="4" applyFont="1" applyFill="1" applyBorder="1" applyAlignment="1">
      <alignment horizontal="center" vertical="center"/>
    </xf>
    <xf numFmtId="3" fontId="21" fillId="2" borderId="247" xfId="4" applyNumberFormat="1" applyFont="1" applyFill="1" applyBorder="1" applyAlignment="1">
      <alignment horizontal="right" vertical="center"/>
    </xf>
    <xf numFmtId="3" fontId="21" fillId="0" borderId="223" xfId="4" applyNumberFormat="1" applyFont="1" applyFill="1" applyBorder="1" applyAlignment="1">
      <alignment horizontal="right" vertical="center"/>
    </xf>
    <xf numFmtId="0" fontId="24" fillId="32" borderId="244" xfId="4" applyFont="1" applyFill="1" applyBorder="1" applyAlignment="1">
      <alignment horizontal="center" vertical="center"/>
    </xf>
    <xf numFmtId="0" fontId="25" fillId="58" borderId="225" xfId="4" applyFont="1" applyFill="1" applyBorder="1" applyAlignment="1">
      <alignment horizontal="left" vertical="center"/>
    </xf>
    <xf numFmtId="0" fontId="25" fillId="58" borderId="210" xfId="4" applyFont="1" applyFill="1" applyBorder="1" applyAlignment="1">
      <alignment horizontal="left" vertical="center"/>
    </xf>
    <xf numFmtId="0" fontId="24" fillId="0" borderId="258" xfId="4" applyFont="1" applyFill="1" applyBorder="1" applyAlignment="1">
      <alignment vertical="center" wrapText="1"/>
    </xf>
    <xf numFmtId="0" fontId="24" fillId="0" borderId="221" xfId="4" applyFont="1" applyFill="1" applyBorder="1" applyAlignment="1">
      <alignment horizontal="center" vertical="center" wrapText="1"/>
    </xf>
    <xf numFmtId="0" fontId="24" fillId="32" borderId="288" xfId="4" applyFont="1" applyFill="1" applyBorder="1" applyAlignment="1">
      <alignment vertical="center" wrapText="1"/>
    </xf>
    <xf numFmtId="3" fontId="7" fillId="0" borderId="284" xfId="4" applyNumberFormat="1" applyFont="1" applyFill="1" applyBorder="1" applyAlignment="1">
      <alignment horizontal="right" vertical="center"/>
    </xf>
    <xf numFmtId="3" fontId="24" fillId="0" borderId="284" xfId="4" applyNumberFormat="1" applyFont="1" applyFill="1" applyBorder="1" applyAlignment="1">
      <alignment horizontal="right" vertical="center"/>
    </xf>
    <xf numFmtId="3" fontId="24" fillId="0" borderId="290" xfId="4" applyNumberFormat="1" applyFont="1" applyFill="1" applyBorder="1" applyAlignment="1">
      <alignment horizontal="right" vertical="center"/>
    </xf>
    <xf numFmtId="3" fontId="24" fillId="0" borderId="291" xfId="4" applyNumberFormat="1" applyFont="1" applyFill="1" applyBorder="1" applyAlignment="1">
      <alignment horizontal="right" vertical="center"/>
    </xf>
    <xf numFmtId="3" fontId="24" fillId="0" borderId="238" xfId="4" applyNumberFormat="1" applyFont="1" applyFill="1" applyBorder="1" applyAlignment="1">
      <alignment horizontal="right" vertical="center"/>
    </xf>
    <xf numFmtId="3" fontId="27" fillId="2" borderId="278" xfId="4" applyNumberFormat="1" applyFont="1" applyFill="1" applyBorder="1" applyAlignment="1">
      <alignment vertical="center" wrapText="1"/>
    </xf>
    <xf numFmtId="0" fontId="22" fillId="0" borderId="247" xfId="0" applyFont="1" applyBorder="1" applyAlignment="1">
      <alignment vertical="center"/>
    </xf>
    <xf numFmtId="3" fontId="25" fillId="58" borderId="238" xfId="4" applyNumberFormat="1" applyFont="1" applyFill="1" applyBorder="1" applyAlignment="1">
      <alignment horizontal="right" vertical="center"/>
    </xf>
    <xf numFmtId="0" fontId="24" fillId="32" borderId="263" xfId="4" applyFont="1" applyFill="1" applyBorder="1" applyAlignment="1">
      <alignment horizontal="center" vertical="center"/>
    </xf>
    <xf numFmtId="0" fontId="24" fillId="32" borderId="292" xfId="4" applyFont="1" applyFill="1" applyBorder="1" applyAlignment="1">
      <alignment vertical="center" wrapText="1"/>
    </xf>
    <xf numFmtId="0" fontId="24" fillId="0" borderId="293" xfId="4" applyFont="1" applyFill="1" applyBorder="1" applyAlignment="1">
      <alignment horizontal="center" vertical="center" wrapText="1"/>
    </xf>
    <xf numFmtId="0" fontId="24" fillId="32" borderId="234" xfId="4" applyFont="1" applyFill="1" applyBorder="1" applyAlignment="1">
      <alignment horizontal="center" vertical="center"/>
    </xf>
    <xf numFmtId="0" fontId="25" fillId="56" borderId="268" xfId="4" applyFont="1" applyFill="1" applyBorder="1" applyAlignment="1">
      <alignment horizontal="left" vertical="center"/>
    </xf>
    <xf numFmtId="3" fontId="27" fillId="2" borderId="275" xfId="4" applyNumberFormat="1" applyFont="1" applyFill="1" applyBorder="1" applyAlignment="1">
      <alignment vertical="center" wrapText="1"/>
    </xf>
    <xf numFmtId="0" fontId="24" fillId="32" borderId="265" xfId="4" applyFont="1" applyFill="1" applyBorder="1" applyAlignment="1">
      <alignment horizontal="center" vertical="center"/>
    </xf>
    <xf numFmtId="0" fontId="21" fillId="0" borderId="276" xfId="4" applyFont="1" applyFill="1" applyBorder="1" applyAlignment="1">
      <alignment vertical="center"/>
    </xf>
    <xf numFmtId="0" fontId="24" fillId="32" borderId="235" xfId="4" applyFont="1" applyFill="1" applyBorder="1" applyAlignment="1">
      <alignment horizontal="center" vertical="center"/>
    </xf>
    <xf numFmtId="0" fontId="24" fillId="61" borderId="292" xfId="4" applyFont="1" applyFill="1" applyBorder="1" applyAlignment="1">
      <alignment vertical="center" wrapText="1"/>
    </xf>
    <xf numFmtId="0" fontId="24" fillId="56" borderId="268" xfId="4" applyFont="1" applyFill="1" applyBorder="1" applyAlignment="1">
      <alignment horizontal="left" vertical="center"/>
    </xf>
    <xf numFmtId="3" fontId="24" fillId="56" borderId="255" xfId="4" applyNumberFormat="1" applyFont="1" applyFill="1" applyBorder="1" applyAlignment="1">
      <alignment horizontal="right" vertical="center"/>
    </xf>
    <xf numFmtId="3" fontId="24" fillId="56" borderId="266" xfId="4" applyNumberFormat="1" applyFont="1" applyFill="1" applyBorder="1" applyAlignment="1">
      <alignment horizontal="right" vertical="center"/>
    </xf>
    <xf numFmtId="3" fontId="29" fillId="2" borderId="275" xfId="4" applyNumberFormat="1" applyFont="1" applyFill="1" applyBorder="1" applyAlignment="1">
      <alignment vertical="center" wrapText="1"/>
    </xf>
    <xf numFmtId="3" fontId="29" fillId="2" borderId="206" xfId="4" applyNumberFormat="1" applyFont="1" applyFill="1" applyBorder="1" applyAlignment="1">
      <alignment horizontal="right" vertical="center"/>
    </xf>
    <xf numFmtId="3" fontId="29" fillId="2" borderId="236" xfId="4" applyNumberFormat="1" applyFont="1" applyFill="1" applyBorder="1" applyAlignment="1">
      <alignment horizontal="right" vertical="center"/>
    </xf>
    <xf numFmtId="0" fontId="18" fillId="0" borderId="276" xfId="4" applyFont="1" applyFill="1" applyBorder="1" applyAlignment="1">
      <alignment vertical="center"/>
    </xf>
    <xf numFmtId="3" fontId="18" fillId="2" borderId="211" xfId="4" applyNumberFormat="1" applyFont="1" applyFill="1" applyBorder="1" applyAlignment="1">
      <alignment horizontal="right" vertical="center"/>
    </xf>
    <xf numFmtId="3" fontId="18" fillId="0" borderId="247" xfId="4" applyNumberFormat="1" applyFont="1" applyFill="1" applyBorder="1" applyAlignment="1">
      <alignment horizontal="right" vertical="center"/>
    </xf>
    <xf numFmtId="3" fontId="24" fillId="58" borderId="211" xfId="4" applyNumberFormat="1" applyFont="1" applyFill="1" applyBorder="1" applyAlignment="1">
      <alignment horizontal="right" vertical="center"/>
    </xf>
    <xf numFmtId="3" fontId="24" fillId="58" borderId="210" xfId="4" applyNumberFormat="1" applyFont="1" applyFill="1" applyBorder="1" applyAlignment="1">
      <alignment horizontal="right" vertical="center"/>
    </xf>
    <xf numFmtId="0" fontId="21" fillId="0" borderId="289" xfId="4" applyFont="1" applyFill="1" applyBorder="1" applyAlignment="1">
      <alignment vertical="center"/>
    </xf>
    <xf numFmtId="0" fontId="32" fillId="0" borderId="264" xfId="0" applyFont="1" applyBorder="1" applyAlignment="1">
      <alignment horizontal="center" vertical="center" wrapText="1"/>
    </xf>
    <xf numFmtId="3" fontId="21" fillId="2" borderId="264" xfId="4" applyNumberFormat="1" applyFont="1" applyFill="1" applyBorder="1" applyAlignment="1">
      <alignment horizontal="right" vertical="center"/>
    </xf>
    <xf numFmtId="3" fontId="21" fillId="0" borderId="237" xfId="4" applyNumberFormat="1" applyFont="1" applyFill="1" applyBorder="1" applyAlignment="1">
      <alignment horizontal="right" vertical="center"/>
    </xf>
    <xf numFmtId="3" fontId="21" fillId="0" borderId="256" xfId="4" applyNumberFormat="1" applyFont="1" applyFill="1" applyBorder="1" applyAlignment="1">
      <alignment horizontal="right" vertical="center"/>
    </xf>
    <xf numFmtId="0" fontId="24" fillId="32" borderId="233" xfId="4" applyFont="1" applyFill="1" applyBorder="1" applyAlignment="1">
      <alignment horizontal="center" vertical="center"/>
    </xf>
    <xf numFmtId="0" fontId="24" fillId="58" borderId="224" xfId="4" applyFont="1" applyFill="1" applyBorder="1" applyAlignment="1">
      <alignment horizontal="left" vertical="center"/>
    </xf>
    <xf numFmtId="3" fontId="24" fillId="58" borderId="228" xfId="4" applyNumberFormat="1" applyFont="1" applyFill="1" applyBorder="1" applyAlignment="1">
      <alignment horizontal="right" vertical="center"/>
    </xf>
    <xf numFmtId="3" fontId="24" fillId="58" borderId="229" xfId="4" applyNumberFormat="1" applyFont="1" applyFill="1" applyBorder="1" applyAlignment="1">
      <alignment horizontal="right" vertical="center"/>
    </xf>
    <xf numFmtId="3" fontId="25" fillId="58" borderId="229" xfId="4" applyNumberFormat="1" applyFont="1" applyFill="1" applyBorder="1" applyAlignment="1">
      <alignment horizontal="right" vertical="center"/>
    </xf>
    <xf numFmtId="3" fontId="25" fillId="58" borderId="225" xfId="4" applyNumberFormat="1" applyFont="1" applyFill="1" applyBorder="1" applyAlignment="1">
      <alignment horizontal="right" vertical="center"/>
    </xf>
    <xf numFmtId="0" fontId="24" fillId="32" borderId="232" xfId="4" applyFont="1" applyFill="1" applyBorder="1" applyAlignment="1">
      <alignment horizontal="center" vertical="center" wrapText="1"/>
    </xf>
    <xf numFmtId="0" fontId="24" fillId="32" borderId="293" xfId="4" applyFont="1" applyFill="1" applyBorder="1" applyAlignment="1">
      <alignment horizontal="center" vertical="center" wrapText="1"/>
    </xf>
    <xf numFmtId="165" fontId="65" fillId="69" borderId="284" xfId="0" applyNumberFormat="1" applyFont="1" applyFill="1" applyBorder="1" applyAlignment="1">
      <alignment horizontal="center" vertical="center" wrapText="1"/>
    </xf>
    <xf numFmtId="0" fontId="24" fillId="32" borderId="239" xfId="4" applyFont="1" applyFill="1" applyBorder="1" applyAlignment="1">
      <alignment horizontal="left" vertical="center"/>
    </xf>
    <xf numFmtId="0" fontId="25" fillId="32" borderId="204" xfId="4" applyFont="1" applyFill="1" applyBorder="1" applyAlignment="1">
      <alignment horizontal="left" vertical="center"/>
    </xf>
    <xf numFmtId="0" fontId="25" fillId="32" borderId="264" xfId="4" applyFont="1" applyFill="1" applyBorder="1" applyAlignment="1">
      <alignment horizontal="left" vertical="center"/>
    </xf>
    <xf numFmtId="3" fontId="24" fillId="32" borderId="264" xfId="4" applyNumberFormat="1" applyFont="1" applyFill="1" applyBorder="1" applyAlignment="1">
      <alignment horizontal="right" vertical="center"/>
    </xf>
    <xf numFmtId="3" fontId="24" fillId="32" borderId="236" xfId="4" applyNumberFormat="1" applyFont="1" applyFill="1" applyBorder="1" applyAlignment="1">
      <alignment horizontal="right" vertical="center"/>
    </xf>
    <xf numFmtId="3" fontId="24" fillId="32" borderId="204" xfId="4" applyNumberFormat="1" applyFont="1" applyFill="1" applyBorder="1" applyAlignment="1">
      <alignment horizontal="right" vertical="center"/>
    </xf>
    <xf numFmtId="3" fontId="25" fillId="32" borderId="204" xfId="4" applyNumberFormat="1" applyFont="1" applyFill="1" applyBorder="1" applyAlignment="1">
      <alignment horizontal="right" vertical="center"/>
    </xf>
    <xf numFmtId="3" fontId="25" fillId="32" borderId="238" xfId="4" applyNumberFormat="1" applyFont="1" applyFill="1" applyBorder="1" applyAlignment="1">
      <alignment horizontal="right" vertical="center"/>
    </xf>
    <xf numFmtId="0" fontId="24" fillId="61" borderId="235" xfId="4" applyFont="1" applyFill="1" applyBorder="1" applyAlignment="1">
      <alignment horizontal="center" vertical="center"/>
    </xf>
    <xf numFmtId="0" fontId="66" fillId="61" borderId="239" xfId="4" applyFont="1" applyFill="1" applyBorder="1" applyAlignment="1">
      <alignment horizontal="left" vertical="center" wrapText="1"/>
    </xf>
    <xf numFmtId="0" fontId="25" fillId="61" borderId="204" xfId="4" applyFont="1" applyFill="1" applyBorder="1" applyAlignment="1">
      <alignment horizontal="left" vertical="center"/>
    </xf>
    <xf numFmtId="0" fontId="25" fillId="61" borderId="264" xfId="4" applyFont="1" applyFill="1" applyBorder="1" applyAlignment="1">
      <alignment horizontal="left" vertical="center"/>
    </xf>
    <xf numFmtId="3" fontId="25" fillId="61" borderId="264" xfId="4" applyNumberFormat="1" applyFont="1" applyFill="1" applyBorder="1" applyAlignment="1">
      <alignment horizontal="right" vertical="center"/>
    </xf>
    <xf numFmtId="3" fontId="25" fillId="61" borderId="236" xfId="4" applyNumberFormat="1" applyFont="1" applyFill="1" applyBorder="1" applyAlignment="1">
      <alignment horizontal="right" vertical="center"/>
    </xf>
    <xf numFmtId="3" fontId="25" fillId="61" borderId="212" xfId="4" applyNumberFormat="1" applyFont="1" applyFill="1" applyBorder="1" applyAlignment="1">
      <alignment horizontal="right" vertical="center"/>
    </xf>
    <xf numFmtId="3" fontId="25" fillId="61" borderId="211" xfId="4" applyNumberFormat="1" applyFont="1" applyFill="1" applyBorder="1" applyAlignment="1">
      <alignment horizontal="right" vertical="center"/>
    </xf>
    <xf numFmtId="3" fontId="25" fillId="61" borderId="204" xfId="4" applyNumberFormat="1" applyFont="1" applyFill="1" applyBorder="1" applyAlignment="1">
      <alignment horizontal="right" vertical="center"/>
    </xf>
    <xf numFmtId="3" fontId="25" fillId="61" borderId="238" xfId="4" applyNumberFormat="1" applyFont="1" applyFill="1" applyBorder="1" applyAlignment="1">
      <alignment horizontal="right" vertical="center"/>
    </xf>
    <xf numFmtId="0" fontId="24" fillId="70" borderId="213" xfId="4" applyFont="1" applyFill="1" applyBorder="1" applyAlignment="1">
      <alignment horizontal="center" vertical="center"/>
    </xf>
    <xf numFmtId="0" fontId="24" fillId="70" borderId="250" xfId="4" applyFont="1" applyFill="1" applyBorder="1" applyAlignment="1">
      <alignment vertical="center" wrapText="1"/>
    </xf>
    <xf numFmtId="3" fontId="24" fillId="0" borderId="215" xfId="4" applyNumberFormat="1" applyFont="1" applyFill="1" applyBorder="1" applyAlignment="1">
      <alignment horizontal="right" vertical="center"/>
    </xf>
    <xf numFmtId="3" fontId="24" fillId="0" borderId="251" xfId="4" applyNumberFormat="1" applyFont="1" applyFill="1" applyBorder="1" applyAlignment="1">
      <alignment horizontal="right" vertical="center"/>
    </xf>
    <xf numFmtId="0" fontId="24" fillId="70" borderId="235" xfId="4" applyFont="1" applyFill="1" applyBorder="1" applyAlignment="1">
      <alignment horizontal="center" vertical="center"/>
    </xf>
    <xf numFmtId="3" fontId="25" fillId="56" borderId="204" xfId="4" applyNumberFormat="1" applyFont="1" applyFill="1" applyBorder="1" applyAlignment="1">
      <alignment horizontal="right" vertical="center"/>
    </xf>
    <xf numFmtId="3" fontId="27" fillId="2" borderId="204" xfId="4" applyNumberFormat="1" applyFont="1" applyFill="1" applyBorder="1" applyAlignment="1">
      <alignment horizontal="right" vertical="center"/>
    </xf>
    <xf numFmtId="3" fontId="21" fillId="0" borderId="280" xfId="4" applyNumberFormat="1" applyFont="1" applyFill="1" applyBorder="1" applyAlignment="1">
      <alignment horizontal="right" vertical="center"/>
    </xf>
    <xf numFmtId="3" fontId="21" fillId="0" borderId="239" xfId="4" applyNumberFormat="1" applyFont="1" applyFill="1" applyBorder="1" applyAlignment="1">
      <alignment horizontal="right" vertical="center"/>
    </xf>
    <xf numFmtId="0" fontId="24" fillId="70" borderId="222" xfId="4" applyFont="1" applyFill="1" applyBorder="1" applyAlignment="1">
      <alignment horizontal="center" vertical="center"/>
    </xf>
    <xf numFmtId="3" fontId="25" fillId="58" borderId="262" xfId="4" applyNumberFormat="1" applyFont="1" applyFill="1" applyBorder="1" applyAlignment="1">
      <alignment horizontal="right" vertical="center"/>
    </xf>
    <xf numFmtId="165" fontId="65" fillId="70" borderId="214" xfId="0" applyNumberFormat="1" applyFont="1" applyFill="1" applyBorder="1" applyAlignment="1">
      <alignment horizontal="center" vertical="center" wrapText="1"/>
    </xf>
    <xf numFmtId="0" fontId="66" fillId="61" borderId="239" xfId="4" applyFont="1" applyFill="1" applyBorder="1" applyAlignment="1">
      <alignment horizontal="left" vertical="center"/>
    </xf>
    <xf numFmtId="0" fontId="25" fillId="70" borderId="250" xfId="4" applyFont="1" applyFill="1" applyBorder="1" applyAlignment="1">
      <alignment vertical="center" wrapText="1"/>
    </xf>
    <xf numFmtId="0" fontId="24" fillId="69" borderId="226" xfId="4" applyFont="1" applyFill="1" applyBorder="1" applyAlignment="1">
      <alignment horizontal="center" vertical="center"/>
    </xf>
    <xf numFmtId="0" fontId="27" fillId="69" borderId="281" xfId="4" applyFont="1" applyFill="1" applyBorder="1" applyAlignment="1">
      <alignment horizontal="center" vertical="center"/>
    </xf>
    <xf numFmtId="0" fontId="25" fillId="69" borderId="227" xfId="4" applyFont="1" applyFill="1" applyBorder="1" applyAlignment="1">
      <alignment horizontal="left" vertical="center"/>
    </xf>
    <xf numFmtId="0" fontId="25" fillId="69" borderId="228" xfId="4" applyFont="1" applyFill="1" applyBorder="1" applyAlignment="1">
      <alignment horizontal="left" vertical="center"/>
    </xf>
    <xf numFmtId="3" fontId="25" fillId="69" borderId="228" xfId="4" applyNumberFormat="1" applyFont="1" applyFill="1" applyBorder="1" applyAlignment="1">
      <alignment horizontal="right" vertical="center"/>
    </xf>
    <xf numFmtId="3" fontId="25" fillId="69" borderId="229" xfId="4" applyNumberFormat="1" applyFont="1" applyFill="1" applyBorder="1" applyAlignment="1">
      <alignment horizontal="right" vertical="center"/>
    </xf>
    <xf numFmtId="3" fontId="25" fillId="69" borderId="227" xfId="4" applyNumberFormat="1" applyFont="1" applyFill="1" applyBorder="1" applyAlignment="1">
      <alignment horizontal="right" vertical="center"/>
    </xf>
    <xf numFmtId="3" fontId="25" fillId="69" borderId="225" xfId="4" applyNumberFormat="1" applyFont="1" applyFill="1" applyBorder="1" applyAlignment="1">
      <alignment horizontal="right" vertical="center"/>
    </xf>
    <xf numFmtId="0" fontId="27" fillId="32" borderId="239" xfId="4" applyFont="1" applyFill="1" applyBorder="1" applyAlignment="1">
      <alignment horizontal="center" vertical="center" wrapText="1"/>
    </xf>
    <xf numFmtId="3" fontId="25" fillId="32" borderId="264" xfId="4" applyNumberFormat="1" applyFont="1" applyFill="1" applyBorder="1" applyAlignment="1">
      <alignment horizontal="right" vertical="center"/>
    </xf>
    <xf numFmtId="3" fontId="25" fillId="32" borderId="236" xfId="4" applyNumberFormat="1" applyFont="1" applyFill="1" applyBorder="1" applyAlignment="1">
      <alignment horizontal="right" vertical="center"/>
    </xf>
    <xf numFmtId="0" fontId="25" fillId="58" borderId="204" xfId="4" applyFont="1" applyFill="1" applyBorder="1" applyAlignment="1">
      <alignment horizontal="left" vertical="center"/>
    </xf>
    <xf numFmtId="0" fontId="25" fillId="58" borderId="264" xfId="4" applyFont="1" applyFill="1" applyBorder="1" applyAlignment="1">
      <alignment horizontal="left" vertical="center"/>
    </xf>
    <xf numFmtId="3" fontId="25" fillId="58" borderId="214" xfId="4" applyNumberFormat="1" applyFont="1" applyFill="1" applyBorder="1" applyAlignment="1">
      <alignment horizontal="right" vertical="center"/>
    </xf>
    <xf numFmtId="3" fontId="25" fillId="58" borderId="236" xfId="4" applyNumberFormat="1" applyFont="1" applyFill="1" applyBorder="1" applyAlignment="1">
      <alignment horizontal="right" vertical="center"/>
    </xf>
    <xf numFmtId="0" fontId="24" fillId="65" borderId="277" xfId="4" applyFont="1" applyFill="1" applyBorder="1" applyAlignment="1">
      <alignment horizontal="center" vertical="center"/>
    </xf>
    <xf numFmtId="0" fontId="113" fillId="65" borderId="227" xfId="0" applyFont="1" applyFill="1" applyBorder="1" applyAlignment="1">
      <alignment horizontal="center" vertical="center"/>
    </xf>
    <xf numFmtId="0" fontId="7" fillId="65" borderId="247" xfId="4" applyFont="1" applyFill="1" applyBorder="1" applyAlignment="1">
      <alignment vertical="center"/>
    </xf>
    <xf numFmtId="0" fontId="32" fillId="65" borderId="247" xfId="0" applyFont="1" applyFill="1" applyBorder="1" applyAlignment="1">
      <alignment horizontal="center" vertical="center" wrapText="1"/>
    </xf>
    <xf numFmtId="3" fontId="21" fillId="65" borderId="211" xfId="4" applyNumberFormat="1" applyFont="1" applyFill="1" applyBorder="1" applyAlignment="1">
      <alignment horizontal="right" vertical="center"/>
    </xf>
    <xf numFmtId="3" fontId="21" fillId="65" borderId="247" xfId="4" applyNumberFormat="1" applyFont="1" applyFill="1" applyBorder="1" applyAlignment="1">
      <alignment horizontal="right" vertical="center"/>
    </xf>
    <xf numFmtId="3" fontId="21" fillId="65" borderId="227" xfId="4" applyNumberFormat="1" applyFont="1" applyFill="1" applyBorder="1" applyAlignment="1">
      <alignment horizontal="right" vertical="center"/>
    </xf>
    <xf numFmtId="3" fontId="21" fillId="65" borderId="225" xfId="4" applyNumberFormat="1" applyFont="1" applyFill="1" applyBorder="1" applyAlignment="1">
      <alignment horizontal="right" vertical="center"/>
    </xf>
    <xf numFmtId="0" fontId="67" fillId="66" borderId="223" xfId="4" applyFont="1" applyFill="1" applyBorder="1" applyAlignment="1">
      <alignment horizontal="left" vertical="center" wrapText="1"/>
    </xf>
    <xf numFmtId="0" fontId="25" fillId="66" borderId="204" xfId="4" applyFont="1" applyFill="1" applyBorder="1" applyAlignment="1">
      <alignment vertical="center"/>
    </xf>
    <xf numFmtId="0" fontId="32" fillId="66" borderId="204" xfId="0" applyFont="1" applyFill="1" applyBorder="1" applyAlignment="1">
      <alignment horizontal="center" vertical="center" wrapText="1"/>
    </xf>
    <xf numFmtId="3" fontId="37" fillId="66" borderId="211" xfId="4" applyNumberFormat="1" applyFont="1" applyFill="1" applyBorder="1" applyAlignment="1">
      <alignment horizontal="right" vertical="center"/>
    </xf>
    <xf numFmtId="3" fontId="37" fillId="66" borderId="255" xfId="4" applyNumberFormat="1" applyFont="1" applyFill="1" applyBorder="1" applyAlignment="1">
      <alignment horizontal="right" vertical="center"/>
    </xf>
    <xf numFmtId="3" fontId="37" fillId="66" borderId="258" xfId="4" applyNumberFormat="1" applyFont="1" applyFill="1" applyBorder="1" applyAlignment="1">
      <alignment horizontal="right" vertical="center"/>
    </xf>
    <xf numFmtId="3" fontId="37" fillId="66" borderId="204" xfId="4" applyNumberFormat="1" applyFont="1" applyFill="1" applyBorder="1" applyAlignment="1">
      <alignment horizontal="right" vertical="center"/>
    </xf>
    <xf numFmtId="0" fontId="67" fillId="67" borderId="224" xfId="4" applyFont="1" applyFill="1" applyBorder="1" applyAlignment="1">
      <alignment horizontal="center" vertical="center" wrapText="1"/>
    </xf>
    <xf numFmtId="0" fontId="67" fillId="67" borderId="225" xfId="4" applyFont="1" applyFill="1" applyBorder="1" applyAlignment="1">
      <alignment horizontal="left" vertical="center" wrapText="1"/>
    </xf>
    <xf numFmtId="3" fontId="37" fillId="67" borderId="211" xfId="4" applyNumberFormat="1" applyFont="1" applyFill="1" applyBorder="1" applyAlignment="1">
      <alignment horizontal="right" vertical="center"/>
    </xf>
    <xf numFmtId="3" fontId="37" fillId="67" borderId="248" xfId="4" applyNumberFormat="1" applyFont="1" applyFill="1" applyBorder="1" applyAlignment="1">
      <alignment horizontal="right" vertical="center"/>
    </xf>
    <xf numFmtId="3" fontId="37" fillId="67" borderId="204" xfId="4" applyNumberFormat="1" applyFont="1" applyFill="1" applyBorder="1" applyAlignment="1">
      <alignment horizontal="right" vertical="center"/>
    </xf>
    <xf numFmtId="0" fontId="67" fillId="32" borderId="249" xfId="4" applyFont="1" applyFill="1" applyBorder="1" applyAlignment="1">
      <alignment horizontal="center" vertical="center" wrapText="1"/>
    </xf>
    <xf numFmtId="0" fontId="4" fillId="32" borderId="217" xfId="4" applyFont="1" applyFill="1" applyBorder="1" applyAlignment="1">
      <alignment horizontal="left" vertical="center" wrapText="1"/>
    </xf>
    <xf numFmtId="3" fontId="7" fillId="32" borderId="218" xfId="4" applyNumberFormat="1" applyFont="1" applyFill="1" applyBorder="1" applyAlignment="1">
      <alignment vertical="center"/>
    </xf>
    <xf numFmtId="0" fontId="32" fillId="32" borderId="218" xfId="0" applyFont="1" applyFill="1" applyBorder="1" applyAlignment="1">
      <alignment horizontal="center" vertical="center" wrapText="1"/>
    </xf>
    <xf numFmtId="3" fontId="37" fillId="32" borderId="218" xfId="4" applyNumberFormat="1" applyFont="1" applyFill="1" applyBorder="1" applyAlignment="1">
      <alignment horizontal="right" vertical="center"/>
    </xf>
    <xf numFmtId="3" fontId="37" fillId="32" borderId="274" xfId="4" applyNumberFormat="1" applyFont="1" applyFill="1" applyBorder="1" applyAlignment="1">
      <alignment horizontal="right" vertical="center"/>
    </xf>
    <xf numFmtId="3" fontId="37" fillId="32" borderId="204" xfId="4" applyNumberFormat="1" applyFont="1" applyFill="1" applyBorder="1" applyAlignment="1">
      <alignment horizontal="right" vertical="center"/>
    </xf>
    <xf numFmtId="0" fontId="67" fillId="67" borderId="233" xfId="4" applyFont="1" applyFill="1" applyBorder="1" applyAlignment="1">
      <alignment horizontal="center" vertical="center" wrapText="1"/>
    </xf>
    <xf numFmtId="0" fontId="25" fillId="67" borderId="205" xfId="4" applyFont="1" applyFill="1" applyBorder="1" applyAlignment="1">
      <alignment vertical="center"/>
    </xf>
    <xf numFmtId="0" fontId="32" fillId="67" borderId="247" xfId="0" applyFont="1" applyFill="1" applyBorder="1" applyAlignment="1">
      <alignment horizontal="center" vertical="center" wrapText="1"/>
    </xf>
    <xf numFmtId="3" fontId="37" fillId="67" borderId="262" xfId="4" applyNumberFormat="1" applyFont="1" applyFill="1" applyBorder="1" applyAlignment="1">
      <alignment horizontal="right" vertical="center"/>
    </xf>
    <xf numFmtId="3" fontId="37" fillId="67" borderId="205" xfId="4" applyNumberFormat="1" applyFont="1" applyFill="1" applyBorder="1" applyAlignment="1">
      <alignment horizontal="right" vertical="center"/>
    </xf>
    <xf numFmtId="3" fontId="37" fillId="67" borderId="268" xfId="4" applyNumberFormat="1" applyFont="1" applyFill="1" applyBorder="1" applyAlignment="1">
      <alignment horizontal="right" vertical="center"/>
    </xf>
    <xf numFmtId="165" fontId="65" fillId="0" borderId="255" xfId="0" applyNumberFormat="1" applyFont="1" applyFill="1" applyBorder="1" applyAlignment="1">
      <alignment horizontal="center" vertical="center" wrapText="1"/>
    </xf>
    <xf numFmtId="3" fontId="7" fillId="0" borderId="255" xfId="4" applyNumberFormat="1" applyFont="1" applyFill="1" applyBorder="1" applyAlignment="1">
      <alignment horizontal="right" vertical="center"/>
    </xf>
    <xf numFmtId="3" fontId="24" fillId="0" borderId="255" xfId="4" applyNumberFormat="1" applyFont="1" applyFill="1" applyBorder="1" applyAlignment="1">
      <alignment horizontal="right" vertical="center"/>
    </xf>
    <xf numFmtId="3" fontId="24" fillId="0" borderId="267" xfId="4" applyNumberFormat="1" applyFont="1" applyFill="1" applyBorder="1" applyAlignment="1">
      <alignment horizontal="right" vertical="center"/>
    </xf>
    <xf numFmtId="3" fontId="24" fillId="0" borderId="280" xfId="4" applyNumberFormat="1" applyFont="1" applyFill="1" applyBorder="1" applyAlignment="1">
      <alignment horizontal="right" vertical="center"/>
    </xf>
    <xf numFmtId="0" fontId="24" fillId="69" borderId="213" xfId="4" applyFont="1" applyFill="1" applyBorder="1" applyAlignment="1">
      <alignment horizontal="center" vertical="center"/>
    </xf>
    <xf numFmtId="0" fontId="24" fillId="69" borderId="250" xfId="4" applyFont="1" applyFill="1" applyBorder="1" applyAlignment="1">
      <alignment vertical="center" wrapText="1"/>
    </xf>
    <xf numFmtId="0" fontId="24" fillId="69" borderId="235" xfId="4" applyFont="1" applyFill="1" applyBorder="1" applyAlignment="1">
      <alignment horizontal="center" vertical="center"/>
    </xf>
    <xf numFmtId="0" fontId="24" fillId="69" borderId="222" xfId="4" applyFont="1" applyFill="1" applyBorder="1" applyAlignment="1">
      <alignment horizontal="center" vertical="center"/>
    </xf>
    <xf numFmtId="3" fontId="24" fillId="0" borderId="258" xfId="4" applyNumberFormat="1" applyFont="1" applyFill="1" applyBorder="1" applyAlignment="1">
      <alignment horizontal="right" vertical="center"/>
    </xf>
    <xf numFmtId="0" fontId="24" fillId="32" borderId="258" xfId="4" applyFont="1" applyFill="1" applyBorder="1" applyAlignment="1">
      <alignment vertical="center" wrapText="1"/>
    </xf>
    <xf numFmtId="0" fontId="24" fillId="56" borderId="205" xfId="4" applyFont="1" applyFill="1" applyBorder="1" applyAlignment="1">
      <alignment horizontal="left" vertical="center"/>
    </xf>
    <xf numFmtId="3" fontId="29" fillId="2" borderId="208" xfId="4" applyNumberFormat="1" applyFont="1" applyFill="1" applyBorder="1" applyAlignment="1">
      <alignment vertical="center" wrapText="1"/>
    </xf>
    <xf numFmtId="0" fontId="24" fillId="58" borderId="262" xfId="4" applyFont="1" applyFill="1" applyBorder="1" applyAlignment="1">
      <alignment horizontal="left" vertical="center"/>
    </xf>
    <xf numFmtId="2" fontId="25" fillId="32" borderId="250" xfId="4" applyNumberFormat="1" applyFont="1" applyFill="1" applyBorder="1" applyAlignment="1">
      <alignment vertical="center" wrapText="1"/>
    </xf>
    <xf numFmtId="0" fontId="25" fillId="56" borderId="241" xfId="4" applyFont="1" applyFill="1" applyBorder="1" applyAlignment="1">
      <alignment horizontal="left" vertical="center"/>
    </xf>
    <xf numFmtId="0" fontId="25" fillId="32" borderId="239" xfId="4" applyFont="1" applyFill="1" applyBorder="1" applyAlignment="1">
      <alignment horizontal="left" vertical="center"/>
    </xf>
    <xf numFmtId="3" fontId="25" fillId="32" borderId="211" xfId="4" applyNumberFormat="1" applyFont="1" applyFill="1" applyBorder="1" applyAlignment="1">
      <alignment horizontal="right" vertical="center"/>
    </xf>
    <xf numFmtId="0" fontId="25" fillId="0" borderId="250" xfId="4" applyFont="1" applyFill="1" applyBorder="1" applyAlignment="1">
      <alignment vertical="center" wrapText="1"/>
    </xf>
    <xf numFmtId="0" fontId="86" fillId="69" borderId="263" xfId="0" applyFont="1" applyFill="1" applyBorder="1" applyAlignment="1">
      <alignment horizontal="center" vertical="center" wrapText="1"/>
    </xf>
    <xf numFmtId="0" fontId="72" fillId="69" borderId="263" xfId="0" applyFont="1" applyFill="1" applyBorder="1" applyAlignment="1">
      <alignment horizontal="center" vertical="center" wrapText="1"/>
    </xf>
    <xf numFmtId="43" fontId="72" fillId="69" borderId="230" xfId="1" applyFont="1" applyFill="1" applyBorder="1" applyAlignment="1">
      <alignment horizontal="center" vertical="center" wrapText="1"/>
    </xf>
    <xf numFmtId="43" fontId="21" fillId="71" borderId="216" xfId="1" quotePrefix="1" applyFont="1" applyFill="1" applyBorder="1" applyAlignment="1">
      <alignment horizontal="center" vertical="center"/>
    </xf>
    <xf numFmtId="3" fontId="62" fillId="71" borderId="271" xfId="0" quotePrefix="1" applyNumberFormat="1" applyFont="1" applyFill="1" applyBorder="1" applyAlignment="1">
      <alignment horizontal="right" vertical="center"/>
    </xf>
    <xf numFmtId="3" fontId="62" fillId="71" borderId="220" xfId="0" quotePrefix="1" applyNumberFormat="1" applyFont="1" applyFill="1" applyBorder="1" applyAlignment="1">
      <alignment horizontal="right" vertical="center"/>
    </xf>
    <xf numFmtId="3" fontId="62" fillId="71" borderId="204" xfId="0" quotePrefix="1" applyNumberFormat="1" applyFont="1" applyFill="1" applyBorder="1" applyAlignment="1">
      <alignment horizontal="right" vertical="center"/>
    </xf>
    <xf numFmtId="0" fontId="4" fillId="71" borderId="204" xfId="0" applyFont="1" applyFill="1" applyBorder="1" applyAlignment="1">
      <alignment vertical="center"/>
    </xf>
    <xf numFmtId="0" fontId="113" fillId="65" borderId="225" xfId="0" applyFont="1" applyFill="1" applyBorder="1" applyAlignment="1">
      <alignment horizontal="center" vertical="center"/>
    </xf>
    <xf numFmtId="0" fontId="7" fillId="65" borderId="227" xfId="4" applyFont="1" applyFill="1" applyBorder="1" applyAlignment="1">
      <alignment vertical="center"/>
    </xf>
    <xf numFmtId="0" fontId="32" fillId="65" borderId="227" xfId="0" applyFont="1" applyFill="1" applyBorder="1" applyAlignment="1">
      <alignment horizontal="center" vertical="center" wrapText="1"/>
    </xf>
    <xf numFmtId="3" fontId="21" fillId="65" borderId="204" xfId="4" applyNumberFormat="1" applyFont="1" applyFill="1" applyBorder="1" applyAlignment="1">
      <alignment horizontal="right" vertical="center"/>
    </xf>
    <xf numFmtId="3" fontId="21" fillId="65" borderId="238" xfId="4" applyNumberFormat="1" applyFont="1" applyFill="1" applyBorder="1" applyAlignment="1">
      <alignment horizontal="right" vertical="center"/>
    </xf>
    <xf numFmtId="0" fontId="66" fillId="68" borderId="277" xfId="4" applyFont="1" applyFill="1" applyBorder="1" applyAlignment="1">
      <alignment horizontal="center" vertical="center" wrapText="1"/>
    </xf>
    <xf numFmtId="0" fontId="66" fillId="68" borderId="262" xfId="4" applyFont="1" applyFill="1" applyBorder="1" applyAlignment="1">
      <alignment horizontal="left" vertical="center" wrapText="1"/>
    </xf>
    <xf numFmtId="0" fontId="7" fillId="68" borderId="262" xfId="4" applyFont="1" applyFill="1" applyBorder="1" applyAlignment="1">
      <alignment vertical="center"/>
    </xf>
    <xf numFmtId="0" fontId="32" fillId="68" borderId="211" xfId="0" applyFont="1" applyFill="1" applyBorder="1" applyAlignment="1">
      <alignment horizontal="center" vertical="center" wrapText="1"/>
    </xf>
    <xf numFmtId="3" fontId="37" fillId="68" borderId="211" xfId="4" applyNumberFormat="1" applyFont="1" applyFill="1" applyBorder="1" applyAlignment="1">
      <alignment horizontal="right" vertical="center"/>
    </xf>
    <xf numFmtId="3" fontId="37" fillId="68" borderId="248" xfId="4" applyNumberFormat="1" applyFont="1" applyFill="1" applyBorder="1" applyAlignment="1">
      <alignment horizontal="right" vertical="center"/>
    </xf>
    <xf numFmtId="0" fontId="4" fillId="68" borderId="204" xfId="0" applyFont="1" applyFill="1" applyBorder="1" applyAlignment="1">
      <alignment vertical="center"/>
    </xf>
    <xf numFmtId="0" fontId="66" fillId="68" borderId="244" xfId="4" applyFont="1" applyFill="1" applyBorder="1" applyAlignment="1">
      <alignment horizontal="center" vertical="center" wrapText="1"/>
    </xf>
    <xf numFmtId="0" fontId="66" fillId="68" borderId="204" xfId="4" applyFont="1" applyFill="1" applyBorder="1" applyAlignment="1">
      <alignment horizontal="left" vertical="center" wrapText="1"/>
    </xf>
    <xf numFmtId="0" fontId="7" fillId="68" borderId="204" xfId="4" applyFont="1" applyFill="1" applyBorder="1" applyAlignment="1">
      <alignment vertical="center"/>
    </xf>
    <xf numFmtId="0" fontId="32" fillId="68" borderId="264" xfId="0" applyFont="1" applyFill="1" applyBorder="1" applyAlignment="1">
      <alignment horizontal="center" vertical="center" wrapText="1"/>
    </xf>
    <xf numFmtId="3" fontId="37" fillId="68" borderId="264" xfId="4" applyNumberFormat="1" applyFont="1" applyFill="1" applyBorder="1" applyAlignment="1">
      <alignment horizontal="right" vertical="center"/>
    </xf>
    <xf numFmtId="3" fontId="37" fillId="68" borderId="239" xfId="4" applyNumberFormat="1" applyFont="1" applyFill="1" applyBorder="1" applyAlignment="1">
      <alignment horizontal="right" vertical="center"/>
    </xf>
    <xf numFmtId="165" fontId="65" fillId="72" borderId="214" xfId="0" applyNumberFormat="1" applyFont="1" applyFill="1" applyBorder="1" applyAlignment="1">
      <alignment horizontal="center" vertical="center" wrapText="1"/>
    </xf>
    <xf numFmtId="0" fontId="105" fillId="32" borderId="213" xfId="4" applyFont="1" applyFill="1" applyBorder="1" applyAlignment="1">
      <alignment horizontal="center" vertical="center"/>
    </xf>
    <xf numFmtId="0" fontId="105" fillId="32" borderId="250" xfId="4" applyFont="1" applyFill="1" applyBorder="1" applyAlignment="1">
      <alignment vertical="center" wrapText="1"/>
    </xf>
    <xf numFmtId="0" fontId="105" fillId="0" borderId="232" xfId="4" applyFont="1" applyFill="1" applyBorder="1" applyAlignment="1">
      <alignment horizontal="center" vertical="center" wrapText="1"/>
    </xf>
    <xf numFmtId="165" fontId="110" fillId="32" borderId="214" xfId="0" applyNumberFormat="1" applyFont="1" applyFill="1" applyBorder="1" applyAlignment="1">
      <alignment horizontal="center" vertical="center" wrapText="1"/>
    </xf>
    <xf numFmtId="3" fontId="106" fillId="0" borderId="214" xfId="4" applyNumberFormat="1" applyFont="1" applyFill="1" applyBorder="1" applyAlignment="1">
      <alignment horizontal="right" vertical="center"/>
    </xf>
    <xf numFmtId="3" fontId="105" fillId="0" borderId="214" xfId="4" applyNumberFormat="1" applyFont="1" applyFill="1" applyBorder="1" applyAlignment="1">
      <alignment horizontal="right" vertical="center"/>
    </xf>
    <xf numFmtId="3" fontId="105" fillId="0" borderId="217" xfId="4" applyNumberFormat="1" applyFont="1" applyFill="1" applyBorder="1" applyAlignment="1">
      <alignment horizontal="right" vertical="center"/>
    </xf>
    <xf numFmtId="3" fontId="105" fillId="0" borderId="250" xfId="4" applyNumberFormat="1" applyFont="1" applyFill="1" applyBorder="1" applyAlignment="1">
      <alignment horizontal="right" vertical="center"/>
    </xf>
    <xf numFmtId="3" fontId="105" fillId="0" borderId="220" xfId="4" applyNumberFormat="1" applyFont="1" applyFill="1" applyBorder="1" applyAlignment="1">
      <alignment horizontal="right" vertical="center"/>
    </xf>
    <xf numFmtId="0" fontId="105" fillId="32" borderId="235" xfId="4" applyFont="1" applyFill="1" applyBorder="1" applyAlignment="1">
      <alignment horizontal="center" vertical="center"/>
    </xf>
    <xf numFmtId="0" fontId="103" fillId="56" borderId="258" xfId="4" applyFont="1" applyFill="1" applyBorder="1" applyAlignment="1">
      <alignment horizontal="left" vertical="center"/>
    </xf>
    <xf numFmtId="0" fontId="103" fillId="56" borderId="205" xfId="4" applyFont="1" applyFill="1" applyBorder="1" applyAlignment="1">
      <alignment horizontal="left" vertical="center"/>
    </xf>
    <xf numFmtId="0" fontId="103" fillId="56" borderId="255" xfId="4" applyFont="1" applyFill="1" applyBorder="1" applyAlignment="1">
      <alignment horizontal="left" vertical="center"/>
    </xf>
    <xf numFmtId="3" fontId="103" fillId="56" borderId="255" xfId="4" applyNumberFormat="1" applyFont="1" applyFill="1" applyBorder="1" applyAlignment="1">
      <alignment horizontal="right" vertical="center"/>
    </xf>
    <xf numFmtId="3" fontId="103" fillId="56" borderId="266" xfId="4" applyNumberFormat="1" applyFont="1" applyFill="1" applyBorder="1" applyAlignment="1">
      <alignment horizontal="right" vertical="center"/>
    </xf>
    <xf numFmtId="3" fontId="103" fillId="56" borderId="268" xfId="4" applyNumberFormat="1" applyFont="1" applyFill="1" applyBorder="1" applyAlignment="1">
      <alignment horizontal="right" vertical="center"/>
    </xf>
    <xf numFmtId="3" fontId="103" fillId="56" borderId="238" xfId="4" applyNumberFormat="1" applyFont="1" applyFill="1" applyBorder="1" applyAlignment="1">
      <alignment horizontal="right" vertical="center"/>
    </xf>
    <xf numFmtId="3" fontId="107" fillId="2" borderId="253" xfId="4" applyNumberFormat="1" applyFont="1" applyFill="1" applyBorder="1" applyAlignment="1">
      <alignment vertical="center" wrapText="1"/>
    </xf>
    <xf numFmtId="3" fontId="107" fillId="2" borderId="208" xfId="4" applyNumberFormat="1" applyFont="1" applyFill="1" applyBorder="1" applyAlignment="1">
      <alignment vertical="center" wrapText="1"/>
    </xf>
    <xf numFmtId="3" fontId="103" fillId="2" borderId="206" xfId="4" applyNumberFormat="1" applyFont="1" applyFill="1" applyBorder="1" applyAlignment="1">
      <alignment horizontal="center" vertical="center" wrapText="1"/>
    </xf>
    <xf numFmtId="3" fontId="107" fillId="2" borderId="206" xfId="4" applyNumberFormat="1" applyFont="1" applyFill="1" applyBorder="1" applyAlignment="1">
      <alignment horizontal="right" vertical="center"/>
    </xf>
    <xf numFmtId="3" fontId="107" fillId="2" borderId="236" xfId="4" applyNumberFormat="1" applyFont="1" applyFill="1" applyBorder="1" applyAlignment="1">
      <alignment horizontal="right" vertical="center"/>
    </xf>
    <xf numFmtId="3" fontId="107" fillId="2" borderId="238" xfId="4" applyNumberFormat="1" applyFont="1" applyFill="1" applyBorder="1" applyAlignment="1">
      <alignment horizontal="right" vertical="center"/>
    </xf>
    <xf numFmtId="0" fontId="109" fillId="0" borderId="260" xfId="4" applyFont="1" applyFill="1" applyBorder="1" applyAlignment="1">
      <alignment vertical="center"/>
    </xf>
    <xf numFmtId="3" fontId="106" fillId="0" borderId="273" xfId="4" applyNumberFormat="1" applyFont="1" applyFill="1" applyBorder="1" applyAlignment="1">
      <alignment vertical="center"/>
    </xf>
    <xf numFmtId="0" fontId="108" fillId="0" borderId="211" xfId="0" applyFont="1" applyBorder="1" applyAlignment="1">
      <alignment horizontal="center" vertical="center" wrapText="1"/>
    </xf>
    <xf numFmtId="3" fontId="109" fillId="2" borderId="211" xfId="4" applyNumberFormat="1" applyFont="1" applyFill="1" applyBorder="1" applyAlignment="1">
      <alignment horizontal="right" vertical="center"/>
    </xf>
    <xf numFmtId="3" fontId="109" fillId="0" borderId="247" xfId="4" applyNumberFormat="1" applyFont="1" applyFill="1" applyBorder="1" applyAlignment="1">
      <alignment horizontal="right" vertical="center"/>
    </xf>
    <xf numFmtId="3" fontId="109" fillId="0" borderId="260" xfId="4" applyNumberFormat="1" applyFont="1" applyFill="1" applyBorder="1" applyAlignment="1">
      <alignment horizontal="right" vertical="center"/>
    </xf>
    <xf numFmtId="3" fontId="109" fillId="0" borderId="238" xfId="4" applyNumberFormat="1" applyFont="1" applyFill="1" applyBorder="1" applyAlignment="1">
      <alignment horizontal="right" vertical="center"/>
    </xf>
    <xf numFmtId="0" fontId="105" fillId="32" borderId="222" xfId="4" applyFont="1" applyFill="1" applyBorder="1" applyAlignment="1">
      <alignment horizontal="center" vertical="center"/>
    </xf>
    <xf numFmtId="0" fontId="103" fillId="58" borderId="248" xfId="4" applyFont="1" applyFill="1" applyBorder="1" applyAlignment="1">
      <alignment horizontal="left" vertical="center"/>
    </xf>
    <xf numFmtId="0" fontId="103" fillId="58" borderId="262" xfId="4" applyFont="1" applyFill="1" applyBorder="1" applyAlignment="1">
      <alignment horizontal="left" vertical="center"/>
    </xf>
    <xf numFmtId="0" fontId="103" fillId="58" borderId="211" xfId="4" applyFont="1" applyFill="1" applyBorder="1" applyAlignment="1">
      <alignment horizontal="left" vertical="center"/>
    </xf>
    <xf numFmtId="3" fontId="103" fillId="58" borderId="211" xfId="4" applyNumberFormat="1" applyFont="1" applyFill="1" applyBorder="1" applyAlignment="1">
      <alignment horizontal="right" vertical="center"/>
    </xf>
    <xf numFmtId="3" fontId="103" fillId="58" borderId="210" xfId="4" applyNumberFormat="1" applyFont="1" applyFill="1" applyBorder="1" applyAlignment="1">
      <alignment horizontal="right" vertical="center"/>
    </xf>
    <xf numFmtId="3" fontId="103" fillId="58" borderId="223" xfId="4" applyNumberFormat="1" applyFont="1" applyFill="1" applyBorder="1" applyAlignment="1">
      <alignment horizontal="right" vertical="center"/>
    </xf>
    <xf numFmtId="165" fontId="110" fillId="0" borderId="214" xfId="0" applyNumberFormat="1" applyFont="1" applyFill="1" applyBorder="1" applyAlignment="1">
      <alignment horizontal="center" vertical="center" wrapText="1"/>
    </xf>
    <xf numFmtId="165" fontId="65" fillId="69" borderId="214" xfId="0" applyNumberFormat="1" applyFont="1" applyFill="1" applyBorder="1" applyAlignment="1">
      <alignment horizontal="center" vertical="center" wrapText="1"/>
    </xf>
    <xf numFmtId="165" fontId="65" fillId="32" borderId="214" xfId="0" applyNumberFormat="1" applyFont="1" applyFill="1" applyBorder="1" applyAlignment="1">
      <alignment horizontal="center" vertical="center" wrapText="1"/>
    </xf>
    <xf numFmtId="3" fontId="7" fillId="32" borderId="214" xfId="4" applyNumberFormat="1" applyFont="1" applyFill="1" applyBorder="1" applyAlignment="1">
      <alignment horizontal="right" vertical="center"/>
    </xf>
    <xf numFmtId="3" fontId="24" fillId="32" borderId="214" xfId="4" applyNumberFormat="1" applyFont="1" applyFill="1" applyBorder="1" applyAlignment="1">
      <alignment horizontal="right" vertical="center"/>
    </xf>
    <xf numFmtId="3" fontId="24" fillId="32" borderId="217" xfId="4" applyNumberFormat="1" applyFont="1" applyFill="1" applyBorder="1" applyAlignment="1">
      <alignment horizontal="right" vertical="center"/>
    </xf>
    <xf numFmtId="3" fontId="24" fillId="32" borderId="250" xfId="4" applyNumberFormat="1" applyFont="1" applyFill="1" applyBorder="1" applyAlignment="1">
      <alignment horizontal="right" vertical="center"/>
    </xf>
    <xf numFmtId="3" fontId="24" fillId="32" borderId="220" xfId="4" applyNumberFormat="1" applyFont="1" applyFill="1" applyBorder="1" applyAlignment="1">
      <alignment horizontal="right" vertical="center"/>
    </xf>
    <xf numFmtId="0" fontId="129" fillId="56" borderId="232" xfId="4" applyFont="1" applyFill="1" applyBorder="1" applyAlignment="1">
      <alignment horizontal="center" vertical="center" wrapText="1"/>
    </xf>
    <xf numFmtId="0" fontId="24" fillId="70" borderId="232" xfId="4" applyFont="1" applyFill="1" applyBorder="1" applyAlignment="1">
      <alignment horizontal="center" vertical="center" wrapText="1"/>
    </xf>
    <xf numFmtId="0" fontId="4" fillId="73" borderId="233" xfId="0" applyFont="1" applyFill="1" applyBorder="1" applyAlignment="1">
      <alignment horizontal="center" vertical="center"/>
    </xf>
    <xf numFmtId="0" fontId="74" fillId="73" borderId="204" xfId="0" applyFont="1" applyFill="1" applyBorder="1" applyAlignment="1">
      <alignment vertical="center"/>
    </xf>
    <xf numFmtId="0" fontId="4" fillId="73" borderId="204" xfId="0" applyFont="1" applyFill="1" applyBorder="1" applyAlignment="1">
      <alignment vertical="center"/>
    </xf>
    <xf numFmtId="0" fontId="4" fillId="73" borderId="282" xfId="0" applyFont="1" applyFill="1" applyBorder="1" applyAlignment="1">
      <alignment vertical="center"/>
    </xf>
    <xf numFmtId="0" fontId="4" fillId="73" borderId="228" xfId="0" applyFont="1" applyFill="1" applyBorder="1" applyAlignment="1">
      <alignment vertical="center"/>
    </xf>
    <xf numFmtId="0" fontId="4" fillId="73" borderId="238" xfId="0" applyFont="1" applyFill="1" applyBorder="1" applyAlignment="1">
      <alignment vertical="center"/>
    </xf>
    <xf numFmtId="0" fontId="66" fillId="65" borderId="277" xfId="4" applyFont="1" applyFill="1" applyBorder="1" applyAlignment="1">
      <alignment horizontal="center" vertical="center"/>
    </xf>
    <xf numFmtId="0" fontId="7" fillId="67" borderId="228" xfId="4" applyFont="1" applyFill="1" applyBorder="1" applyAlignment="1">
      <alignment vertical="center"/>
    </xf>
    <xf numFmtId="3" fontId="21" fillId="67" borderId="228" xfId="4" applyNumberFormat="1" applyFont="1" applyFill="1" applyBorder="1" applyAlignment="1">
      <alignment horizontal="right" vertical="center"/>
    </xf>
    <xf numFmtId="3" fontId="21" fillId="67" borderId="281" xfId="4" applyNumberFormat="1" applyFont="1" applyFill="1" applyBorder="1" applyAlignment="1">
      <alignment horizontal="right" vertical="center"/>
    </xf>
    <xf numFmtId="3" fontId="21" fillId="67" borderId="225" xfId="4" applyNumberFormat="1" applyFont="1" applyFill="1" applyBorder="1" applyAlignment="1">
      <alignment horizontal="right" vertical="center"/>
    </xf>
    <xf numFmtId="0" fontId="7" fillId="67" borderId="271" xfId="4" applyFont="1" applyFill="1" applyBorder="1" applyAlignment="1">
      <alignment vertical="center"/>
    </xf>
    <xf numFmtId="0" fontId="32" fillId="67" borderId="216" xfId="0" applyFont="1" applyFill="1" applyBorder="1" applyAlignment="1">
      <alignment horizontal="center" vertical="center" wrapText="1"/>
    </xf>
    <xf numFmtId="3" fontId="37" fillId="67" borderId="215" xfId="4" applyNumberFormat="1" applyFont="1" applyFill="1" applyBorder="1" applyAlignment="1">
      <alignment horizontal="right" vertical="center"/>
    </xf>
    <xf numFmtId="3" fontId="21" fillId="67" borderId="216" xfId="4" applyNumberFormat="1" applyFont="1" applyFill="1" applyBorder="1" applyAlignment="1">
      <alignment horizontal="right" vertical="center"/>
    </xf>
    <xf numFmtId="3" fontId="21" fillId="67" borderId="251" xfId="4" applyNumberFormat="1" applyFont="1" applyFill="1" applyBorder="1" applyAlignment="1">
      <alignment horizontal="right" vertical="center"/>
    </xf>
    <xf numFmtId="3" fontId="21" fillId="67" borderId="220" xfId="4" applyNumberFormat="1" applyFont="1" applyFill="1" applyBorder="1" applyAlignment="1">
      <alignment horizontal="right" vertical="center"/>
    </xf>
    <xf numFmtId="2" fontId="24" fillId="69" borderId="250" xfId="4" applyNumberFormat="1" applyFont="1" applyFill="1" applyBorder="1" applyAlignment="1">
      <alignment vertical="center" wrapText="1"/>
    </xf>
    <xf numFmtId="0" fontId="24" fillId="0" borderId="233" xfId="4" applyFont="1" applyFill="1" applyBorder="1" applyAlignment="1">
      <alignment horizontal="center" vertical="center"/>
    </xf>
    <xf numFmtId="0" fontId="21" fillId="0" borderId="204" xfId="4" applyFont="1" applyFill="1" applyBorder="1" applyAlignment="1">
      <alignment vertical="center"/>
    </xf>
    <xf numFmtId="0" fontId="7" fillId="0" borderId="204" xfId="4" applyFont="1" applyFill="1" applyBorder="1" applyAlignment="1">
      <alignment vertical="center"/>
    </xf>
    <xf numFmtId="0" fontId="32" fillId="0" borderId="204" xfId="0" applyFont="1" applyBorder="1" applyAlignment="1">
      <alignment horizontal="center" vertical="center" wrapText="1"/>
    </xf>
    <xf numFmtId="3" fontId="21" fillId="2" borderId="204" xfId="4" applyNumberFormat="1" applyFont="1" applyFill="1" applyBorder="1" applyAlignment="1">
      <alignment horizontal="right" vertical="center"/>
    </xf>
    <xf numFmtId="3" fontId="21" fillId="0" borderId="204" xfId="4" applyNumberFormat="1" applyFont="1" applyFill="1" applyBorder="1" applyAlignment="1">
      <alignment horizontal="right" vertical="center"/>
    </xf>
    <xf numFmtId="0" fontId="117" fillId="56" borderId="241" xfId="4" applyFont="1" applyFill="1" applyBorder="1" applyAlignment="1">
      <alignment horizontal="center" vertical="center"/>
    </xf>
    <xf numFmtId="0" fontId="117" fillId="74" borderId="206" xfId="4" applyFont="1" applyFill="1" applyBorder="1" applyAlignment="1">
      <alignment horizontal="center" vertical="center"/>
    </xf>
    <xf numFmtId="0" fontId="117" fillId="74" borderId="206" xfId="4" applyFont="1" applyFill="1" applyBorder="1" applyAlignment="1">
      <alignment vertical="center"/>
    </xf>
    <xf numFmtId="0" fontId="117" fillId="74" borderId="206" xfId="0" applyFont="1" applyFill="1" applyBorder="1" applyAlignment="1">
      <alignment horizontal="center" vertical="center" wrapText="1"/>
    </xf>
    <xf numFmtId="3" fontId="118" fillId="74" borderId="206" xfId="4" applyNumberFormat="1" applyFont="1" applyFill="1" applyBorder="1" applyAlignment="1">
      <alignment horizontal="right" vertical="center"/>
    </xf>
    <xf numFmtId="3" fontId="118" fillId="74" borderId="253" xfId="4" applyNumberFormat="1" applyFont="1" applyFill="1" applyBorder="1" applyAlignment="1">
      <alignment horizontal="right" vertical="center"/>
    </xf>
    <xf numFmtId="3" fontId="118" fillId="61" borderId="208" xfId="4" applyNumberFormat="1" applyFont="1" applyFill="1" applyBorder="1" applyAlignment="1">
      <alignment horizontal="right" vertical="center"/>
    </xf>
    <xf numFmtId="0" fontId="120" fillId="61" borderId="206" xfId="0" applyFont="1" applyFill="1" applyBorder="1" applyAlignment="1">
      <alignment vertical="center"/>
    </xf>
    <xf numFmtId="0" fontId="24" fillId="69" borderId="233" xfId="4" applyFont="1" applyFill="1" applyBorder="1" applyAlignment="1">
      <alignment horizontal="center" vertical="center"/>
    </xf>
    <xf numFmtId="0" fontId="67" fillId="69" borderId="204" xfId="4" applyFont="1" applyFill="1" applyBorder="1" applyAlignment="1">
      <alignment vertical="center"/>
    </xf>
    <xf numFmtId="0" fontId="7" fillId="69" borderId="204" xfId="4" applyFont="1" applyFill="1" applyBorder="1" applyAlignment="1">
      <alignment vertical="center"/>
    </xf>
    <xf numFmtId="0" fontId="32" fillId="69" borderId="204" xfId="0" applyFont="1" applyFill="1" applyBorder="1" applyAlignment="1">
      <alignment horizontal="center" vertical="center" wrapText="1"/>
    </xf>
    <xf numFmtId="3" fontId="21" fillId="69" borderId="204" xfId="4" applyNumberFormat="1" applyFont="1" applyFill="1" applyBorder="1" applyAlignment="1">
      <alignment horizontal="right" vertical="center"/>
    </xf>
    <xf numFmtId="3" fontId="21" fillId="69" borderId="238" xfId="4" applyNumberFormat="1" applyFont="1" applyFill="1" applyBorder="1" applyAlignment="1">
      <alignment horizontal="right" vertical="center"/>
    </xf>
    <xf numFmtId="0" fontId="62" fillId="75" borderId="233" xfId="4" applyFont="1" applyFill="1" applyBorder="1" applyAlignment="1">
      <alignment horizontal="center" vertical="center" wrapText="1"/>
    </xf>
    <xf numFmtId="0" fontId="62" fillId="75" borderId="204" xfId="4" applyFont="1" applyFill="1" applyBorder="1" applyAlignment="1">
      <alignment horizontal="center" vertical="center" wrapText="1"/>
    </xf>
    <xf numFmtId="0" fontId="36" fillId="56" borderId="206" xfId="4" applyFont="1" applyFill="1" applyBorder="1" applyAlignment="1">
      <alignment vertical="center" wrapText="1"/>
    </xf>
    <xf numFmtId="0" fontId="7" fillId="56" borderId="206" xfId="4" applyFont="1" applyFill="1" applyBorder="1" applyAlignment="1">
      <alignment vertical="center"/>
    </xf>
    <xf numFmtId="0" fontId="32" fillId="56" borderId="206" xfId="0" applyFont="1" applyFill="1" applyBorder="1" applyAlignment="1">
      <alignment horizontal="center" vertical="center" wrapText="1"/>
    </xf>
    <xf numFmtId="3" fontId="21" fillId="56" borderId="206" xfId="4" applyNumberFormat="1" applyFont="1" applyFill="1" applyBorder="1" applyAlignment="1">
      <alignment horizontal="right" vertical="center"/>
    </xf>
    <xf numFmtId="3" fontId="36" fillId="56" borderId="206" xfId="4" applyNumberFormat="1" applyFont="1" applyFill="1" applyBorder="1" applyAlignment="1">
      <alignment horizontal="right" vertical="center"/>
    </xf>
    <xf numFmtId="3" fontId="21" fillId="56" borderId="253" xfId="4" applyNumberFormat="1" applyFont="1" applyFill="1" applyBorder="1" applyAlignment="1">
      <alignment horizontal="right" vertical="center"/>
    </xf>
    <xf numFmtId="3" fontId="21" fillId="56" borderId="204" xfId="4" applyNumberFormat="1" applyFont="1" applyFill="1" applyBorder="1" applyAlignment="1">
      <alignment horizontal="right" vertical="center"/>
    </xf>
    <xf numFmtId="0" fontId="104" fillId="0" borderId="206" xfId="4" applyFont="1" applyFill="1" applyBorder="1" applyAlignment="1">
      <alignment vertical="center" wrapText="1"/>
    </xf>
    <xf numFmtId="0" fontId="106" fillId="0" borderId="206" xfId="4" applyFont="1" applyFill="1" applyBorder="1" applyAlignment="1">
      <alignment vertical="center"/>
    </xf>
    <xf numFmtId="0" fontId="108" fillId="0" borderId="206" xfId="0" applyFont="1" applyFill="1" applyBorder="1" applyAlignment="1">
      <alignment horizontal="center" vertical="center" wrapText="1"/>
    </xf>
    <xf numFmtId="3" fontId="109" fillId="2" borderId="206" xfId="4" applyNumberFormat="1" applyFont="1" applyFill="1" applyBorder="1" applyAlignment="1">
      <alignment horizontal="right" vertical="center"/>
    </xf>
    <xf numFmtId="3" fontId="109" fillId="0" borderId="206" xfId="4" applyNumberFormat="1" applyFont="1" applyFill="1" applyBorder="1" applyAlignment="1">
      <alignment horizontal="right" vertical="center"/>
    </xf>
    <xf numFmtId="3" fontId="104" fillId="0" borderId="206" xfId="4" applyNumberFormat="1" applyFont="1" applyFill="1" applyBorder="1" applyAlignment="1">
      <alignment horizontal="right" vertical="center"/>
    </xf>
    <xf numFmtId="3" fontId="104" fillId="32" borderId="206" xfId="4" applyNumberFormat="1" applyFont="1" applyFill="1" applyBorder="1" applyAlignment="1">
      <alignment horizontal="right" vertical="center"/>
    </xf>
    <xf numFmtId="3" fontId="104" fillId="76" borderId="206" xfId="4" applyNumberFormat="1" applyFont="1" applyFill="1" applyBorder="1" applyAlignment="1">
      <alignment horizontal="right" vertical="center"/>
    </xf>
    <xf numFmtId="3" fontId="21" fillId="0" borderId="206" xfId="4" applyNumberFormat="1" applyFont="1" applyFill="1" applyBorder="1" applyAlignment="1">
      <alignment horizontal="right" vertical="center"/>
    </xf>
    <xf numFmtId="3" fontId="21" fillId="0" borderId="253" xfId="4" applyNumberFormat="1" applyFont="1" applyFill="1" applyBorder="1" applyAlignment="1">
      <alignment horizontal="right" vertical="center"/>
    </xf>
    <xf numFmtId="0" fontId="4" fillId="0" borderId="204" xfId="0" applyFont="1" applyFill="1" applyBorder="1" applyAlignment="1">
      <alignment vertical="center"/>
    </xf>
    <xf numFmtId="0" fontId="31" fillId="0" borderId="206" xfId="4" applyFont="1" applyFill="1" applyBorder="1" applyAlignment="1">
      <alignment vertical="center" wrapText="1"/>
    </xf>
    <xf numFmtId="0" fontId="7" fillId="0" borderId="206" xfId="4" applyFont="1" applyFill="1" applyBorder="1" applyAlignment="1">
      <alignment vertical="center"/>
    </xf>
    <xf numFmtId="0" fontId="32" fillId="0" borderId="206" xfId="0" applyFont="1" applyBorder="1" applyAlignment="1">
      <alignment horizontal="center" vertical="center" wrapText="1"/>
    </xf>
    <xf numFmtId="3" fontId="21" fillId="2" borderId="206" xfId="4" applyNumberFormat="1" applyFont="1" applyFill="1" applyBorder="1" applyAlignment="1">
      <alignment horizontal="right" vertical="center"/>
    </xf>
    <xf numFmtId="3" fontId="31" fillId="0" borderId="206" xfId="4" applyNumberFormat="1" applyFont="1" applyFill="1" applyBorder="1" applyAlignment="1">
      <alignment horizontal="right" vertical="center"/>
    </xf>
    <xf numFmtId="3" fontId="31" fillId="32" borderId="206" xfId="4" applyNumberFormat="1" applyFont="1" applyFill="1" applyBorder="1" applyAlignment="1">
      <alignment horizontal="right" vertical="center"/>
    </xf>
    <xf numFmtId="3" fontId="31" fillId="76" borderId="206" xfId="4" applyNumberFormat="1" applyFont="1" applyFill="1" applyBorder="1" applyAlignment="1">
      <alignment horizontal="right" vertical="center"/>
    </xf>
    <xf numFmtId="0" fontId="108" fillId="0" borderId="206" xfId="0" applyFont="1" applyBorder="1" applyAlignment="1">
      <alignment horizontal="center" vertical="center" wrapText="1"/>
    </xf>
    <xf numFmtId="0" fontId="31" fillId="32" borderId="206" xfId="4" applyFont="1" applyFill="1" applyBorder="1" applyAlignment="1">
      <alignment vertical="center" wrapText="1"/>
    </xf>
    <xf numFmtId="0" fontId="7" fillId="32" borderId="206" xfId="4" applyFont="1" applyFill="1" applyBorder="1" applyAlignment="1">
      <alignment vertical="center"/>
    </xf>
    <xf numFmtId="0" fontId="32" fillId="32" borderId="206" xfId="0" applyFont="1" applyFill="1" applyBorder="1" applyAlignment="1">
      <alignment horizontal="center" vertical="center" wrapText="1"/>
    </xf>
    <xf numFmtId="3" fontId="21" fillId="32" borderId="206" xfId="4" applyNumberFormat="1" applyFont="1" applyFill="1" applyBorder="1" applyAlignment="1">
      <alignment horizontal="right" vertical="center"/>
    </xf>
    <xf numFmtId="0" fontId="32" fillId="0" borderId="207" xfId="0" applyFont="1" applyBorder="1" applyAlignment="1">
      <alignment horizontal="center" vertical="center" wrapText="1"/>
    </xf>
    <xf numFmtId="3" fontId="128" fillId="56" borderId="206" xfId="4" applyNumberFormat="1" applyFont="1" applyFill="1" applyBorder="1" applyAlignment="1">
      <alignment horizontal="right" vertical="center"/>
    </xf>
    <xf numFmtId="0" fontId="125" fillId="0" borderId="206" xfId="4" applyFont="1" applyFill="1" applyBorder="1" applyAlignment="1">
      <alignment vertical="center" wrapText="1"/>
    </xf>
    <xf numFmtId="0" fontId="6" fillId="0" borderId="206" xfId="4" applyFont="1" applyFill="1" applyBorder="1" applyAlignment="1">
      <alignment vertical="center" wrapText="1"/>
    </xf>
    <xf numFmtId="0" fontId="114" fillId="0" borderId="206" xfId="4" applyFont="1" applyFill="1" applyBorder="1" applyAlignment="1">
      <alignment vertical="center" wrapText="1"/>
    </xf>
    <xf numFmtId="0" fontId="114" fillId="76" borderId="206" xfId="4" applyFont="1" applyFill="1" applyBorder="1" applyAlignment="1">
      <alignment vertical="center" wrapText="1"/>
    </xf>
    <xf numFmtId="0" fontId="106" fillId="76" borderId="206" xfId="4" applyFont="1" applyFill="1" applyBorder="1" applyAlignment="1">
      <alignment vertical="center"/>
    </xf>
    <xf numFmtId="0" fontId="108" fillId="76" borderId="206" xfId="0" applyFont="1" applyFill="1" applyBorder="1" applyAlignment="1">
      <alignment horizontal="center" vertical="center" wrapText="1"/>
    </xf>
    <xf numFmtId="3" fontId="109" fillId="76" borderId="206" xfId="4" applyNumberFormat="1" applyFont="1" applyFill="1" applyBorder="1" applyAlignment="1">
      <alignment horizontal="right" vertical="center"/>
    </xf>
    <xf numFmtId="3" fontId="107" fillId="76" borderId="206" xfId="4" applyNumberFormat="1" applyFont="1" applyFill="1" applyBorder="1" applyAlignment="1">
      <alignment horizontal="right" vertical="center"/>
    </xf>
    <xf numFmtId="3" fontId="20" fillId="76" borderId="206" xfId="4" applyNumberFormat="1" applyFont="1" applyFill="1" applyBorder="1" applyAlignment="1">
      <alignment horizontal="right" vertical="center"/>
    </xf>
    <xf numFmtId="3" fontId="20" fillId="76" borderId="253" xfId="4" applyNumberFormat="1" applyFont="1" applyFill="1" applyBorder="1" applyAlignment="1">
      <alignment horizontal="right" vertical="center"/>
    </xf>
    <xf numFmtId="0" fontId="6" fillId="76" borderId="206" xfId="4" applyFont="1" applyFill="1" applyBorder="1" applyAlignment="1">
      <alignment vertical="center" wrapText="1"/>
    </xf>
    <xf numFmtId="0" fontId="7" fillId="76" borderId="206" xfId="4" applyFont="1" applyFill="1" applyBorder="1" applyAlignment="1">
      <alignment vertical="center"/>
    </xf>
    <xf numFmtId="0" fontId="32" fillId="76" borderId="206" xfId="0" applyFont="1" applyFill="1" applyBorder="1" applyAlignment="1">
      <alignment horizontal="center" vertical="center" wrapText="1"/>
    </xf>
    <xf numFmtId="3" fontId="21" fillId="76" borderId="206" xfId="4" applyNumberFormat="1" applyFont="1" applyFill="1" applyBorder="1" applyAlignment="1">
      <alignment horizontal="right" vertical="center"/>
    </xf>
    <xf numFmtId="3" fontId="27" fillId="76" borderId="206" xfId="4" applyNumberFormat="1" applyFont="1" applyFill="1" applyBorder="1" applyAlignment="1">
      <alignment horizontal="right" vertical="center"/>
    </xf>
    <xf numFmtId="3" fontId="103" fillId="76" borderId="206" xfId="4" applyNumberFormat="1" applyFont="1" applyFill="1" applyBorder="1" applyAlignment="1">
      <alignment horizontal="right" vertical="center"/>
    </xf>
    <xf numFmtId="4" fontId="20" fillId="76" borderId="206" xfId="4" applyNumberFormat="1" applyFont="1" applyFill="1" applyBorder="1" applyAlignment="1">
      <alignment horizontal="right" vertical="center"/>
    </xf>
    <xf numFmtId="4" fontId="25" fillId="56" borderId="206" xfId="4" applyNumberFormat="1" applyFont="1" applyFill="1" applyBorder="1" applyAlignment="1">
      <alignment horizontal="right" vertical="center"/>
    </xf>
    <xf numFmtId="4" fontId="31" fillId="56" borderId="206" xfId="4" applyNumberFormat="1" applyFont="1" applyFill="1" applyBorder="1" applyAlignment="1">
      <alignment horizontal="right" vertical="center"/>
    </xf>
    <xf numFmtId="0" fontId="68" fillId="67" borderId="206" xfId="4" applyFont="1" applyFill="1" applyBorder="1" applyAlignment="1">
      <alignment horizontal="left" vertical="center" wrapText="1"/>
    </xf>
    <xf numFmtId="0" fontId="38" fillId="67" borderId="206" xfId="4" applyFont="1" applyFill="1" applyBorder="1" applyAlignment="1">
      <alignment vertical="center"/>
    </xf>
    <xf numFmtId="0" fontId="63" fillId="67" borderId="206" xfId="0" applyFont="1" applyFill="1" applyBorder="1" applyAlignment="1">
      <alignment horizontal="center" vertical="center" wrapText="1"/>
    </xf>
    <xf numFmtId="3" fontId="13" fillId="67" borderId="206" xfId="4" applyNumberFormat="1" applyFont="1" applyFill="1" applyBorder="1" applyAlignment="1">
      <alignment horizontal="right" vertical="center"/>
    </xf>
    <xf numFmtId="3" fontId="68" fillId="67" borderId="206" xfId="4" applyNumberFormat="1" applyFont="1" applyFill="1" applyBorder="1" applyAlignment="1">
      <alignment horizontal="right" vertical="center"/>
    </xf>
    <xf numFmtId="3" fontId="21" fillId="32" borderId="253" xfId="4" applyNumberFormat="1" applyFont="1" applyFill="1" applyBorder="1" applyAlignment="1">
      <alignment horizontal="right" vertical="center"/>
    </xf>
    <xf numFmtId="3" fontId="21" fillId="32" borderId="204" xfId="4" applyNumberFormat="1" applyFont="1" applyFill="1" applyBorder="1" applyAlignment="1">
      <alignment horizontal="right" vertical="center"/>
    </xf>
    <xf numFmtId="0" fontId="122" fillId="77" borderId="206" xfId="4" applyFont="1" applyFill="1" applyBorder="1" applyAlignment="1">
      <alignment vertical="center" wrapText="1"/>
    </xf>
    <xf numFmtId="0" fontId="36" fillId="77" borderId="206" xfId="4" applyFont="1" applyFill="1" applyBorder="1" applyAlignment="1">
      <alignment horizontal="center" vertical="center"/>
    </xf>
    <xf numFmtId="0" fontId="32" fillId="77" borderId="206" xfId="0" applyFont="1" applyFill="1" applyBorder="1" applyAlignment="1">
      <alignment horizontal="center" vertical="center" wrapText="1"/>
    </xf>
    <xf numFmtId="3" fontId="21" fillId="77" borderId="206" xfId="4" applyNumberFormat="1" applyFont="1" applyFill="1" applyBorder="1" applyAlignment="1">
      <alignment horizontal="right" vertical="center"/>
    </xf>
    <xf numFmtId="3" fontId="6" fillId="77" borderId="206" xfId="4" applyNumberFormat="1" applyFont="1" applyFill="1" applyBorder="1" applyAlignment="1">
      <alignment horizontal="right" vertical="center"/>
    </xf>
    <xf numFmtId="3" fontId="122" fillId="77" borderId="206" xfId="4" applyNumberFormat="1" applyFont="1" applyFill="1" applyBorder="1" applyAlignment="1">
      <alignment horizontal="right" vertical="center"/>
    </xf>
    <xf numFmtId="0" fontId="6" fillId="77" borderId="206" xfId="4" applyFont="1" applyFill="1" applyBorder="1" applyAlignment="1">
      <alignment vertical="center" wrapText="1"/>
    </xf>
    <xf numFmtId="3" fontId="36" fillId="32" borderId="206" xfId="4" applyNumberFormat="1" applyFont="1" applyFill="1" applyBorder="1" applyAlignment="1">
      <alignment horizontal="right" vertical="center"/>
    </xf>
    <xf numFmtId="0" fontId="36" fillId="62" borderId="206" xfId="4" applyFont="1" applyFill="1" applyBorder="1" applyAlignment="1">
      <alignment vertical="center" wrapText="1"/>
    </xf>
    <xf numFmtId="0" fontId="36" fillId="62" borderId="206" xfId="4" applyFont="1" applyFill="1" applyBorder="1" applyAlignment="1">
      <alignment horizontal="center" vertical="center"/>
    </xf>
    <xf numFmtId="0" fontId="32" fillId="62" borderId="206" xfId="0" applyFont="1" applyFill="1" applyBorder="1" applyAlignment="1">
      <alignment horizontal="center" vertical="center" wrapText="1"/>
    </xf>
    <xf numFmtId="3" fontId="21" fillId="62" borderId="206" xfId="4" applyNumberFormat="1" applyFont="1" applyFill="1" applyBorder="1" applyAlignment="1">
      <alignment horizontal="right" vertical="center"/>
    </xf>
    <xf numFmtId="3" fontId="36" fillId="62" borderId="206" xfId="4" applyNumberFormat="1" applyFont="1" applyFill="1" applyBorder="1" applyAlignment="1">
      <alignment horizontal="right" vertical="center"/>
    </xf>
    <xf numFmtId="3" fontId="21" fillId="62" borderId="253" xfId="4" applyNumberFormat="1" applyFont="1" applyFill="1" applyBorder="1" applyAlignment="1">
      <alignment horizontal="right" vertical="center"/>
    </xf>
    <xf numFmtId="3" fontId="21" fillId="62" borderId="204" xfId="4" applyNumberFormat="1" applyFont="1" applyFill="1" applyBorder="1" applyAlignment="1">
      <alignment horizontal="right" vertical="center"/>
    </xf>
    <xf numFmtId="0" fontId="36" fillId="32" borderId="206" xfId="4" applyFont="1" applyFill="1" applyBorder="1" applyAlignment="1">
      <alignment vertical="center" wrapText="1"/>
    </xf>
    <xf numFmtId="0" fontId="36" fillId="32" borderId="206" xfId="4" applyFont="1" applyFill="1" applyBorder="1" applyAlignment="1">
      <alignment horizontal="center" vertical="center"/>
    </xf>
    <xf numFmtId="0" fontId="24" fillId="57" borderId="237" xfId="4" applyFont="1" applyFill="1" applyBorder="1" applyAlignment="1">
      <alignment horizontal="center" vertical="center"/>
    </xf>
    <xf numFmtId="0" fontId="36" fillId="57" borderId="206" xfId="4" applyFont="1" applyFill="1" applyBorder="1" applyAlignment="1">
      <alignment horizontal="center" vertical="center" wrapText="1"/>
    </xf>
    <xf numFmtId="0" fontId="25" fillId="57" borderId="206" xfId="4" applyFont="1" applyFill="1" applyBorder="1" applyAlignment="1">
      <alignment horizontal="center" vertical="center"/>
    </xf>
    <xf numFmtId="0" fontId="32" fillId="57" borderId="206" xfId="0" applyFont="1" applyFill="1" applyBorder="1" applyAlignment="1">
      <alignment horizontal="center" vertical="center" wrapText="1"/>
    </xf>
    <xf numFmtId="3" fontId="21" fillId="57" borderId="206" xfId="4" applyNumberFormat="1" applyFont="1" applyFill="1" applyBorder="1" applyAlignment="1">
      <alignment horizontal="right" vertical="center"/>
    </xf>
    <xf numFmtId="3" fontId="36" fillId="57" borderId="206" xfId="4" applyNumberFormat="1" applyFont="1" applyFill="1" applyBorder="1" applyAlignment="1">
      <alignment horizontal="right" vertical="center"/>
    </xf>
    <xf numFmtId="3" fontId="121" fillId="57" borderId="206" xfId="4" applyNumberFormat="1" applyFont="1" applyFill="1" applyBorder="1" applyAlignment="1">
      <alignment horizontal="right" vertical="center"/>
    </xf>
    <xf numFmtId="3" fontId="21" fillId="57" borderId="253" xfId="4" applyNumberFormat="1" applyFont="1" applyFill="1" applyBorder="1" applyAlignment="1">
      <alignment horizontal="right" vertical="center"/>
    </xf>
    <xf numFmtId="3" fontId="21" fillId="57" borderId="204" xfId="4" applyNumberFormat="1" applyFont="1" applyFill="1" applyBorder="1" applyAlignment="1">
      <alignment horizontal="right" vertical="center"/>
    </xf>
    <xf numFmtId="0" fontId="24" fillId="57" borderId="255" xfId="4" applyFont="1" applyFill="1" applyBorder="1" applyAlignment="1">
      <alignment horizontal="center" vertical="center"/>
    </xf>
    <xf numFmtId="3" fontId="36" fillId="57" borderId="237" xfId="4" applyNumberFormat="1" applyFont="1" applyFill="1" applyBorder="1" applyAlignment="1">
      <alignment horizontal="right" vertical="center"/>
    </xf>
    <xf numFmtId="0" fontId="37" fillId="78" borderId="206" xfId="0" applyFont="1" applyFill="1" applyBorder="1" applyAlignment="1">
      <alignment horizontal="right" vertical="center"/>
    </xf>
    <xf numFmtId="0" fontId="31" fillId="78" borderId="206" xfId="152" applyFont="1" applyFill="1" applyBorder="1" applyAlignment="1">
      <alignment vertical="center" wrapText="1"/>
    </xf>
    <xf numFmtId="0" fontId="4" fillId="78" borderId="206" xfId="0" applyFont="1" applyFill="1" applyBorder="1" applyAlignment="1">
      <alignment horizontal="center" vertical="center" wrapText="1"/>
    </xf>
    <xf numFmtId="3" fontId="4" fillId="78" borderId="206" xfId="152" applyNumberFormat="1" applyFont="1" applyFill="1" applyBorder="1" applyAlignment="1">
      <alignment vertical="center"/>
    </xf>
    <xf numFmtId="3" fontId="4" fillId="78" borderId="207" xfId="152" applyNumberFormat="1" applyFont="1" applyFill="1" applyBorder="1" applyAlignment="1">
      <alignment vertical="center"/>
    </xf>
    <xf numFmtId="3" fontId="4" fillId="78" borderId="277" xfId="152" applyNumberFormat="1" applyFont="1" applyFill="1" applyBorder="1" applyAlignment="1">
      <alignment vertical="center"/>
    </xf>
    <xf numFmtId="3" fontId="4" fillId="78" borderId="282" xfId="152" applyNumberFormat="1" applyFont="1" applyFill="1" applyBorder="1" applyAlignment="1">
      <alignment vertical="center"/>
    </xf>
    <xf numFmtId="3" fontId="4" fillId="78" borderId="281" xfId="152" applyNumberFormat="1" applyFont="1" applyFill="1" applyBorder="1" applyAlignment="1">
      <alignment vertical="center"/>
    </xf>
    <xf numFmtId="3" fontId="4" fillId="0" borderId="209" xfId="152" applyNumberFormat="1" applyFont="1" applyBorder="1" applyAlignment="1">
      <alignment vertical="center"/>
    </xf>
    <xf numFmtId="3" fontId="4" fillId="0" borderId="206" xfId="152" applyNumberFormat="1" applyFont="1" applyBorder="1" applyAlignment="1">
      <alignment vertical="center"/>
    </xf>
    <xf numFmtId="0" fontId="4" fillId="0" borderId="206" xfId="0" applyFont="1" applyBorder="1" applyAlignment="1">
      <alignment vertical="center"/>
    </xf>
    <xf numFmtId="0" fontId="4" fillId="0" borderId="253" xfId="0" applyFont="1" applyBorder="1" applyAlignment="1">
      <alignment vertical="center"/>
    </xf>
    <xf numFmtId="0" fontId="37" fillId="0" borderId="206" xfId="0" applyFont="1" applyBorder="1" applyAlignment="1">
      <alignment horizontal="right" vertical="center"/>
    </xf>
    <xf numFmtId="0" fontId="31" fillId="32" borderId="206" xfId="152" applyFont="1" applyFill="1" applyBorder="1" applyAlignment="1">
      <alignment vertical="center" wrapText="1"/>
    </xf>
    <xf numFmtId="0" fontId="4" fillId="0" borderId="206" xfId="0" applyFont="1" applyBorder="1" applyAlignment="1">
      <alignment horizontal="center" vertical="center" wrapText="1"/>
    </xf>
    <xf numFmtId="3" fontId="4" fillId="0" borderId="255" xfId="152" applyNumberFormat="1" applyFont="1" applyBorder="1" applyAlignment="1">
      <alignment vertical="center"/>
    </xf>
    <xf numFmtId="0" fontId="31" fillId="32" borderId="237" xfId="152" applyFont="1" applyFill="1" applyBorder="1" applyAlignment="1">
      <alignment vertical="center" wrapText="1"/>
    </xf>
    <xf numFmtId="0" fontId="4" fillId="0" borderId="237" xfId="0" applyFont="1" applyBorder="1" applyAlignment="1">
      <alignment horizontal="center" vertical="center" wrapText="1"/>
    </xf>
    <xf numFmtId="3" fontId="4" fillId="0" borderId="237" xfId="152" applyNumberFormat="1" applyFont="1" applyBorder="1" applyAlignment="1">
      <alignment vertical="center"/>
    </xf>
    <xf numFmtId="3" fontId="4" fillId="78" borderId="228" xfId="152" applyNumberFormat="1" applyFont="1" applyFill="1" applyBorder="1" applyAlignment="1">
      <alignment vertical="center"/>
    </xf>
    <xf numFmtId="3" fontId="4" fillId="78" borderId="229" xfId="152" applyNumberFormat="1" applyFont="1" applyFill="1" applyBorder="1" applyAlignment="1">
      <alignment vertical="center"/>
    </xf>
    <xf numFmtId="3" fontId="4" fillId="78" borderId="225" xfId="152" applyNumberFormat="1" applyFont="1" applyFill="1" applyBorder="1" applyAlignment="1">
      <alignment vertical="center"/>
    </xf>
    <xf numFmtId="0" fontId="104" fillId="32" borderId="206" xfId="152" applyFont="1" applyFill="1" applyBorder="1" applyAlignment="1">
      <alignment vertical="center" wrapText="1"/>
    </xf>
    <xf numFmtId="3" fontId="89" fillId="0" borderId="206" xfId="152" applyNumberFormat="1" applyFont="1" applyBorder="1" applyAlignment="1">
      <alignment vertical="center"/>
    </xf>
    <xf numFmtId="0" fontId="37" fillId="0" borderId="204" xfId="0" applyFont="1" applyBorder="1" applyAlignment="1">
      <alignment vertical="center"/>
    </xf>
    <xf numFmtId="3" fontId="37" fillId="0" borderId="204" xfId="0" applyNumberFormat="1" applyFont="1" applyBorder="1" applyAlignment="1">
      <alignment vertical="center"/>
    </xf>
    <xf numFmtId="3" fontId="4" fillId="79" borderId="204" xfId="0" applyNumberFormat="1" applyFont="1" applyFill="1" applyBorder="1" applyAlignment="1">
      <alignment vertical="center"/>
    </xf>
    <xf numFmtId="0" fontId="4" fillId="0" borderId="204" xfId="0" applyFont="1" applyBorder="1" applyAlignment="1">
      <alignment horizontal="left" vertical="center"/>
    </xf>
    <xf numFmtId="3" fontId="4" fillId="0" borderId="204" xfId="0" applyNumberFormat="1" applyFont="1" applyBorder="1" applyAlignment="1">
      <alignment vertical="center"/>
    </xf>
    <xf numFmtId="3" fontId="4" fillId="32" borderId="204" xfId="0" applyNumberFormat="1" applyFont="1" applyFill="1" applyBorder="1" applyAlignment="1">
      <alignment vertical="center"/>
    </xf>
    <xf numFmtId="3" fontId="4" fillId="0" borderId="206" xfId="0" applyNumberFormat="1" applyFont="1" applyBorder="1" applyAlignment="1">
      <alignment vertical="center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FF00"/>
      <color rgb="FF0000FF"/>
      <color rgb="FFFFFF99"/>
      <color rgb="FFFFFF00"/>
      <color rgb="FF66FF66"/>
      <color rgb="FFFF99FF"/>
      <color rgb="FF800000"/>
      <color rgb="FFFF66FF"/>
      <color rgb="FFCCFF33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59</xdr:row>
      <xdr:rowOff>0</xdr:rowOff>
    </xdr:from>
    <xdr:to>
      <xdr:col>18</xdr:col>
      <xdr:colOff>0</xdr:colOff>
      <xdr:row>59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8\Uchwa&#322;y\Sejmik\Luty\Luty_WPF_Tabele%206_przedsi&#281;wziec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7\uchwa&#322;y\Sejmiku%20WZ\wrzesie&#324;\wrzesie&#324;_WPF_Tabele%206_przedsi&#281;wziec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7\uchwa&#322;y\Sejmiku%20WZ\pa&#378;dziernik\pa&#378;dziernik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8\Uchwa&#322;y\Sejmik\Czerwiec\czerwiec_26_WPF_Tabele%206_przedsi&#281;wzieci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8\Uchwa&#322;y\Sejmik\Maj\maj_29_WPF_Tabele%206_przedsi&#281;wzieci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8">
          <cell r="L88">
            <v>1768543947</v>
          </cell>
        </row>
      </sheetData>
      <sheetData sheetId="2">
        <row r="25">
          <cell r="G25">
            <v>5076165</v>
          </cell>
        </row>
      </sheetData>
      <sheetData sheetId="3">
        <row r="37">
          <cell r="G37">
            <v>237792</v>
          </cell>
        </row>
        <row r="54">
          <cell r="G54">
            <v>586163</v>
          </cell>
        </row>
        <row r="67">
          <cell r="G67">
            <v>1553157</v>
          </cell>
        </row>
        <row r="91">
          <cell r="G91">
            <v>8810682</v>
          </cell>
        </row>
        <row r="122">
          <cell r="G122">
            <v>7819700</v>
          </cell>
        </row>
        <row r="130">
          <cell r="G130">
            <v>8335700</v>
          </cell>
        </row>
      </sheetData>
      <sheetData sheetId="4"/>
      <sheetData sheetId="5"/>
      <sheetData sheetId="6">
        <row r="35">
          <cell r="G35">
            <v>473192</v>
          </cell>
        </row>
        <row r="54">
          <cell r="G54">
            <v>632415</v>
          </cell>
        </row>
        <row r="66">
          <cell r="G66">
            <v>11970</v>
          </cell>
        </row>
        <row r="77">
          <cell r="G77">
            <v>2200000</v>
          </cell>
        </row>
        <row r="88">
          <cell r="G88">
            <v>0</v>
          </cell>
        </row>
        <row r="115">
          <cell r="G115">
            <v>26461975</v>
          </cell>
        </row>
        <row r="134">
          <cell r="G134">
            <v>369922</v>
          </cell>
        </row>
        <row r="147">
          <cell r="G147">
            <v>9512149</v>
          </cell>
        </row>
        <row r="220">
          <cell r="G220">
            <v>3783593</v>
          </cell>
        </row>
      </sheetData>
      <sheetData sheetId="7"/>
      <sheetData sheetId="8"/>
      <sheetData sheetId="9">
        <row r="21">
          <cell r="G21">
            <v>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</sheetNames>
    <sheetDataSet>
      <sheetData sheetId="0"/>
      <sheetData sheetId="1"/>
      <sheetData sheetId="2"/>
      <sheetData sheetId="3">
        <row r="162">
          <cell r="M162">
            <v>378288</v>
          </cell>
          <cell r="P162">
            <v>1089145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K7">
            <v>174832844</v>
          </cell>
        </row>
      </sheetData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>
        <row r="5">
          <cell r="C5">
            <v>12466748</v>
          </cell>
        </row>
      </sheetData>
      <sheetData sheetId="1">
        <row r="88">
          <cell r="C88">
            <v>545283095</v>
          </cell>
        </row>
      </sheetData>
      <sheetData sheetId="2">
        <row r="8">
          <cell r="D8">
            <v>812925188</v>
          </cell>
        </row>
      </sheetData>
      <sheetData sheetId="3">
        <row r="7">
          <cell r="D7">
            <v>102016554</v>
          </cell>
        </row>
        <row r="258">
          <cell r="D258">
            <v>12836659</v>
          </cell>
        </row>
      </sheetData>
      <sheetData sheetId="4">
        <row r="10">
          <cell r="D10">
            <v>125334394</v>
          </cell>
        </row>
      </sheetData>
      <sheetData sheetId="5">
        <row r="10">
          <cell r="D10">
            <v>783000</v>
          </cell>
        </row>
      </sheetData>
      <sheetData sheetId="6">
        <row r="9">
          <cell r="D9">
            <v>336435005</v>
          </cell>
        </row>
      </sheetData>
      <sheetData sheetId="7">
        <row r="7">
          <cell r="D7">
            <v>29987978</v>
          </cell>
        </row>
      </sheetData>
      <sheetData sheetId="8">
        <row r="8">
          <cell r="D8">
            <v>44879279</v>
          </cell>
        </row>
      </sheetData>
      <sheetData sheetId="9">
        <row r="7">
          <cell r="D7">
            <v>105743053</v>
          </cell>
        </row>
      </sheetData>
      <sheetData sheetId="10">
        <row r="8">
          <cell r="D8">
            <v>2254391</v>
          </cell>
        </row>
      </sheetData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8">
          <cell r="E88">
            <v>506785256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4">
          <cell r="G34">
            <v>1146458</v>
          </cell>
        </row>
        <row r="46">
          <cell r="G46">
            <v>535390</v>
          </cell>
        </row>
        <row r="58">
          <cell r="G58">
            <v>403710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E7">
            <v>553999809</v>
          </cell>
        </row>
        <row r="40">
          <cell r="K40">
            <v>1335657</v>
          </cell>
        </row>
      </sheetData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FFFF"/>
  </sheetPr>
  <dimension ref="A2:I38"/>
  <sheetViews>
    <sheetView topLeftCell="A19" workbookViewId="0">
      <selection activeCell="A19" sqref="A1:XFD1048576"/>
    </sheetView>
  </sheetViews>
  <sheetFormatPr defaultColWidth="9.140625" defaultRowHeight="12.75"/>
  <cols>
    <col min="1" max="1" width="7.42578125" style="4071" customWidth="1"/>
    <col min="2" max="2" width="114.140625" style="4071" customWidth="1"/>
    <col min="3" max="3" width="22.28515625" style="4071" customWidth="1"/>
    <col min="4" max="4" width="22.5703125" style="4071" customWidth="1"/>
    <col min="5" max="6" width="12.85546875" style="4071" customWidth="1"/>
    <col min="7" max="7" width="31.7109375" style="4071" customWidth="1"/>
    <col min="8" max="16384" width="9.140625" style="4071"/>
  </cols>
  <sheetData>
    <row r="2" spans="1:7" ht="18" customHeight="1">
      <c r="A2" s="4069" t="s">
        <v>282</v>
      </c>
      <c r="B2" s="4070"/>
    </row>
    <row r="3" spans="1:7">
      <c r="B3" s="4072"/>
      <c r="C3" s="4073"/>
      <c r="D3" s="4073"/>
    </row>
    <row r="4" spans="1:7" ht="44.25" customHeight="1">
      <c r="A4" s="4074" t="s">
        <v>283</v>
      </c>
      <c r="B4" s="4075" t="s">
        <v>561</v>
      </c>
      <c r="C4" s="4076" t="s">
        <v>562</v>
      </c>
      <c r="D4" s="4076" t="s">
        <v>563</v>
      </c>
    </row>
    <row r="5" spans="1:7" ht="20.25">
      <c r="A5" s="4077" t="s">
        <v>55</v>
      </c>
      <c r="B5" s="4078"/>
      <c r="C5" s="4079"/>
      <c r="D5" s="4079"/>
      <c r="E5" s="4080"/>
      <c r="F5" s="4081"/>
      <c r="G5" s="4082"/>
    </row>
    <row r="6" spans="1:7" ht="20.25">
      <c r="A6" s="4077" t="s">
        <v>56</v>
      </c>
      <c r="B6" s="4078"/>
      <c r="C6" s="4079"/>
      <c r="D6" s="4079"/>
    </row>
    <row r="7" spans="1:7" ht="20.25">
      <c r="A7" s="4077" t="s">
        <v>57</v>
      </c>
      <c r="B7" s="4078"/>
      <c r="C7" s="4079"/>
      <c r="D7" s="4079"/>
      <c r="E7" s="4080"/>
      <c r="F7" s="4081"/>
      <c r="G7" s="4082"/>
    </row>
    <row r="8" spans="1:7" ht="20.25">
      <c r="A8" s="4077" t="s">
        <v>58</v>
      </c>
      <c r="B8" s="4078"/>
      <c r="C8" s="4079"/>
      <c r="D8" s="4079"/>
      <c r="E8" s="4083"/>
      <c r="F8" s="4083"/>
      <c r="G8" s="4083"/>
    </row>
    <row r="9" spans="1:7" ht="20.25">
      <c r="A9" s="4077" t="s">
        <v>59</v>
      </c>
      <c r="B9" s="4078"/>
      <c r="C9" s="4079"/>
      <c r="D9" s="4079"/>
      <c r="E9" s="4083"/>
      <c r="F9" s="4083"/>
      <c r="G9" s="4083"/>
    </row>
    <row r="10" spans="1:7" ht="20.25">
      <c r="A10" s="4077" t="s">
        <v>107</v>
      </c>
      <c r="B10" s="4078"/>
      <c r="C10" s="4079"/>
      <c r="D10" s="4079"/>
      <c r="E10" s="4083"/>
      <c r="F10" s="4083"/>
      <c r="G10" s="4083"/>
    </row>
    <row r="11" spans="1:7" ht="20.25">
      <c r="A11" s="4077" t="s">
        <v>80</v>
      </c>
      <c r="B11" s="4078"/>
      <c r="C11" s="4079"/>
      <c r="D11" s="4079"/>
      <c r="E11" s="4083"/>
      <c r="F11" s="4083"/>
      <c r="G11" s="4083"/>
    </row>
    <row r="12" spans="1:7" ht="20.25">
      <c r="A12" s="4077" t="s">
        <v>81</v>
      </c>
      <c r="B12" s="4078"/>
      <c r="C12" s="4079"/>
      <c r="D12" s="4079"/>
      <c r="E12" s="4083"/>
      <c r="F12" s="4083"/>
      <c r="G12" s="4083"/>
    </row>
    <row r="13" spans="1:7" ht="20.25">
      <c r="A13" s="4077" t="s">
        <v>82</v>
      </c>
      <c r="B13" s="4078"/>
      <c r="C13" s="4079"/>
      <c r="D13" s="4079"/>
      <c r="E13" s="4083"/>
      <c r="F13" s="4083"/>
      <c r="G13" s="4083"/>
    </row>
    <row r="14" spans="1:7" ht="20.25">
      <c r="A14" s="4077" t="s">
        <v>83</v>
      </c>
      <c r="B14" s="4078"/>
      <c r="C14" s="4079"/>
      <c r="D14" s="4079"/>
      <c r="E14" s="4084"/>
      <c r="F14" s="4084"/>
      <c r="G14" s="4084"/>
    </row>
    <row r="15" spans="1:7" ht="20.25">
      <c r="A15" s="4077" t="s">
        <v>84</v>
      </c>
      <c r="B15" s="4085"/>
      <c r="C15" s="4079"/>
      <c r="D15" s="4086"/>
      <c r="E15" s="4084"/>
      <c r="F15" s="4084"/>
      <c r="G15" s="4084"/>
    </row>
    <row r="16" spans="1:7" ht="26.25" customHeight="1">
      <c r="A16" s="4087" t="s">
        <v>60</v>
      </c>
      <c r="B16" s="4088" t="s">
        <v>380</v>
      </c>
      <c r="C16" s="4089">
        <f>SUM(C5:C15)</f>
        <v>0</v>
      </c>
      <c r="D16" s="4089">
        <f>SUM(D5:D15)</f>
        <v>0</v>
      </c>
    </row>
    <row r="17" spans="1:9">
      <c r="A17" s="4073"/>
      <c r="B17" s="4073"/>
      <c r="C17" s="4073"/>
      <c r="D17" s="4073"/>
    </row>
    <row r="18" spans="1:9">
      <c r="A18" s="4073"/>
      <c r="B18" s="4073"/>
      <c r="C18" s="4073"/>
      <c r="D18" s="4073"/>
    </row>
    <row r="19" spans="1:9">
      <c r="A19" s="4073"/>
      <c r="B19" s="4073"/>
      <c r="C19" s="4073"/>
      <c r="D19" s="4073"/>
    </row>
    <row r="21" spans="1:9" ht="24" customHeight="1">
      <c r="A21" s="4069" t="s">
        <v>441</v>
      </c>
      <c r="B21" s="4090"/>
      <c r="E21" s="4091" t="s">
        <v>484</v>
      </c>
      <c r="F21" s="4091" t="s">
        <v>485</v>
      </c>
      <c r="G21" s="4092" t="s">
        <v>486</v>
      </c>
    </row>
    <row r="22" spans="1:9" ht="24" customHeight="1">
      <c r="A22" s="4074" t="s">
        <v>283</v>
      </c>
      <c r="B22" s="4093" t="s">
        <v>4</v>
      </c>
      <c r="C22" s="4094" t="s">
        <v>284</v>
      </c>
      <c r="D22" s="4094" t="s">
        <v>285</v>
      </c>
      <c r="E22" s="4095"/>
      <c r="F22" s="4095"/>
      <c r="G22" s="4092"/>
    </row>
    <row r="23" spans="1:9" ht="45">
      <c r="A23" s="4077" t="s">
        <v>55</v>
      </c>
      <c r="B23" s="4096"/>
      <c r="C23" s="4079"/>
      <c r="D23" s="4079"/>
      <c r="E23" s="4097" t="s">
        <v>762</v>
      </c>
      <c r="F23" s="4098" t="s">
        <v>761</v>
      </c>
      <c r="G23" s="4099" t="s">
        <v>763</v>
      </c>
      <c r="H23" s="4100"/>
    </row>
    <row r="24" spans="1:9" ht="40.5">
      <c r="A24" s="4077" t="s">
        <v>56</v>
      </c>
      <c r="B24" s="4101" t="s">
        <v>764</v>
      </c>
      <c r="C24" s="4079">
        <f>'Tab. 6H - Kultura fiz. i turyst'!D62</f>
        <v>8223000</v>
      </c>
      <c r="D24" s="4079">
        <f>'Tab. 6H - Kultura fiz. i turyst'!D68</f>
        <v>6989550</v>
      </c>
      <c r="E24" s="4097" t="s">
        <v>798</v>
      </c>
      <c r="F24" s="4102"/>
      <c r="G24" s="4103"/>
      <c r="H24" s="4100"/>
    </row>
    <row r="25" spans="1:9" ht="40.5">
      <c r="A25" s="4077" t="s">
        <v>57</v>
      </c>
      <c r="B25" s="4101" t="s">
        <v>796</v>
      </c>
      <c r="C25" s="4079">
        <v>55000000</v>
      </c>
      <c r="D25" s="4079">
        <v>46750000</v>
      </c>
      <c r="E25" s="4104" t="s">
        <v>798</v>
      </c>
      <c r="F25" s="4105"/>
      <c r="G25" s="4103"/>
      <c r="H25" s="4106"/>
    </row>
    <row r="26" spans="1:9" ht="40.5">
      <c r="A26" s="4077" t="s">
        <v>58</v>
      </c>
      <c r="B26" s="4101" t="s">
        <v>797</v>
      </c>
      <c r="C26" s="4079">
        <v>25000000</v>
      </c>
      <c r="D26" s="4079">
        <v>21250000</v>
      </c>
      <c r="E26" s="4097" t="s">
        <v>798</v>
      </c>
      <c r="F26" s="4107"/>
      <c r="G26" s="4103"/>
      <c r="H26" s="4106"/>
    </row>
    <row r="27" spans="1:9" ht="20.25">
      <c r="A27" s="4077" t="s">
        <v>59</v>
      </c>
      <c r="B27" s="4078"/>
      <c r="C27" s="4079"/>
      <c r="D27" s="4079"/>
      <c r="E27" s="4108"/>
      <c r="F27" s="4109"/>
      <c r="G27" s="4103"/>
    </row>
    <row r="28" spans="1:9" s="4111" customFormat="1" ht="20.25">
      <c r="A28" s="4077" t="s">
        <v>107</v>
      </c>
      <c r="B28" s="4101"/>
      <c r="C28" s="4079"/>
      <c r="D28" s="4079"/>
      <c r="E28" s="4110"/>
      <c r="F28" s="4105"/>
      <c r="G28" s="4103"/>
      <c r="I28" s="4111" t="s">
        <v>279</v>
      </c>
    </row>
    <row r="29" spans="1:9" s="4111" customFormat="1" ht="20.25">
      <c r="A29" s="4077" t="s">
        <v>80</v>
      </c>
      <c r="B29" s="4101"/>
      <c r="C29" s="4079"/>
      <c r="D29" s="4079"/>
      <c r="F29" s="4112"/>
      <c r="G29" s="4113"/>
    </row>
    <row r="30" spans="1:9" s="4111" customFormat="1" ht="20.25">
      <c r="A30" s="4077" t="s">
        <v>81</v>
      </c>
      <c r="B30" s="4101"/>
      <c r="C30" s="4079"/>
      <c r="D30" s="4079"/>
      <c r="F30" s="4112"/>
      <c r="G30" s="4113"/>
    </row>
    <row r="31" spans="1:9" s="4111" customFormat="1" ht="20.25">
      <c r="A31" s="4114" t="s">
        <v>82</v>
      </c>
      <c r="B31" s="4115"/>
      <c r="C31" s="4079"/>
      <c r="D31" s="4079"/>
      <c r="F31" s="4112"/>
      <c r="G31" s="4113"/>
    </row>
    <row r="32" spans="1:9" s="4111" customFormat="1" ht="20.25">
      <c r="A32" s="4114" t="s">
        <v>83</v>
      </c>
      <c r="B32" s="4115"/>
      <c r="C32" s="4079"/>
      <c r="D32" s="4079"/>
      <c r="F32" s="4112"/>
      <c r="G32" s="4113"/>
    </row>
    <row r="33" spans="1:4" ht="24" customHeight="1">
      <c r="A33" s="4087" t="s">
        <v>60</v>
      </c>
      <c r="B33" s="4088" t="s">
        <v>444</v>
      </c>
      <c r="C33" s="4089">
        <f>SUM(C23:C32)</f>
        <v>88223000</v>
      </c>
      <c r="D33" s="4089">
        <f>SUM(D23:D32)</f>
        <v>74989550</v>
      </c>
    </row>
    <row r="35" spans="1:4">
      <c r="C35" s="4116">
        <f>C33-C26-C27</f>
        <v>63223000</v>
      </c>
      <c r="D35" s="4116">
        <f>D33-D26-D27</f>
        <v>53739550</v>
      </c>
    </row>
    <row r="38" spans="1:4" ht="26.25" customHeight="1">
      <c r="C38" s="4116"/>
      <c r="D38" s="4116"/>
    </row>
  </sheetData>
  <mergeCells count="5">
    <mergeCell ref="G21:G22"/>
    <mergeCell ref="E21:E22"/>
    <mergeCell ref="F21:F22"/>
    <mergeCell ref="E5:G5"/>
    <mergeCell ref="E7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S548"/>
  <sheetViews>
    <sheetView showGridLines="0" view="pageBreakPreview" topLeftCell="A4" zoomScaleSheetLayoutView="100" workbookViewId="0">
      <pane xSplit="2" ySplit="4" topLeftCell="C20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B52" sqref="B52"/>
    </sheetView>
  </sheetViews>
  <sheetFormatPr defaultRowHeight="11.25"/>
  <cols>
    <col min="1" max="1" width="2.85546875" style="631" customWidth="1"/>
    <col min="2" max="2" width="60.42578125" style="492" customWidth="1"/>
    <col min="3" max="3" width="10.5703125" style="492" customWidth="1"/>
    <col min="4" max="4" width="14.140625" style="492" customWidth="1"/>
    <col min="5" max="5" width="13.28515625" style="492" customWidth="1"/>
    <col min="6" max="6" width="10.28515625" style="492" customWidth="1"/>
    <col min="7" max="7" width="9.7109375" style="492" customWidth="1"/>
    <col min="8" max="8" width="10.140625" style="492" customWidth="1"/>
    <col min="9" max="9" width="10.7109375" style="492" customWidth="1"/>
    <col min="10" max="10" width="10.42578125" style="492" customWidth="1"/>
    <col min="11" max="12" width="9.28515625" style="492" customWidth="1"/>
    <col min="13" max="13" width="11.85546875" style="492" hidden="1" customWidth="1"/>
    <col min="14" max="14" width="11.42578125" style="492" customWidth="1"/>
    <col min="15" max="15" width="15.28515625" style="667" customWidth="1"/>
    <col min="16" max="16" width="11.85546875" style="492" customWidth="1"/>
    <col min="17" max="251" width="9.140625" style="492"/>
    <col min="252" max="252" width="2.85546875" style="492" customWidth="1"/>
    <col min="253" max="253" width="50.7109375" style="492" customWidth="1"/>
    <col min="254" max="254" width="9.42578125" style="492" customWidth="1"/>
    <col min="255" max="255" width="11.85546875" style="492" customWidth="1"/>
    <col min="256" max="256" width="8.42578125" style="492" bestFit="1" customWidth="1"/>
    <col min="257" max="259" width="0" style="492" hidden="1" customWidth="1"/>
    <col min="260" max="260" width="6" style="492" bestFit="1" customWidth="1"/>
    <col min="261" max="261" width="9.5703125" style="492" customWidth="1"/>
    <col min="262" max="262" width="9.85546875" style="492" customWidth="1"/>
    <col min="263" max="263" width="9.7109375" style="492" customWidth="1"/>
    <col min="264" max="264" width="9.5703125" style="492" customWidth="1"/>
    <col min="265" max="265" width="9.85546875" style="492" customWidth="1"/>
    <col min="266" max="266" width="6.5703125" style="492" customWidth="1"/>
    <col min="267" max="267" width="6" style="492" bestFit="1" customWidth="1"/>
    <col min="268" max="268" width="6.28515625" style="492" customWidth="1"/>
    <col min="269" max="269" width="11.7109375" style="492" customWidth="1"/>
    <col min="270" max="270" width="0" style="492" hidden="1" customWidth="1"/>
    <col min="271" max="271" width="14.5703125" style="492" customWidth="1"/>
    <col min="272" max="272" width="11.85546875" style="492" customWidth="1"/>
    <col min="273" max="507" width="9.140625" style="492"/>
    <col min="508" max="508" width="2.85546875" style="492" customWidth="1"/>
    <col min="509" max="509" width="50.7109375" style="492" customWidth="1"/>
    <col min="510" max="510" width="9.42578125" style="492" customWidth="1"/>
    <col min="511" max="511" width="11.85546875" style="492" customWidth="1"/>
    <col min="512" max="512" width="8.42578125" style="492" bestFit="1" customWidth="1"/>
    <col min="513" max="515" width="0" style="492" hidden="1" customWidth="1"/>
    <col min="516" max="516" width="6" style="492" bestFit="1" customWidth="1"/>
    <col min="517" max="517" width="9.5703125" style="492" customWidth="1"/>
    <col min="518" max="518" width="9.85546875" style="492" customWidth="1"/>
    <col min="519" max="519" width="9.7109375" style="492" customWidth="1"/>
    <col min="520" max="520" width="9.5703125" style="492" customWidth="1"/>
    <col min="521" max="521" width="9.85546875" style="492" customWidth="1"/>
    <col min="522" max="522" width="6.5703125" style="492" customWidth="1"/>
    <col min="523" max="523" width="6" style="492" bestFit="1" customWidth="1"/>
    <col min="524" max="524" width="6.28515625" style="492" customWidth="1"/>
    <col min="525" max="525" width="11.7109375" style="492" customWidth="1"/>
    <col min="526" max="526" width="0" style="492" hidden="1" customWidth="1"/>
    <col min="527" max="527" width="14.5703125" style="492" customWidth="1"/>
    <col min="528" max="528" width="11.85546875" style="492" customWidth="1"/>
    <col min="529" max="763" width="9.140625" style="492"/>
    <col min="764" max="764" width="2.85546875" style="492" customWidth="1"/>
    <col min="765" max="765" width="50.7109375" style="492" customWidth="1"/>
    <col min="766" max="766" width="9.42578125" style="492" customWidth="1"/>
    <col min="767" max="767" width="11.85546875" style="492" customWidth="1"/>
    <col min="768" max="768" width="8.42578125" style="492" bestFit="1" customWidth="1"/>
    <col min="769" max="771" width="0" style="492" hidden="1" customWidth="1"/>
    <col min="772" max="772" width="6" style="492" bestFit="1" customWidth="1"/>
    <col min="773" max="773" width="9.5703125" style="492" customWidth="1"/>
    <col min="774" max="774" width="9.85546875" style="492" customWidth="1"/>
    <col min="775" max="775" width="9.7109375" style="492" customWidth="1"/>
    <col min="776" max="776" width="9.5703125" style="492" customWidth="1"/>
    <col min="777" max="777" width="9.85546875" style="492" customWidth="1"/>
    <col min="778" max="778" width="6.5703125" style="492" customWidth="1"/>
    <col min="779" max="779" width="6" style="492" bestFit="1" customWidth="1"/>
    <col min="780" max="780" width="6.28515625" style="492" customWidth="1"/>
    <col min="781" max="781" width="11.7109375" style="492" customWidth="1"/>
    <col min="782" max="782" width="0" style="492" hidden="1" customWidth="1"/>
    <col min="783" max="783" width="14.5703125" style="492" customWidth="1"/>
    <col min="784" max="784" width="11.85546875" style="492" customWidth="1"/>
    <col min="785" max="1019" width="9.140625" style="492"/>
    <col min="1020" max="1020" width="2.85546875" style="492" customWidth="1"/>
    <col min="1021" max="1021" width="50.7109375" style="492" customWidth="1"/>
    <col min="1022" max="1022" width="9.42578125" style="492" customWidth="1"/>
    <col min="1023" max="1023" width="11.85546875" style="492" customWidth="1"/>
    <col min="1024" max="1024" width="8.42578125" style="492" bestFit="1" customWidth="1"/>
    <col min="1025" max="1027" width="0" style="492" hidden="1" customWidth="1"/>
    <col min="1028" max="1028" width="6" style="492" bestFit="1" customWidth="1"/>
    <col min="1029" max="1029" width="9.5703125" style="492" customWidth="1"/>
    <col min="1030" max="1030" width="9.85546875" style="492" customWidth="1"/>
    <col min="1031" max="1031" width="9.7109375" style="492" customWidth="1"/>
    <col min="1032" max="1032" width="9.5703125" style="492" customWidth="1"/>
    <col min="1033" max="1033" width="9.85546875" style="492" customWidth="1"/>
    <col min="1034" max="1034" width="6.5703125" style="492" customWidth="1"/>
    <col min="1035" max="1035" width="6" style="492" bestFit="1" customWidth="1"/>
    <col min="1036" max="1036" width="6.28515625" style="492" customWidth="1"/>
    <col min="1037" max="1037" width="11.7109375" style="492" customWidth="1"/>
    <col min="1038" max="1038" width="0" style="492" hidden="1" customWidth="1"/>
    <col min="1039" max="1039" width="14.5703125" style="492" customWidth="1"/>
    <col min="1040" max="1040" width="11.85546875" style="492" customWidth="1"/>
    <col min="1041" max="1275" width="9.140625" style="492"/>
    <col min="1276" max="1276" width="2.85546875" style="492" customWidth="1"/>
    <col min="1277" max="1277" width="50.7109375" style="492" customWidth="1"/>
    <col min="1278" max="1278" width="9.42578125" style="492" customWidth="1"/>
    <col min="1279" max="1279" width="11.85546875" style="492" customWidth="1"/>
    <col min="1280" max="1280" width="8.42578125" style="492" bestFit="1" customWidth="1"/>
    <col min="1281" max="1283" width="0" style="492" hidden="1" customWidth="1"/>
    <col min="1284" max="1284" width="6" style="492" bestFit="1" customWidth="1"/>
    <col min="1285" max="1285" width="9.5703125" style="492" customWidth="1"/>
    <col min="1286" max="1286" width="9.85546875" style="492" customWidth="1"/>
    <col min="1287" max="1287" width="9.7109375" style="492" customWidth="1"/>
    <col min="1288" max="1288" width="9.5703125" style="492" customWidth="1"/>
    <col min="1289" max="1289" width="9.85546875" style="492" customWidth="1"/>
    <col min="1290" max="1290" width="6.5703125" style="492" customWidth="1"/>
    <col min="1291" max="1291" width="6" style="492" bestFit="1" customWidth="1"/>
    <col min="1292" max="1292" width="6.28515625" style="492" customWidth="1"/>
    <col min="1293" max="1293" width="11.7109375" style="492" customWidth="1"/>
    <col min="1294" max="1294" width="0" style="492" hidden="1" customWidth="1"/>
    <col min="1295" max="1295" width="14.5703125" style="492" customWidth="1"/>
    <col min="1296" max="1296" width="11.85546875" style="492" customWidth="1"/>
    <col min="1297" max="1531" width="9.140625" style="492"/>
    <col min="1532" max="1532" width="2.85546875" style="492" customWidth="1"/>
    <col min="1533" max="1533" width="50.7109375" style="492" customWidth="1"/>
    <col min="1534" max="1534" width="9.42578125" style="492" customWidth="1"/>
    <col min="1535" max="1535" width="11.85546875" style="492" customWidth="1"/>
    <col min="1536" max="1536" width="8.42578125" style="492" bestFit="1" customWidth="1"/>
    <col min="1537" max="1539" width="0" style="492" hidden="1" customWidth="1"/>
    <col min="1540" max="1540" width="6" style="492" bestFit="1" customWidth="1"/>
    <col min="1541" max="1541" width="9.5703125" style="492" customWidth="1"/>
    <col min="1542" max="1542" width="9.85546875" style="492" customWidth="1"/>
    <col min="1543" max="1543" width="9.7109375" style="492" customWidth="1"/>
    <col min="1544" max="1544" width="9.5703125" style="492" customWidth="1"/>
    <col min="1545" max="1545" width="9.85546875" style="492" customWidth="1"/>
    <col min="1546" max="1546" width="6.5703125" style="492" customWidth="1"/>
    <col min="1547" max="1547" width="6" style="492" bestFit="1" customWidth="1"/>
    <col min="1548" max="1548" width="6.28515625" style="492" customWidth="1"/>
    <col min="1549" max="1549" width="11.7109375" style="492" customWidth="1"/>
    <col min="1550" max="1550" width="0" style="492" hidden="1" customWidth="1"/>
    <col min="1551" max="1551" width="14.5703125" style="492" customWidth="1"/>
    <col min="1552" max="1552" width="11.85546875" style="492" customWidth="1"/>
    <col min="1553" max="1787" width="9.140625" style="492"/>
    <col min="1788" max="1788" width="2.85546875" style="492" customWidth="1"/>
    <col min="1789" max="1789" width="50.7109375" style="492" customWidth="1"/>
    <col min="1790" max="1790" width="9.42578125" style="492" customWidth="1"/>
    <col min="1791" max="1791" width="11.85546875" style="492" customWidth="1"/>
    <col min="1792" max="1792" width="8.42578125" style="492" bestFit="1" customWidth="1"/>
    <col min="1793" max="1795" width="0" style="492" hidden="1" customWidth="1"/>
    <col min="1796" max="1796" width="6" style="492" bestFit="1" customWidth="1"/>
    <col min="1797" max="1797" width="9.5703125" style="492" customWidth="1"/>
    <col min="1798" max="1798" width="9.85546875" style="492" customWidth="1"/>
    <col min="1799" max="1799" width="9.7109375" style="492" customWidth="1"/>
    <col min="1800" max="1800" width="9.5703125" style="492" customWidth="1"/>
    <col min="1801" max="1801" width="9.85546875" style="492" customWidth="1"/>
    <col min="1802" max="1802" width="6.5703125" style="492" customWidth="1"/>
    <col min="1803" max="1803" width="6" style="492" bestFit="1" customWidth="1"/>
    <col min="1804" max="1804" width="6.28515625" style="492" customWidth="1"/>
    <col min="1805" max="1805" width="11.7109375" style="492" customWidth="1"/>
    <col min="1806" max="1806" width="0" style="492" hidden="1" customWidth="1"/>
    <col min="1807" max="1807" width="14.5703125" style="492" customWidth="1"/>
    <col min="1808" max="1808" width="11.85546875" style="492" customWidth="1"/>
    <col min="1809" max="2043" width="9.140625" style="492"/>
    <col min="2044" max="2044" width="2.85546875" style="492" customWidth="1"/>
    <col min="2045" max="2045" width="50.7109375" style="492" customWidth="1"/>
    <col min="2046" max="2046" width="9.42578125" style="492" customWidth="1"/>
    <col min="2047" max="2047" width="11.85546875" style="492" customWidth="1"/>
    <col min="2048" max="2048" width="8.42578125" style="492" bestFit="1" customWidth="1"/>
    <col min="2049" max="2051" width="0" style="492" hidden="1" customWidth="1"/>
    <col min="2052" max="2052" width="6" style="492" bestFit="1" customWidth="1"/>
    <col min="2053" max="2053" width="9.5703125" style="492" customWidth="1"/>
    <col min="2054" max="2054" width="9.85546875" style="492" customWidth="1"/>
    <col min="2055" max="2055" width="9.7109375" style="492" customWidth="1"/>
    <col min="2056" max="2056" width="9.5703125" style="492" customWidth="1"/>
    <col min="2057" max="2057" width="9.85546875" style="492" customWidth="1"/>
    <col min="2058" max="2058" width="6.5703125" style="492" customWidth="1"/>
    <col min="2059" max="2059" width="6" style="492" bestFit="1" customWidth="1"/>
    <col min="2060" max="2060" width="6.28515625" style="492" customWidth="1"/>
    <col min="2061" max="2061" width="11.7109375" style="492" customWidth="1"/>
    <col min="2062" max="2062" width="0" style="492" hidden="1" customWidth="1"/>
    <col min="2063" max="2063" width="14.5703125" style="492" customWidth="1"/>
    <col min="2064" max="2064" width="11.85546875" style="492" customWidth="1"/>
    <col min="2065" max="2299" width="9.140625" style="492"/>
    <col min="2300" max="2300" width="2.85546875" style="492" customWidth="1"/>
    <col min="2301" max="2301" width="50.7109375" style="492" customWidth="1"/>
    <col min="2302" max="2302" width="9.42578125" style="492" customWidth="1"/>
    <col min="2303" max="2303" width="11.85546875" style="492" customWidth="1"/>
    <col min="2304" max="2304" width="8.42578125" style="492" bestFit="1" customWidth="1"/>
    <col min="2305" max="2307" width="0" style="492" hidden="1" customWidth="1"/>
    <col min="2308" max="2308" width="6" style="492" bestFit="1" customWidth="1"/>
    <col min="2309" max="2309" width="9.5703125" style="492" customWidth="1"/>
    <col min="2310" max="2310" width="9.85546875" style="492" customWidth="1"/>
    <col min="2311" max="2311" width="9.7109375" style="492" customWidth="1"/>
    <col min="2312" max="2312" width="9.5703125" style="492" customWidth="1"/>
    <col min="2313" max="2313" width="9.85546875" style="492" customWidth="1"/>
    <col min="2314" max="2314" width="6.5703125" style="492" customWidth="1"/>
    <col min="2315" max="2315" width="6" style="492" bestFit="1" customWidth="1"/>
    <col min="2316" max="2316" width="6.28515625" style="492" customWidth="1"/>
    <col min="2317" max="2317" width="11.7109375" style="492" customWidth="1"/>
    <col min="2318" max="2318" width="0" style="492" hidden="1" customWidth="1"/>
    <col min="2319" max="2319" width="14.5703125" style="492" customWidth="1"/>
    <col min="2320" max="2320" width="11.85546875" style="492" customWidth="1"/>
    <col min="2321" max="2555" width="9.140625" style="492"/>
    <col min="2556" max="2556" width="2.85546875" style="492" customWidth="1"/>
    <col min="2557" max="2557" width="50.7109375" style="492" customWidth="1"/>
    <col min="2558" max="2558" width="9.42578125" style="492" customWidth="1"/>
    <col min="2559" max="2559" width="11.85546875" style="492" customWidth="1"/>
    <col min="2560" max="2560" width="8.42578125" style="492" bestFit="1" customWidth="1"/>
    <col min="2561" max="2563" width="0" style="492" hidden="1" customWidth="1"/>
    <col min="2564" max="2564" width="6" style="492" bestFit="1" customWidth="1"/>
    <col min="2565" max="2565" width="9.5703125" style="492" customWidth="1"/>
    <col min="2566" max="2566" width="9.85546875" style="492" customWidth="1"/>
    <col min="2567" max="2567" width="9.7109375" style="492" customWidth="1"/>
    <col min="2568" max="2568" width="9.5703125" style="492" customWidth="1"/>
    <col min="2569" max="2569" width="9.85546875" style="492" customWidth="1"/>
    <col min="2570" max="2570" width="6.5703125" style="492" customWidth="1"/>
    <col min="2571" max="2571" width="6" style="492" bestFit="1" customWidth="1"/>
    <col min="2572" max="2572" width="6.28515625" style="492" customWidth="1"/>
    <col min="2573" max="2573" width="11.7109375" style="492" customWidth="1"/>
    <col min="2574" max="2574" width="0" style="492" hidden="1" customWidth="1"/>
    <col min="2575" max="2575" width="14.5703125" style="492" customWidth="1"/>
    <col min="2576" max="2576" width="11.85546875" style="492" customWidth="1"/>
    <col min="2577" max="2811" width="9.140625" style="492"/>
    <col min="2812" max="2812" width="2.85546875" style="492" customWidth="1"/>
    <col min="2813" max="2813" width="50.7109375" style="492" customWidth="1"/>
    <col min="2814" max="2814" width="9.42578125" style="492" customWidth="1"/>
    <col min="2815" max="2815" width="11.85546875" style="492" customWidth="1"/>
    <col min="2816" max="2816" width="8.42578125" style="492" bestFit="1" customWidth="1"/>
    <col min="2817" max="2819" width="0" style="492" hidden="1" customWidth="1"/>
    <col min="2820" max="2820" width="6" style="492" bestFit="1" customWidth="1"/>
    <col min="2821" max="2821" width="9.5703125" style="492" customWidth="1"/>
    <col min="2822" max="2822" width="9.85546875" style="492" customWidth="1"/>
    <col min="2823" max="2823" width="9.7109375" style="492" customWidth="1"/>
    <col min="2824" max="2824" width="9.5703125" style="492" customWidth="1"/>
    <col min="2825" max="2825" width="9.85546875" style="492" customWidth="1"/>
    <col min="2826" max="2826" width="6.5703125" style="492" customWidth="1"/>
    <col min="2827" max="2827" width="6" style="492" bestFit="1" customWidth="1"/>
    <col min="2828" max="2828" width="6.28515625" style="492" customWidth="1"/>
    <col min="2829" max="2829" width="11.7109375" style="492" customWidth="1"/>
    <col min="2830" max="2830" width="0" style="492" hidden="1" customWidth="1"/>
    <col min="2831" max="2831" width="14.5703125" style="492" customWidth="1"/>
    <col min="2832" max="2832" width="11.85546875" style="492" customWidth="1"/>
    <col min="2833" max="3067" width="9.140625" style="492"/>
    <col min="3068" max="3068" width="2.85546875" style="492" customWidth="1"/>
    <col min="3069" max="3069" width="50.7109375" style="492" customWidth="1"/>
    <col min="3070" max="3070" width="9.42578125" style="492" customWidth="1"/>
    <col min="3071" max="3071" width="11.85546875" style="492" customWidth="1"/>
    <col min="3072" max="3072" width="8.42578125" style="492" bestFit="1" customWidth="1"/>
    <col min="3073" max="3075" width="0" style="492" hidden="1" customWidth="1"/>
    <col min="3076" max="3076" width="6" style="492" bestFit="1" customWidth="1"/>
    <col min="3077" max="3077" width="9.5703125" style="492" customWidth="1"/>
    <col min="3078" max="3078" width="9.85546875" style="492" customWidth="1"/>
    <col min="3079" max="3079" width="9.7109375" style="492" customWidth="1"/>
    <col min="3080" max="3080" width="9.5703125" style="492" customWidth="1"/>
    <col min="3081" max="3081" width="9.85546875" style="492" customWidth="1"/>
    <col min="3082" max="3082" width="6.5703125" style="492" customWidth="1"/>
    <col min="3083" max="3083" width="6" style="492" bestFit="1" customWidth="1"/>
    <col min="3084" max="3084" width="6.28515625" style="492" customWidth="1"/>
    <col min="3085" max="3085" width="11.7109375" style="492" customWidth="1"/>
    <col min="3086" max="3086" width="0" style="492" hidden="1" customWidth="1"/>
    <col min="3087" max="3087" width="14.5703125" style="492" customWidth="1"/>
    <col min="3088" max="3088" width="11.85546875" style="492" customWidth="1"/>
    <col min="3089" max="3323" width="9.140625" style="492"/>
    <col min="3324" max="3324" width="2.85546875" style="492" customWidth="1"/>
    <col min="3325" max="3325" width="50.7109375" style="492" customWidth="1"/>
    <col min="3326" max="3326" width="9.42578125" style="492" customWidth="1"/>
    <col min="3327" max="3327" width="11.85546875" style="492" customWidth="1"/>
    <col min="3328" max="3328" width="8.42578125" style="492" bestFit="1" customWidth="1"/>
    <col min="3329" max="3331" width="0" style="492" hidden="1" customWidth="1"/>
    <col min="3332" max="3332" width="6" style="492" bestFit="1" customWidth="1"/>
    <col min="3333" max="3333" width="9.5703125" style="492" customWidth="1"/>
    <col min="3334" max="3334" width="9.85546875" style="492" customWidth="1"/>
    <col min="3335" max="3335" width="9.7109375" style="492" customWidth="1"/>
    <col min="3336" max="3336" width="9.5703125" style="492" customWidth="1"/>
    <col min="3337" max="3337" width="9.85546875" style="492" customWidth="1"/>
    <col min="3338" max="3338" width="6.5703125" style="492" customWidth="1"/>
    <col min="3339" max="3339" width="6" style="492" bestFit="1" customWidth="1"/>
    <col min="3340" max="3340" width="6.28515625" style="492" customWidth="1"/>
    <col min="3341" max="3341" width="11.7109375" style="492" customWidth="1"/>
    <col min="3342" max="3342" width="0" style="492" hidden="1" customWidth="1"/>
    <col min="3343" max="3343" width="14.5703125" style="492" customWidth="1"/>
    <col min="3344" max="3344" width="11.85546875" style="492" customWidth="1"/>
    <col min="3345" max="3579" width="9.140625" style="492"/>
    <col min="3580" max="3580" width="2.85546875" style="492" customWidth="1"/>
    <col min="3581" max="3581" width="50.7109375" style="492" customWidth="1"/>
    <col min="3582" max="3582" width="9.42578125" style="492" customWidth="1"/>
    <col min="3583" max="3583" width="11.85546875" style="492" customWidth="1"/>
    <col min="3584" max="3584" width="8.42578125" style="492" bestFit="1" customWidth="1"/>
    <col min="3585" max="3587" width="0" style="492" hidden="1" customWidth="1"/>
    <col min="3588" max="3588" width="6" style="492" bestFit="1" customWidth="1"/>
    <col min="3589" max="3589" width="9.5703125" style="492" customWidth="1"/>
    <col min="3590" max="3590" width="9.85546875" style="492" customWidth="1"/>
    <col min="3591" max="3591" width="9.7109375" style="492" customWidth="1"/>
    <col min="3592" max="3592" width="9.5703125" style="492" customWidth="1"/>
    <col min="3593" max="3593" width="9.85546875" style="492" customWidth="1"/>
    <col min="3594" max="3594" width="6.5703125" style="492" customWidth="1"/>
    <col min="3595" max="3595" width="6" style="492" bestFit="1" customWidth="1"/>
    <col min="3596" max="3596" width="6.28515625" style="492" customWidth="1"/>
    <col min="3597" max="3597" width="11.7109375" style="492" customWidth="1"/>
    <col min="3598" max="3598" width="0" style="492" hidden="1" customWidth="1"/>
    <col min="3599" max="3599" width="14.5703125" style="492" customWidth="1"/>
    <col min="3600" max="3600" width="11.85546875" style="492" customWidth="1"/>
    <col min="3601" max="3835" width="9.140625" style="492"/>
    <col min="3836" max="3836" width="2.85546875" style="492" customWidth="1"/>
    <col min="3837" max="3837" width="50.7109375" style="492" customWidth="1"/>
    <col min="3838" max="3838" width="9.42578125" style="492" customWidth="1"/>
    <col min="3839" max="3839" width="11.85546875" style="492" customWidth="1"/>
    <col min="3840" max="3840" width="8.42578125" style="492" bestFit="1" customWidth="1"/>
    <col min="3841" max="3843" width="0" style="492" hidden="1" customWidth="1"/>
    <col min="3844" max="3844" width="6" style="492" bestFit="1" customWidth="1"/>
    <col min="3845" max="3845" width="9.5703125" style="492" customWidth="1"/>
    <col min="3846" max="3846" width="9.85546875" style="492" customWidth="1"/>
    <col min="3847" max="3847" width="9.7109375" style="492" customWidth="1"/>
    <col min="3848" max="3848" width="9.5703125" style="492" customWidth="1"/>
    <col min="3849" max="3849" width="9.85546875" style="492" customWidth="1"/>
    <col min="3850" max="3850" width="6.5703125" style="492" customWidth="1"/>
    <col min="3851" max="3851" width="6" style="492" bestFit="1" customWidth="1"/>
    <col min="3852" max="3852" width="6.28515625" style="492" customWidth="1"/>
    <col min="3853" max="3853" width="11.7109375" style="492" customWidth="1"/>
    <col min="3854" max="3854" width="0" style="492" hidden="1" customWidth="1"/>
    <col min="3855" max="3855" width="14.5703125" style="492" customWidth="1"/>
    <col min="3856" max="3856" width="11.85546875" style="492" customWidth="1"/>
    <col min="3857" max="4091" width="9.140625" style="492"/>
    <col min="4092" max="4092" width="2.85546875" style="492" customWidth="1"/>
    <col min="4093" max="4093" width="50.7109375" style="492" customWidth="1"/>
    <col min="4094" max="4094" width="9.42578125" style="492" customWidth="1"/>
    <col min="4095" max="4095" width="11.85546875" style="492" customWidth="1"/>
    <col min="4096" max="4096" width="8.42578125" style="492" bestFit="1" customWidth="1"/>
    <col min="4097" max="4099" width="0" style="492" hidden="1" customWidth="1"/>
    <col min="4100" max="4100" width="6" style="492" bestFit="1" customWidth="1"/>
    <col min="4101" max="4101" width="9.5703125" style="492" customWidth="1"/>
    <col min="4102" max="4102" width="9.85546875" style="492" customWidth="1"/>
    <col min="4103" max="4103" width="9.7109375" style="492" customWidth="1"/>
    <col min="4104" max="4104" width="9.5703125" style="492" customWidth="1"/>
    <col min="4105" max="4105" width="9.85546875" style="492" customWidth="1"/>
    <col min="4106" max="4106" width="6.5703125" style="492" customWidth="1"/>
    <col min="4107" max="4107" width="6" style="492" bestFit="1" customWidth="1"/>
    <col min="4108" max="4108" width="6.28515625" style="492" customWidth="1"/>
    <col min="4109" max="4109" width="11.7109375" style="492" customWidth="1"/>
    <col min="4110" max="4110" width="0" style="492" hidden="1" customWidth="1"/>
    <col min="4111" max="4111" width="14.5703125" style="492" customWidth="1"/>
    <col min="4112" max="4112" width="11.85546875" style="492" customWidth="1"/>
    <col min="4113" max="4347" width="9.140625" style="492"/>
    <col min="4348" max="4348" width="2.85546875" style="492" customWidth="1"/>
    <col min="4349" max="4349" width="50.7109375" style="492" customWidth="1"/>
    <col min="4350" max="4350" width="9.42578125" style="492" customWidth="1"/>
    <col min="4351" max="4351" width="11.85546875" style="492" customWidth="1"/>
    <col min="4352" max="4352" width="8.42578125" style="492" bestFit="1" customWidth="1"/>
    <col min="4353" max="4355" width="0" style="492" hidden="1" customWidth="1"/>
    <col min="4356" max="4356" width="6" style="492" bestFit="1" customWidth="1"/>
    <col min="4357" max="4357" width="9.5703125" style="492" customWidth="1"/>
    <col min="4358" max="4358" width="9.85546875" style="492" customWidth="1"/>
    <col min="4359" max="4359" width="9.7109375" style="492" customWidth="1"/>
    <col min="4360" max="4360" width="9.5703125" style="492" customWidth="1"/>
    <col min="4361" max="4361" width="9.85546875" style="492" customWidth="1"/>
    <col min="4362" max="4362" width="6.5703125" style="492" customWidth="1"/>
    <col min="4363" max="4363" width="6" style="492" bestFit="1" customWidth="1"/>
    <col min="4364" max="4364" width="6.28515625" style="492" customWidth="1"/>
    <col min="4365" max="4365" width="11.7109375" style="492" customWidth="1"/>
    <col min="4366" max="4366" width="0" style="492" hidden="1" customWidth="1"/>
    <col min="4367" max="4367" width="14.5703125" style="492" customWidth="1"/>
    <col min="4368" max="4368" width="11.85546875" style="492" customWidth="1"/>
    <col min="4369" max="4603" width="9.140625" style="492"/>
    <col min="4604" max="4604" width="2.85546875" style="492" customWidth="1"/>
    <col min="4605" max="4605" width="50.7109375" style="492" customWidth="1"/>
    <col min="4606" max="4606" width="9.42578125" style="492" customWidth="1"/>
    <col min="4607" max="4607" width="11.85546875" style="492" customWidth="1"/>
    <col min="4608" max="4608" width="8.42578125" style="492" bestFit="1" customWidth="1"/>
    <col min="4609" max="4611" width="0" style="492" hidden="1" customWidth="1"/>
    <col min="4612" max="4612" width="6" style="492" bestFit="1" customWidth="1"/>
    <col min="4613" max="4613" width="9.5703125" style="492" customWidth="1"/>
    <col min="4614" max="4614" width="9.85546875" style="492" customWidth="1"/>
    <col min="4615" max="4615" width="9.7109375" style="492" customWidth="1"/>
    <col min="4616" max="4616" width="9.5703125" style="492" customWidth="1"/>
    <col min="4617" max="4617" width="9.85546875" style="492" customWidth="1"/>
    <col min="4618" max="4618" width="6.5703125" style="492" customWidth="1"/>
    <col min="4619" max="4619" width="6" style="492" bestFit="1" customWidth="1"/>
    <col min="4620" max="4620" width="6.28515625" style="492" customWidth="1"/>
    <col min="4621" max="4621" width="11.7109375" style="492" customWidth="1"/>
    <col min="4622" max="4622" width="0" style="492" hidden="1" customWidth="1"/>
    <col min="4623" max="4623" width="14.5703125" style="492" customWidth="1"/>
    <col min="4624" max="4624" width="11.85546875" style="492" customWidth="1"/>
    <col min="4625" max="4859" width="9.140625" style="492"/>
    <col min="4860" max="4860" width="2.85546875" style="492" customWidth="1"/>
    <col min="4861" max="4861" width="50.7109375" style="492" customWidth="1"/>
    <col min="4862" max="4862" width="9.42578125" style="492" customWidth="1"/>
    <col min="4863" max="4863" width="11.85546875" style="492" customWidth="1"/>
    <col min="4864" max="4864" width="8.42578125" style="492" bestFit="1" customWidth="1"/>
    <col min="4865" max="4867" width="0" style="492" hidden="1" customWidth="1"/>
    <col min="4868" max="4868" width="6" style="492" bestFit="1" customWidth="1"/>
    <col min="4869" max="4869" width="9.5703125" style="492" customWidth="1"/>
    <col min="4870" max="4870" width="9.85546875" style="492" customWidth="1"/>
    <col min="4871" max="4871" width="9.7109375" style="492" customWidth="1"/>
    <col min="4872" max="4872" width="9.5703125" style="492" customWidth="1"/>
    <col min="4873" max="4873" width="9.85546875" style="492" customWidth="1"/>
    <col min="4874" max="4874" width="6.5703125" style="492" customWidth="1"/>
    <col min="4875" max="4875" width="6" style="492" bestFit="1" customWidth="1"/>
    <col min="4876" max="4876" width="6.28515625" style="492" customWidth="1"/>
    <col min="4877" max="4877" width="11.7109375" style="492" customWidth="1"/>
    <col min="4878" max="4878" width="0" style="492" hidden="1" customWidth="1"/>
    <col min="4879" max="4879" width="14.5703125" style="492" customWidth="1"/>
    <col min="4880" max="4880" width="11.85546875" style="492" customWidth="1"/>
    <col min="4881" max="5115" width="9.140625" style="492"/>
    <col min="5116" max="5116" width="2.85546875" style="492" customWidth="1"/>
    <col min="5117" max="5117" width="50.7109375" style="492" customWidth="1"/>
    <col min="5118" max="5118" width="9.42578125" style="492" customWidth="1"/>
    <col min="5119" max="5119" width="11.85546875" style="492" customWidth="1"/>
    <col min="5120" max="5120" width="8.42578125" style="492" bestFit="1" customWidth="1"/>
    <col min="5121" max="5123" width="0" style="492" hidden="1" customWidth="1"/>
    <col min="5124" max="5124" width="6" style="492" bestFit="1" customWidth="1"/>
    <col min="5125" max="5125" width="9.5703125" style="492" customWidth="1"/>
    <col min="5126" max="5126" width="9.85546875" style="492" customWidth="1"/>
    <col min="5127" max="5127" width="9.7109375" style="492" customWidth="1"/>
    <col min="5128" max="5128" width="9.5703125" style="492" customWidth="1"/>
    <col min="5129" max="5129" width="9.85546875" style="492" customWidth="1"/>
    <col min="5130" max="5130" width="6.5703125" style="492" customWidth="1"/>
    <col min="5131" max="5131" width="6" style="492" bestFit="1" customWidth="1"/>
    <col min="5132" max="5132" width="6.28515625" style="492" customWidth="1"/>
    <col min="5133" max="5133" width="11.7109375" style="492" customWidth="1"/>
    <col min="5134" max="5134" width="0" style="492" hidden="1" customWidth="1"/>
    <col min="5135" max="5135" width="14.5703125" style="492" customWidth="1"/>
    <col min="5136" max="5136" width="11.85546875" style="492" customWidth="1"/>
    <col min="5137" max="5371" width="9.140625" style="492"/>
    <col min="5372" max="5372" width="2.85546875" style="492" customWidth="1"/>
    <col min="5373" max="5373" width="50.7109375" style="492" customWidth="1"/>
    <col min="5374" max="5374" width="9.42578125" style="492" customWidth="1"/>
    <col min="5375" max="5375" width="11.85546875" style="492" customWidth="1"/>
    <col min="5376" max="5376" width="8.42578125" style="492" bestFit="1" customWidth="1"/>
    <col min="5377" max="5379" width="0" style="492" hidden="1" customWidth="1"/>
    <col min="5380" max="5380" width="6" style="492" bestFit="1" customWidth="1"/>
    <col min="5381" max="5381" width="9.5703125" style="492" customWidth="1"/>
    <col min="5382" max="5382" width="9.85546875" style="492" customWidth="1"/>
    <col min="5383" max="5383" width="9.7109375" style="492" customWidth="1"/>
    <col min="5384" max="5384" width="9.5703125" style="492" customWidth="1"/>
    <col min="5385" max="5385" width="9.85546875" style="492" customWidth="1"/>
    <col min="5386" max="5386" width="6.5703125" style="492" customWidth="1"/>
    <col min="5387" max="5387" width="6" style="492" bestFit="1" customWidth="1"/>
    <col min="5388" max="5388" width="6.28515625" style="492" customWidth="1"/>
    <col min="5389" max="5389" width="11.7109375" style="492" customWidth="1"/>
    <col min="5390" max="5390" width="0" style="492" hidden="1" customWidth="1"/>
    <col min="5391" max="5391" width="14.5703125" style="492" customWidth="1"/>
    <col min="5392" max="5392" width="11.85546875" style="492" customWidth="1"/>
    <col min="5393" max="5627" width="9.140625" style="492"/>
    <col min="5628" max="5628" width="2.85546875" style="492" customWidth="1"/>
    <col min="5629" max="5629" width="50.7109375" style="492" customWidth="1"/>
    <col min="5630" max="5630" width="9.42578125" style="492" customWidth="1"/>
    <col min="5631" max="5631" width="11.85546875" style="492" customWidth="1"/>
    <col min="5632" max="5632" width="8.42578125" style="492" bestFit="1" customWidth="1"/>
    <col min="5633" max="5635" width="0" style="492" hidden="1" customWidth="1"/>
    <col min="5636" max="5636" width="6" style="492" bestFit="1" customWidth="1"/>
    <col min="5637" max="5637" width="9.5703125" style="492" customWidth="1"/>
    <col min="5638" max="5638" width="9.85546875" style="492" customWidth="1"/>
    <col min="5639" max="5639" width="9.7109375" style="492" customWidth="1"/>
    <col min="5640" max="5640" width="9.5703125" style="492" customWidth="1"/>
    <col min="5641" max="5641" width="9.85546875" style="492" customWidth="1"/>
    <col min="5642" max="5642" width="6.5703125" style="492" customWidth="1"/>
    <col min="5643" max="5643" width="6" style="492" bestFit="1" customWidth="1"/>
    <col min="5644" max="5644" width="6.28515625" style="492" customWidth="1"/>
    <col min="5645" max="5645" width="11.7109375" style="492" customWidth="1"/>
    <col min="5646" max="5646" width="0" style="492" hidden="1" customWidth="1"/>
    <col min="5647" max="5647" width="14.5703125" style="492" customWidth="1"/>
    <col min="5648" max="5648" width="11.85546875" style="492" customWidth="1"/>
    <col min="5649" max="5883" width="9.140625" style="492"/>
    <col min="5884" max="5884" width="2.85546875" style="492" customWidth="1"/>
    <col min="5885" max="5885" width="50.7109375" style="492" customWidth="1"/>
    <col min="5886" max="5886" width="9.42578125" style="492" customWidth="1"/>
    <col min="5887" max="5887" width="11.85546875" style="492" customWidth="1"/>
    <col min="5888" max="5888" width="8.42578125" style="492" bestFit="1" customWidth="1"/>
    <col min="5889" max="5891" width="0" style="492" hidden="1" customWidth="1"/>
    <col min="5892" max="5892" width="6" style="492" bestFit="1" customWidth="1"/>
    <col min="5893" max="5893" width="9.5703125" style="492" customWidth="1"/>
    <col min="5894" max="5894" width="9.85546875" style="492" customWidth="1"/>
    <col min="5895" max="5895" width="9.7109375" style="492" customWidth="1"/>
    <col min="5896" max="5896" width="9.5703125" style="492" customWidth="1"/>
    <col min="5897" max="5897" width="9.85546875" style="492" customWidth="1"/>
    <col min="5898" max="5898" width="6.5703125" style="492" customWidth="1"/>
    <col min="5899" max="5899" width="6" style="492" bestFit="1" customWidth="1"/>
    <col min="5900" max="5900" width="6.28515625" style="492" customWidth="1"/>
    <col min="5901" max="5901" width="11.7109375" style="492" customWidth="1"/>
    <col min="5902" max="5902" width="0" style="492" hidden="1" customWidth="1"/>
    <col min="5903" max="5903" width="14.5703125" style="492" customWidth="1"/>
    <col min="5904" max="5904" width="11.85546875" style="492" customWidth="1"/>
    <col min="5905" max="6139" width="9.140625" style="492"/>
    <col min="6140" max="6140" width="2.85546875" style="492" customWidth="1"/>
    <col min="6141" max="6141" width="50.7109375" style="492" customWidth="1"/>
    <col min="6142" max="6142" width="9.42578125" style="492" customWidth="1"/>
    <col min="6143" max="6143" width="11.85546875" style="492" customWidth="1"/>
    <col min="6144" max="6144" width="8.42578125" style="492" bestFit="1" customWidth="1"/>
    <col min="6145" max="6147" width="0" style="492" hidden="1" customWidth="1"/>
    <col min="6148" max="6148" width="6" style="492" bestFit="1" customWidth="1"/>
    <col min="6149" max="6149" width="9.5703125" style="492" customWidth="1"/>
    <col min="6150" max="6150" width="9.85546875" style="492" customWidth="1"/>
    <col min="6151" max="6151" width="9.7109375" style="492" customWidth="1"/>
    <col min="6152" max="6152" width="9.5703125" style="492" customWidth="1"/>
    <col min="6153" max="6153" width="9.85546875" style="492" customWidth="1"/>
    <col min="6154" max="6154" width="6.5703125" style="492" customWidth="1"/>
    <col min="6155" max="6155" width="6" style="492" bestFit="1" customWidth="1"/>
    <col min="6156" max="6156" width="6.28515625" style="492" customWidth="1"/>
    <col min="6157" max="6157" width="11.7109375" style="492" customWidth="1"/>
    <col min="6158" max="6158" width="0" style="492" hidden="1" customWidth="1"/>
    <col min="6159" max="6159" width="14.5703125" style="492" customWidth="1"/>
    <col min="6160" max="6160" width="11.85546875" style="492" customWidth="1"/>
    <col min="6161" max="6395" width="9.140625" style="492"/>
    <col min="6396" max="6396" width="2.85546875" style="492" customWidth="1"/>
    <col min="6397" max="6397" width="50.7109375" style="492" customWidth="1"/>
    <col min="6398" max="6398" width="9.42578125" style="492" customWidth="1"/>
    <col min="6399" max="6399" width="11.85546875" style="492" customWidth="1"/>
    <col min="6400" max="6400" width="8.42578125" style="492" bestFit="1" customWidth="1"/>
    <col min="6401" max="6403" width="0" style="492" hidden="1" customWidth="1"/>
    <col min="6404" max="6404" width="6" style="492" bestFit="1" customWidth="1"/>
    <col min="6405" max="6405" width="9.5703125" style="492" customWidth="1"/>
    <col min="6406" max="6406" width="9.85546875" style="492" customWidth="1"/>
    <col min="6407" max="6407" width="9.7109375" style="492" customWidth="1"/>
    <col min="6408" max="6408" width="9.5703125" style="492" customWidth="1"/>
    <col min="6409" max="6409" width="9.85546875" style="492" customWidth="1"/>
    <col min="6410" max="6410" width="6.5703125" style="492" customWidth="1"/>
    <col min="6411" max="6411" width="6" style="492" bestFit="1" customWidth="1"/>
    <col min="6412" max="6412" width="6.28515625" style="492" customWidth="1"/>
    <col min="6413" max="6413" width="11.7109375" style="492" customWidth="1"/>
    <col min="6414" max="6414" width="0" style="492" hidden="1" customWidth="1"/>
    <col min="6415" max="6415" width="14.5703125" style="492" customWidth="1"/>
    <col min="6416" max="6416" width="11.85546875" style="492" customWidth="1"/>
    <col min="6417" max="6651" width="9.140625" style="492"/>
    <col min="6652" max="6652" width="2.85546875" style="492" customWidth="1"/>
    <col min="6653" max="6653" width="50.7109375" style="492" customWidth="1"/>
    <col min="6654" max="6654" width="9.42578125" style="492" customWidth="1"/>
    <col min="6655" max="6655" width="11.85546875" style="492" customWidth="1"/>
    <col min="6656" max="6656" width="8.42578125" style="492" bestFit="1" customWidth="1"/>
    <col min="6657" max="6659" width="0" style="492" hidden="1" customWidth="1"/>
    <col min="6660" max="6660" width="6" style="492" bestFit="1" customWidth="1"/>
    <col min="6661" max="6661" width="9.5703125" style="492" customWidth="1"/>
    <col min="6662" max="6662" width="9.85546875" style="492" customWidth="1"/>
    <col min="6663" max="6663" width="9.7109375" style="492" customWidth="1"/>
    <col min="6664" max="6664" width="9.5703125" style="492" customWidth="1"/>
    <col min="6665" max="6665" width="9.85546875" style="492" customWidth="1"/>
    <col min="6666" max="6666" width="6.5703125" style="492" customWidth="1"/>
    <col min="6667" max="6667" width="6" style="492" bestFit="1" customWidth="1"/>
    <col min="6668" max="6668" width="6.28515625" style="492" customWidth="1"/>
    <col min="6669" max="6669" width="11.7109375" style="492" customWidth="1"/>
    <col min="6670" max="6670" width="0" style="492" hidden="1" customWidth="1"/>
    <col min="6671" max="6671" width="14.5703125" style="492" customWidth="1"/>
    <col min="6672" max="6672" width="11.85546875" style="492" customWidth="1"/>
    <col min="6673" max="6907" width="9.140625" style="492"/>
    <col min="6908" max="6908" width="2.85546875" style="492" customWidth="1"/>
    <col min="6909" max="6909" width="50.7109375" style="492" customWidth="1"/>
    <col min="6910" max="6910" width="9.42578125" style="492" customWidth="1"/>
    <col min="6911" max="6911" width="11.85546875" style="492" customWidth="1"/>
    <col min="6912" max="6912" width="8.42578125" style="492" bestFit="1" customWidth="1"/>
    <col min="6913" max="6915" width="0" style="492" hidden="1" customWidth="1"/>
    <col min="6916" max="6916" width="6" style="492" bestFit="1" customWidth="1"/>
    <col min="6917" max="6917" width="9.5703125" style="492" customWidth="1"/>
    <col min="6918" max="6918" width="9.85546875" style="492" customWidth="1"/>
    <col min="6919" max="6919" width="9.7109375" style="492" customWidth="1"/>
    <col min="6920" max="6920" width="9.5703125" style="492" customWidth="1"/>
    <col min="6921" max="6921" width="9.85546875" style="492" customWidth="1"/>
    <col min="6922" max="6922" width="6.5703125" style="492" customWidth="1"/>
    <col min="6923" max="6923" width="6" style="492" bestFit="1" customWidth="1"/>
    <col min="6924" max="6924" width="6.28515625" style="492" customWidth="1"/>
    <col min="6925" max="6925" width="11.7109375" style="492" customWidth="1"/>
    <col min="6926" max="6926" width="0" style="492" hidden="1" customWidth="1"/>
    <col min="6927" max="6927" width="14.5703125" style="492" customWidth="1"/>
    <col min="6928" max="6928" width="11.85546875" style="492" customWidth="1"/>
    <col min="6929" max="7163" width="9.140625" style="492"/>
    <col min="7164" max="7164" width="2.85546875" style="492" customWidth="1"/>
    <col min="7165" max="7165" width="50.7109375" style="492" customWidth="1"/>
    <col min="7166" max="7166" width="9.42578125" style="492" customWidth="1"/>
    <col min="7167" max="7167" width="11.85546875" style="492" customWidth="1"/>
    <col min="7168" max="7168" width="8.42578125" style="492" bestFit="1" customWidth="1"/>
    <col min="7169" max="7171" width="0" style="492" hidden="1" customWidth="1"/>
    <col min="7172" max="7172" width="6" style="492" bestFit="1" customWidth="1"/>
    <col min="7173" max="7173" width="9.5703125" style="492" customWidth="1"/>
    <col min="7174" max="7174" width="9.85546875" style="492" customWidth="1"/>
    <col min="7175" max="7175" width="9.7109375" style="492" customWidth="1"/>
    <col min="7176" max="7176" width="9.5703125" style="492" customWidth="1"/>
    <col min="7177" max="7177" width="9.85546875" style="492" customWidth="1"/>
    <col min="7178" max="7178" width="6.5703125" style="492" customWidth="1"/>
    <col min="7179" max="7179" width="6" style="492" bestFit="1" customWidth="1"/>
    <col min="7180" max="7180" width="6.28515625" style="492" customWidth="1"/>
    <col min="7181" max="7181" width="11.7109375" style="492" customWidth="1"/>
    <col min="7182" max="7182" width="0" style="492" hidden="1" customWidth="1"/>
    <col min="7183" max="7183" width="14.5703125" style="492" customWidth="1"/>
    <col min="7184" max="7184" width="11.85546875" style="492" customWidth="1"/>
    <col min="7185" max="7419" width="9.140625" style="492"/>
    <col min="7420" max="7420" width="2.85546875" style="492" customWidth="1"/>
    <col min="7421" max="7421" width="50.7109375" style="492" customWidth="1"/>
    <col min="7422" max="7422" width="9.42578125" style="492" customWidth="1"/>
    <col min="7423" max="7423" width="11.85546875" style="492" customWidth="1"/>
    <col min="7424" max="7424" width="8.42578125" style="492" bestFit="1" customWidth="1"/>
    <col min="7425" max="7427" width="0" style="492" hidden="1" customWidth="1"/>
    <col min="7428" max="7428" width="6" style="492" bestFit="1" customWidth="1"/>
    <col min="7429" max="7429" width="9.5703125" style="492" customWidth="1"/>
    <col min="7430" max="7430" width="9.85546875" style="492" customWidth="1"/>
    <col min="7431" max="7431" width="9.7109375" style="492" customWidth="1"/>
    <col min="7432" max="7432" width="9.5703125" style="492" customWidth="1"/>
    <col min="7433" max="7433" width="9.85546875" style="492" customWidth="1"/>
    <col min="7434" max="7434" width="6.5703125" style="492" customWidth="1"/>
    <col min="7435" max="7435" width="6" style="492" bestFit="1" customWidth="1"/>
    <col min="7436" max="7436" width="6.28515625" style="492" customWidth="1"/>
    <col min="7437" max="7437" width="11.7109375" style="492" customWidth="1"/>
    <col min="7438" max="7438" width="0" style="492" hidden="1" customWidth="1"/>
    <col min="7439" max="7439" width="14.5703125" style="492" customWidth="1"/>
    <col min="7440" max="7440" width="11.85546875" style="492" customWidth="1"/>
    <col min="7441" max="7675" width="9.140625" style="492"/>
    <col min="7676" max="7676" width="2.85546875" style="492" customWidth="1"/>
    <col min="7677" max="7677" width="50.7109375" style="492" customWidth="1"/>
    <col min="7678" max="7678" width="9.42578125" style="492" customWidth="1"/>
    <col min="7679" max="7679" width="11.85546875" style="492" customWidth="1"/>
    <col min="7680" max="7680" width="8.42578125" style="492" bestFit="1" customWidth="1"/>
    <col min="7681" max="7683" width="0" style="492" hidden="1" customWidth="1"/>
    <col min="7684" max="7684" width="6" style="492" bestFit="1" customWidth="1"/>
    <col min="7685" max="7685" width="9.5703125" style="492" customWidth="1"/>
    <col min="7686" max="7686" width="9.85546875" style="492" customWidth="1"/>
    <col min="7687" max="7687" width="9.7109375" style="492" customWidth="1"/>
    <col min="7688" max="7688" width="9.5703125" style="492" customWidth="1"/>
    <col min="7689" max="7689" width="9.85546875" style="492" customWidth="1"/>
    <col min="7690" max="7690" width="6.5703125" style="492" customWidth="1"/>
    <col min="7691" max="7691" width="6" style="492" bestFit="1" customWidth="1"/>
    <col min="7692" max="7692" width="6.28515625" style="492" customWidth="1"/>
    <col min="7693" max="7693" width="11.7109375" style="492" customWidth="1"/>
    <col min="7694" max="7694" width="0" style="492" hidden="1" customWidth="1"/>
    <col min="7695" max="7695" width="14.5703125" style="492" customWidth="1"/>
    <col min="7696" max="7696" width="11.85546875" style="492" customWidth="1"/>
    <col min="7697" max="7931" width="9.140625" style="492"/>
    <col min="7932" max="7932" width="2.85546875" style="492" customWidth="1"/>
    <col min="7933" max="7933" width="50.7109375" style="492" customWidth="1"/>
    <col min="7934" max="7934" width="9.42578125" style="492" customWidth="1"/>
    <col min="7935" max="7935" width="11.85546875" style="492" customWidth="1"/>
    <col min="7936" max="7936" width="8.42578125" style="492" bestFit="1" customWidth="1"/>
    <col min="7937" max="7939" width="0" style="492" hidden="1" customWidth="1"/>
    <col min="7940" max="7940" width="6" style="492" bestFit="1" customWidth="1"/>
    <col min="7941" max="7941" width="9.5703125" style="492" customWidth="1"/>
    <col min="7942" max="7942" width="9.85546875" style="492" customWidth="1"/>
    <col min="7943" max="7943" width="9.7109375" style="492" customWidth="1"/>
    <col min="7944" max="7944" width="9.5703125" style="492" customWidth="1"/>
    <col min="7945" max="7945" width="9.85546875" style="492" customWidth="1"/>
    <col min="7946" max="7946" width="6.5703125" style="492" customWidth="1"/>
    <col min="7947" max="7947" width="6" style="492" bestFit="1" customWidth="1"/>
    <col min="7948" max="7948" width="6.28515625" style="492" customWidth="1"/>
    <col min="7949" max="7949" width="11.7109375" style="492" customWidth="1"/>
    <col min="7950" max="7950" width="0" style="492" hidden="1" customWidth="1"/>
    <col min="7951" max="7951" width="14.5703125" style="492" customWidth="1"/>
    <col min="7952" max="7952" width="11.85546875" style="492" customWidth="1"/>
    <col min="7953" max="8187" width="9.140625" style="492"/>
    <col min="8188" max="8188" width="2.85546875" style="492" customWidth="1"/>
    <col min="8189" max="8189" width="50.7109375" style="492" customWidth="1"/>
    <col min="8190" max="8190" width="9.42578125" style="492" customWidth="1"/>
    <col min="8191" max="8191" width="11.85546875" style="492" customWidth="1"/>
    <col min="8192" max="8192" width="8.42578125" style="492" bestFit="1" customWidth="1"/>
    <col min="8193" max="8195" width="0" style="492" hidden="1" customWidth="1"/>
    <col min="8196" max="8196" width="6" style="492" bestFit="1" customWidth="1"/>
    <col min="8197" max="8197" width="9.5703125" style="492" customWidth="1"/>
    <col min="8198" max="8198" width="9.85546875" style="492" customWidth="1"/>
    <col min="8199" max="8199" width="9.7109375" style="492" customWidth="1"/>
    <col min="8200" max="8200" width="9.5703125" style="492" customWidth="1"/>
    <col min="8201" max="8201" width="9.85546875" style="492" customWidth="1"/>
    <col min="8202" max="8202" width="6.5703125" style="492" customWidth="1"/>
    <col min="8203" max="8203" width="6" style="492" bestFit="1" customWidth="1"/>
    <col min="8204" max="8204" width="6.28515625" style="492" customWidth="1"/>
    <col min="8205" max="8205" width="11.7109375" style="492" customWidth="1"/>
    <col min="8206" max="8206" width="0" style="492" hidden="1" customWidth="1"/>
    <col min="8207" max="8207" width="14.5703125" style="492" customWidth="1"/>
    <col min="8208" max="8208" width="11.85546875" style="492" customWidth="1"/>
    <col min="8209" max="8443" width="9.140625" style="492"/>
    <col min="8444" max="8444" width="2.85546875" style="492" customWidth="1"/>
    <col min="8445" max="8445" width="50.7109375" style="492" customWidth="1"/>
    <col min="8446" max="8446" width="9.42578125" style="492" customWidth="1"/>
    <col min="8447" max="8447" width="11.85546875" style="492" customWidth="1"/>
    <col min="8448" max="8448" width="8.42578125" style="492" bestFit="1" customWidth="1"/>
    <col min="8449" max="8451" width="0" style="492" hidden="1" customWidth="1"/>
    <col min="8452" max="8452" width="6" style="492" bestFit="1" customWidth="1"/>
    <col min="8453" max="8453" width="9.5703125" style="492" customWidth="1"/>
    <col min="8454" max="8454" width="9.85546875" style="492" customWidth="1"/>
    <col min="8455" max="8455" width="9.7109375" style="492" customWidth="1"/>
    <col min="8456" max="8456" width="9.5703125" style="492" customWidth="1"/>
    <col min="8457" max="8457" width="9.85546875" style="492" customWidth="1"/>
    <col min="8458" max="8458" width="6.5703125" style="492" customWidth="1"/>
    <col min="8459" max="8459" width="6" style="492" bestFit="1" customWidth="1"/>
    <col min="8460" max="8460" width="6.28515625" style="492" customWidth="1"/>
    <col min="8461" max="8461" width="11.7109375" style="492" customWidth="1"/>
    <col min="8462" max="8462" width="0" style="492" hidden="1" customWidth="1"/>
    <col min="8463" max="8463" width="14.5703125" style="492" customWidth="1"/>
    <col min="8464" max="8464" width="11.85546875" style="492" customWidth="1"/>
    <col min="8465" max="8699" width="9.140625" style="492"/>
    <col min="8700" max="8700" width="2.85546875" style="492" customWidth="1"/>
    <col min="8701" max="8701" width="50.7109375" style="492" customWidth="1"/>
    <col min="8702" max="8702" width="9.42578125" style="492" customWidth="1"/>
    <col min="8703" max="8703" width="11.85546875" style="492" customWidth="1"/>
    <col min="8704" max="8704" width="8.42578125" style="492" bestFit="1" customWidth="1"/>
    <col min="8705" max="8707" width="0" style="492" hidden="1" customWidth="1"/>
    <col min="8708" max="8708" width="6" style="492" bestFit="1" customWidth="1"/>
    <col min="8709" max="8709" width="9.5703125" style="492" customWidth="1"/>
    <col min="8710" max="8710" width="9.85546875" style="492" customWidth="1"/>
    <col min="8711" max="8711" width="9.7109375" style="492" customWidth="1"/>
    <col min="8712" max="8712" width="9.5703125" style="492" customWidth="1"/>
    <col min="8713" max="8713" width="9.85546875" style="492" customWidth="1"/>
    <col min="8714" max="8714" width="6.5703125" style="492" customWidth="1"/>
    <col min="8715" max="8715" width="6" style="492" bestFit="1" customWidth="1"/>
    <col min="8716" max="8716" width="6.28515625" style="492" customWidth="1"/>
    <col min="8717" max="8717" width="11.7109375" style="492" customWidth="1"/>
    <col min="8718" max="8718" width="0" style="492" hidden="1" customWidth="1"/>
    <col min="8719" max="8719" width="14.5703125" style="492" customWidth="1"/>
    <col min="8720" max="8720" width="11.85546875" style="492" customWidth="1"/>
    <col min="8721" max="8955" width="9.140625" style="492"/>
    <col min="8956" max="8956" width="2.85546875" style="492" customWidth="1"/>
    <col min="8957" max="8957" width="50.7109375" style="492" customWidth="1"/>
    <col min="8958" max="8958" width="9.42578125" style="492" customWidth="1"/>
    <col min="8959" max="8959" width="11.85546875" style="492" customWidth="1"/>
    <col min="8960" max="8960" width="8.42578125" style="492" bestFit="1" customWidth="1"/>
    <col min="8961" max="8963" width="0" style="492" hidden="1" customWidth="1"/>
    <col min="8964" max="8964" width="6" style="492" bestFit="1" customWidth="1"/>
    <col min="8965" max="8965" width="9.5703125" style="492" customWidth="1"/>
    <col min="8966" max="8966" width="9.85546875" style="492" customWidth="1"/>
    <col min="8967" max="8967" width="9.7109375" style="492" customWidth="1"/>
    <col min="8968" max="8968" width="9.5703125" style="492" customWidth="1"/>
    <col min="8969" max="8969" width="9.85546875" style="492" customWidth="1"/>
    <col min="8970" max="8970" width="6.5703125" style="492" customWidth="1"/>
    <col min="8971" max="8971" width="6" style="492" bestFit="1" customWidth="1"/>
    <col min="8972" max="8972" width="6.28515625" style="492" customWidth="1"/>
    <col min="8973" max="8973" width="11.7109375" style="492" customWidth="1"/>
    <col min="8974" max="8974" width="0" style="492" hidden="1" customWidth="1"/>
    <col min="8975" max="8975" width="14.5703125" style="492" customWidth="1"/>
    <col min="8976" max="8976" width="11.85546875" style="492" customWidth="1"/>
    <col min="8977" max="9211" width="9.140625" style="492"/>
    <col min="9212" max="9212" width="2.85546875" style="492" customWidth="1"/>
    <col min="9213" max="9213" width="50.7109375" style="492" customWidth="1"/>
    <col min="9214" max="9214" width="9.42578125" style="492" customWidth="1"/>
    <col min="9215" max="9215" width="11.85546875" style="492" customWidth="1"/>
    <col min="9216" max="9216" width="8.42578125" style="492" bestFit="1" customWidth="1"/>
    <col min="9217" max="9219" width="0" style="492" hidden="1" customWidth="1"/>
    <col min="9220" max="9220" width="6" style="492" bestFit="1" customWidth="1"/>
    <col min="9221" max="9221" width="9.5703125" style="492" customWidth="1"/>
    <col min="9222" max="9222" width="9.85546875" style="492" customWidth="1"/>
    <col min="9223" max="9223" width="9.7109375" style="492" customWidth="1"/>
    <col min="9224" max="9224" width="9.5703125" style="492" customWidth="1"/>
    <col min="9225" max="9225" width="9.85546875" style="492" customWidth="1"/>
    <col min="9226" max="9226" width="6.5703125" style="492" customWidth="1"/>
    <col min="9227" max="9227" width="6" style="492" bestFit="1" customWidth="1"/>
    <col min="9228" max="9228" width="6.28515625" style="492" customWidth="1"/>
    <col min="9229" max="9229" width="11.7109375" style="492" customWidth="1"/>
    <col min="9230" max="9230" width="0" style="492" hidden="1" customWidth="1"/>
    <col min="9231" max="9231" width="14.5703125" style="492" customWidth="1"/>
    <col min="9232" max="9232" width="11.85546875" style="492" customWidth="1"/>
    <col min="9233" max="9467" width="9.140625" style="492"/>
    <col min="9468" max="9468" width="2.85546875" style="492" customWidth="1"/>
    <col min="9469" max="9469" width="50.7109375" style="492" customWidth="1"/>
    <col min="9470" max="9470" width="9.42578125" style="492" customWidth="1"/>
    <col min="9471" max="9471" width="11.85546875" style="492" customWidth="1"/>
    <col min="9472" max="9472" width="8.42578125" style="492" bestFit="1" customWidth="1"/>
    <col min="9473" max="9475" width="0" style="492" hidden="1" customWidth="1"/>
    <col min="9476" max="9476" width="6" style="492" bestFit="1" customWidth="1"/>
    <col min="9477" max="9477" width="9.5703125" style="492" customWidth="1"/>
    <col min="9478" max="9478" width="9.85546875" style="492" customWidth="1"/>
    <col min="9479" max="9479" width="9.7109375" style="492" customWidth="1"/>
    <col min="9480" max="9480" width="9.5703125" style="492" customWidth="1"/>
    <col min="9481" max="9481" width="9.85546875" style="492" customWidth="1"/>
    <col min="9482" max="9482" width="6.5703125" style="492" customWidth="1"/>
    <col min="9483" max="9483" width="6" style="492" bestFit="1" customWidth="1"/>
    <col min="9484" max="9484" width="6.28515625" style="492" customWidth="1"/>
    <col min="9485" max="9485" width="11.7109375" style="492" customWidth="1"/>
    <col min="9486" max="9486" width="0" style="492" hidden="1" customWidth="1"/>
    <col min="9487" max="9487" width="14.5703125" style="492" customWidth="1"/>
    <col min="9488" max="9488" width="11.85546875" style="492" customWidth="1"/>
    <col min="9489" max="9723" width="9.140625" style="492"/>
    <col min="9724" max="9724" width="2.85546875" style="492" customWidth="1"/>
    <col min="9725" max="9725" width="50.7109375" style="492" customWidth="1"/>
    <col min="9726" max="9726" width="9.42578125" style="492" customWidth="1"/>
    <col min="9727" max="9727" width="11.85546875" style="492" customWidth="1"/>
    <col min="9728" max="9728" width="8.42578125" style="492" bestFit="1" customWidth="1"/>
    <col min="9729" max="9731" width="0" style="492" hidden="1" customWidth="1"/>
    <col min="9732" max="9732" width="6" style="492" bestFit="1" customWidth="1"/>
    <col min="9733" max="9733" width="9.5703125" style="492" customWidth="1"/>
    <col min="9734" max="9734" width="9.85546875" style="492" customWidth="1"/>
    <col min="9735" max="9735" width="9.7109375" style="492" customWidth="1"/>
    <col min="9736" max="9736" width="9.5703125" style="492" customWidth="1"/>
    <col min="9737" max="9737" width="9.85546875" style="492" customWidth="1"/>
    <col min="9738" max="9738" width="6.5703125" style="492" customWidth="1"/>
    <col min="9739" max="9739" width="6" style="492" bestFit="1" customWidth="1"/>
    <col min="9740" max="9740" width="6.28515625" style="492" customWidth="1"/>
    <col min="9741" max="9741" width="11.7109375" style="492" customWidth="1"/>
    <col min="9742" max="9742" width="0" style="492" hidden="1" customWidth="1"/>
    <col min="9743" max="9743" width="14.5703125" style="492" customWidth="1"/>
    <col min="9744" max="9744" width="11.85546875" style="492" customWidth="1"/>
    <col min="9745" max="9979" width="9.140625" style="492"/>
    <col min="9980" max="9980" width="2.85546875" style="492" customWidth="1"/>
    <col min="9981" max="9981" width="50.7109375" style="492" customWidth="1"/>
    <col min="9982" max="9982" width="9.42578125" style="492" customWidth="1"/>
    <col min="9983" max="9983" width="11.85546875" style="492" customWidth="1"/>
    <col min="9984" max="9984" width="8.42578125" style="492" bestFit="1" customWidth="1"/>
    <col min="9985" max="9987" width="0" style="492" hidden="1" customWidth="1"/>
    <col min="9988" max="9988" width="6" style="492" bestFit="1" customWidth="1"/>
    <col min="9989" max="9989" width="9.5703125" style="492" customWidth="1"/>
    <col min="9990" max="9990" width="9.85546875" style="492" customWidth="1"/>
    <col min="9991" max="9991" width="9.7109375" style="492" customWidth="1"/>
    <col min="9992" max="9992" width="9.5703125" style="492" customWidth="1"/>
    <col min="9993" max="9993" width="9.85546875" style="492" customWidth="1"/>
    <col min="9994" max="9994" width="6.5703125" style="492" customWidth="1"/>
    <col min="9995" max="9995" width="6" style="492" bestFit="1" customWidth="1"/>
    <col min="9996" max="9996" width="6.28515625" style="492" customWidth="1"/>
    <col min="9997" max="9997" width="11.7109375" style="492" customWidth="1"/>
    <col min="9998" max="9998" width="0" style="492" hidden="1" customWidth="1"/>
    <col min="9999" max="9999" width="14.5703125" style="492" customWidth="1"/>
    <col min="10000" max="10000" width="11.85546875" style="492" customWidth="1"/>
    <col min="10001" max="10235" width="9.140625" style="492"/>
    <col min="10236" max="10236" width="2.85546875" style="492" customWidth="1"/>
    <col min="10237" max="10237" width="50.7109375" style="492" customWidth="1"/>
    <col min="10238" max="10238" width="9.42578125" style="492" customWidth="1"/>
    <col min="10239" max="10239" width="11.85546875" style="492" customWidth="1"/>
    <col min="10240" max="10240" width="8.42578125" style="492" bestFit="1" customWidth="1"/>
    <col min="10241" max="10243" width="0" style="492" hidden="1" customWidth="1"/>
    <col min="10244" max="10244" width="6" style="492" bestFit="1" customWidth="1"/>
    <col min="10245" max="10245" width="9.5703125" style="492" customWidth="1"/>
    <col min="10246" max="10246" width="9.85546875" style="492" customWidth="1"/>
    <col min="10247" max="10247" width="9.7109375" style="492" customWidth="1"/>
    <col min="10248" max="10248" width="9.5703125" style="492" customWidth="1"/>
    <col min="10249" max="10249" width="9.85546875" style="492" customWidth="1"/>
    <col min="10250" max="10250" width="6.5703125" style="492" customWidth="1"/>
    <col min="10251" max="10251" width="6" style="492" bestFit="1" customWidth="1"/>
    <col min="10252" max="10252" width="6.28515625" style="492" customWidth="1"/>
    <col min="10253" max="10253" width="11.7109375" style="492" customWidth="1"/>
    <col min="10254" max="10254" width="0" style="492" hidden="1" customWidth="1"/>
    <col min="10255" max="10255" width="14.5703125" style="492" customWidth="1"/>
    <col min="10256" max="10256" width="11.85546875" style="492" customWidth="1"/>
    <col min="10257" max="10491" width="9.140625" style="492"/>
    <col min="10492" max="10492" width="2.85546875" style="492" customWidth="1"/>
    <col min="10493" max="10493" width="50.7109375" style="492" customWidth="1"/>
    <col min="10494" max="10494" width="9.42578125" style="492" customWidth="1"/>
    <col min="10495" max="10495" width="11.85546875" style="492" customWidth="1"/>
    <col min="10496" max="10496" width="8.42578125" style="492" bestFit="1" customWidth="1"/>
    <col min="10497" max="10499" width="0" style="492" hidden="1" customWidth="1"/>
    <col min="10500" max="10500" width="6" style="492" bestFit="1" customWidth="1"/>
    <col min="10501" max="10501" width="9.5703125" style="492" customWidth="1"/>
    <col min="10502" max="10502" width="9.85546875" style="492" customWidth="1"/>
    <col min="10503" max="10503" width="9.7109375" style="492" customWidth="1"/>
    <col min="10504" max="10504" width="9.5703125" style="492" customWidth="1"/>
    <col min="10505" max="10505" width="9.85546875" style="492" customWidth="1"/>
    <col min="10506" max="10506" width="6.5703125" style="492" customWidth="1"/>
    <col min="10507" max="10507" width="6" style="492" bestFit="1" customWidth="1"/>
    <col min="10508" max="10508" width="6.28515625" style="492" customWidth="1"/>
    <col min="10509" max="10509" width="11.7109375" style="492" customWidth="1"/>
    <col min="10510" max="10510" width="0" style="492" hidden="1" customWidth="1"/>
    <col min="10511" max="10511" width="14.5703125" style="492" customWidth="1"/>
    <col min="10512" max="10512" width="11.85546875" style="492" customWidth="1"/>
    <col min="10513" max="10747" width="9.140625" style="492"/>
    <col min="10748" max="10748" width="2.85546875" style="492" customWidth="1"/>
    <col min="10749" max="10749" width="50.7109375" style="492" customWidth="1"/>
    <col min="10750" max="10750" width="9.42578125" style="492" customWidth="1"/>
    <col min="10751" max="10751" width="11.85546875" style="492" customWidth="1"/>
    <col min="10752" max="10752" width="8.42578125" style="492" bestFit="1" customWidth="1"/>
    <col min="10753" max="10755" width="0" style="492" hidden="1" customWidth="1"/>
    <col min="10756" max="10756" width="6" style="492" bestFit="1" customWidth="1"/>
    <col min="10757" max="10757" width="9.5703125" style="492" customWidth="1"/>
    <col min="10758" max="10758" width="9.85546875" style="492" customWidth="1"/>
    <col min="10759" max="10759" width="9.7109375" style="492" customWidth="1"/>
    <col min="10760" max="10760" width="9.5703125" style="492" customWidth="1"/>
    <col min="10761" max="10761" width="9.85546875" style="492" customWidth="1"/>
    <col min="10762" max="10762" width="6.5703125" style="492" customWidth="1"/>
    <col min="10763" max="10763" width="6" style="492" bestFit="1" customWidth="1"/>
    <col min="10764" max="10764" width="6.28515625" style="492" customWidth="1"/>
    <col min="10765" max="10765" width="11.7109375" style="492" customWidth="1"/>
    <col min="10766" max="10766" width="0" style="492" hidden="1" customWidth="1"/>
    <col min="10767" max="10767" width="14.5703125" style="492" customWidth="1"/>
    <col min="10768" max="10768" width="11.85546875" style="492" customWidth="1"/>
    <col min="10769" max="11003" width="9.140625" style="492"/>
    <col min="11004" max="11004" width="2.85546875" style="492" customWidth="1"/>
    <col min="11005" max="11005" width="50.7109375" style="492" customWidth="1"/>
    <col min="11006" max="11006" width="9.42578125" style="492" customWidth="1"/>
    <col min="11007" max="11007" width="11.85546875" style="492" customWidth="1"/>
    <col min="11008" max="11008" width="8.42578125" style="492" bestFit="1" customWidth="1"/>
    <col min="11009" max="11011" width="0" style="492" hidden="1" customWidth="1"/>
    <col min="11012" max="11012" width="6" style="492" bestFit="1" customWidth="1"/>
    <col min="11013" max="11013" width="9.5703125" style="492" customWidth="1"/>
    <col min="11014" max="11014" width="9.85546875" style="492" customWidth="1"/>
    <col min="11015" max="11015" width="9.7109375" style="492" customWidth="1"/>
    <col min="11016" max="11016" width="9.5703125" style="492" customWidth="1"/>
    <col min="11017" max="11017" width="9.85546875" style="492" customWidth="1"/>
    <col min="11018" max="11018" width="6.5703125" style="492" customWidth="1"/>
    <col min="11019" max="11019" width="6" style="492" bestFit="1" customWidth="1"/>
    <col min="11020" max="11020" width="6.28515625" style="492" customWidth="1"/>
    <col min="11021" max="11021" width="11.7109375" style="492" customWidth="1"/>
    <col min="11022" max="11022" width="0" style="492" hidden="1" customWidth="1"/>
    <col min="11023" max="11023" width="14.5703125" style="492" customWidth="1"/>
    <col min="11024" max="11024" width="11.85546875" style="492" customWidth="1"/>
    <col min="11025" max="11259" width="9.140625" style="492"/>
    <col min="11260" max="11260" width="2.85546875" style="492" customWidth="1"/>
    <col min="11261" max="11261" width="50.7109375" style="492" customWidth="1"/>
    <col min="11262" max="11262" width="9.42578125" style="492" customWidth="1"/>
    <col min="11263" max="11263" width="11.85546875" style="492" customWidth="1"/>
    <col min="11264" max="11264" width="8.42578125" style="492" bestFit="1" customWidth="1"/>
    <col min="11265" max="11267" width="0" style="492" hidden="1" customWidth="1"/>
    <col min="11268" max="11268" width="6" style="492" bestFit="1" customWidth="1"/>
    <col min="11269" max="11269" width="9.5703125" style="492" customWidth="1"/>
    <col min="11270" max="11270" width="9.85546875" style="492" customWidth="1"/>
    <col min="11271" max="11271" width="9.7109375" style="492" customWidth="1"/>
    <col min="11272" max="11272" width="9.5703125" style="492" customWidth="1"/>
    <col min="11273" max="11273" width="9.85546875" style="492" customWidth="1"/>
    <col min="11274" max="11274" width="6.5703125" style="492" customWidth="1"/>
    <col min="11275" max="11275" width="6" style="492" bestFit="1" customWidth="1"/>
    <col min="11276" max="11276" width="6.28515625" style="492" customWidth="1"/>
    <col min="11277" max="11277" width="11.7109375" style="492" customWidth="1"/>
    <col min="11278" max="11278" width="0" style="492" hidden="1" customWidth="1"/>
    <col min="11279" max="11279" width="14.5703125" style="492" customWidth="1"/>
    <col min="11280" max="11280" width="11.85546875" style="492" customWidth="1"/>
    <col min="11281" max="11515" width="9.140625" style="492"/>
    <col min="11516" max="11516" width="2.85546875" style="492" customWidth="1"/>
    <col min="11517" max="11517" width="50.7109375" style="492" customWidth="1"/>
    <col min="11518" max="11518" width="9.42578125" style="492" customWidth="1"/>
    <col min="11519" max="11519" width="11.85546875" style="492" customWidth="1"/>
    <col min="11520" max="11520" width="8.42578125" style="492" bestFit="1" customWidth="1"/>
    <col min="11521" max="11523" width="0" style="492" hidden="1" customWidth="1"/>
    <col min="11524" max="11524" width="6" style="492" bestFit="1" customWidth="1"/>
    <col min="11525" max="11525" width="9.5703125" style="492" customWidth="1"/>
    <col min="11526" max="11526" width="9.85546875" style="492" customWidth="1"/>
    <col min="11527" max="11527" width="9.7109375" style="492" customWidth="1"/>
    <col min="11528" max="11528" width="9.5703125" style="492" customWidth="1"/>
    <col min="11529" max="11529" width="9.85546875" style="492" customWidth="1"/>
    <col min="11530" max="11530" width="6.5703125" style="492" customWidth="1"/>
    <col min="11531" max="11531" width="6" style="492" bestFit="1" customWidth="1"/>
    <col min="11532" max="11532" width="6.28515625" style="492" customWidth="1"/>
    <col min="11533" max="11533" width="11.7109375" style="492" customWidth="1"/>
    <col min="11534" max="11534" width="0" style="492" hidden="1" customWidth="1"/>
    <col min="11535" max="11535" width="14.5703125" style="492" customWidth="1"/>
    <col min="11536" max="11536" width="11.85546875" style="492" customWidth="1"/>
    <col min="11537" max="11771" width="9.140625" style="492"/>
    <col min="11772" max="11772" width="2.85546875" style="492" customWidth="1"/>
    <col min="11773" max="11773" width="50.7109375" style="492" customWidth="1"/>
    <col min="11774" max="11774" width="9.42578125" style="492" customWidth="1"/>
    <col min="11775" max="11775" width="11.85546875" style="492" customWidth="1"/>
    <col min="11776" max="11776" width="8.42578125" style="492" bestFit="1" customWidth="1"/>
    <col min="11777" max="11779" width="0" style="492" hidden="1" customWidth="1"/>
    <col min="11780" max="11780" width="6" style="492" bestFit="1" customWidth="1"/>
    <col min="11781" max="11781" width="9.5703125" style="492" customWidth="1"/>
    <col min="11782" max="11782" width="9.85546875" style="492" customWidth="1"/>
    <col min="11783" max="11783" width="9.7109375" style="492" customWidth="1"/>
    <col min="11784" max="11784" width="9.5703125" style="492" customWidth="1"/>
    <col min="11785" max="11785" width="9.85546875" style="492" customWidth="1"/>
    <col min="11786" max="11786" width="6.5703125" style="492" customWidth="1"/>
    <col min="11787" max="11787" width="6" style="492" bestFit="1" customWidth="1"/>
    <col min="11788" max="11788" width="6.28515625" style="492" customWidth="1"/>
    <col min="11789" max="11789" width="11.7109375" style="492" customWidth="1"/>
    <col min="11790" max="11790" width="0" style="492" hidden="1" customWidth="1"/>
    <col min="11791" max="11791" width="14.5703125" style="492" customWidth="1"/>
    <col min="11792" max="11792" width="11.85546875" style="492" customWidth="1"/>
    <col min="11793" max="12027" width="9.140625" style="492"/>
    <col min="12028" max="12028" width="2.85546875" style="492" customWidth="1"/>
    <col min="12029" max="12029" width="50.7109375" style="492" customWidth="1"/>
    <col min="12030" max="12030" width="9.42578125" style="492" customWidth="1"/>
    <col min="12031" max="12031" width="11.85546875" style="492" customWidth="1"/>
    <col min="12032" max="12032" width="8.42578125" style="492" bestFit="1" customWidth="1"/>
    <col min="12033" max="12035" width="0" style="492" hidden="1" customWidth="1"/>
    <col min="12036" max="12036" width="6" style="492" bestFit="1" customWidth="1"/>
    <col min="12037" max="12037" width="9.5703125" style="492" customWidth="1"/>
    <col min="12038" max="12038" width="9.85546875" style="492" customWidth="1"/>
    <col min="12039" max="12039" width="9.7109375" style="492" customWidth="1"/>
    <col min="12040" max="12040" width="9.5703125" style="492" customWidth="1"/>
    <col min="12041" max="12041" width="9.85546875" style="492" customWidth="1"/>
    <col min="12042" max="12042" width="6.5703125" style="492" customWidth="1"/>
    <col min="12043" max="12043" width="6" style="492" bestFit="1" customWidth="1"/>
    <col min="12044" max="12044" width="6.28515625" style="492" customWidth="1"/>
    <col min="12045" max="12045" width="11.7109375" style="492" customWidth="1"/>
    <col min="12046" max="12046" width="0" style="492" hidden="1" customWidth="1"/>
    <col min="12047" max="12047" width="14.5703125" style="492" customWidth="1"/>
    <col min="12048" max="12048" width="11.85546875" style="492" customWidth="1"/>
    <col min="12049" max="12283" width="9.140625" style="492"/>
    <col min="12284" max="12284" width="2.85546875" style="492" customWidth="1"/>
    <col min="12285" max="12285" width="50.7109375" style="492" customWidth="1"/>
    <col min="12286" max="12286" width="9.42578125" style="492" customWidth="1"/>
    <col min="12287" max="12287" width="11.85546875" style="492" customWidth="1"/>
    <col min="12288" max="12288" width="8.42578125" style="492" bestFit="1" customWidth="1"/>
    <col min="12289" max="12291" width="0" style="492" hidden="1" customWidth="1"/>
    <col min="12292" max="12292" width="6" style="492" bestFit="1" customWidth="1"/>
    <col min="12293" max="12293" width="9.5703125" style="492" customWidth="1"/>
    <col min="12294" max="12294" width="9.85546875" style="492" customWidth="1"/>
    <col min="12295" max="12295" width="9.7109375" style="492" customWidth="1"/>
    <col min="12296" max="12296" width="9.5703125" style="492" customWidth="1"/>
    <col min="12297" max="12297" width="9.85546875" style="492" customWidth="1"/>
    <col min="12298" max="12298" width="6.5703125" style="492" customWidth="1"/>
    <col min="12299" max="12299" width="6" style="492" bestFit="1" customWidth="1"/>
    <col min="12300" max="12300" width="6.28515625" style="492" customWidth="1"/>
    <col min="12301" max="12301" width="11.7109375" style="492" customWidth="1"/>
    <col min="12302" max="12302" width="0" style="492" hidden="1" customWidth="1"/>
    <col min="12303" max="12303" width="14.5703125" style="492" customWidth="1"/>
    <col min="12304" max="12304" width="11.85546875" style="492" customWidth="1"/>
    <col min="12305" max="12539" width="9.140625" style="492"/>
    <col min="12540" max="12540" width="2.85546875" style="492" customWidth="1"/>
    <col min="12541" max="12541" width="50.7109375" style="492" customWidth="1"/>
    <col min="12542" max="12542" width="9.42578125" style="492" customWidth="1"/>
    <col min="12543" max="12543" width="11.85546875" style="492" customWidth="1"/>
    <col min="12544" max="12544" width="8.42578125" style="492" bestFit="1" customWidth="1"/>
    <col min="12545" max="12547" width="0" style="492" hidden="1" customWidth="1"/>
    <col min="12548" max="12548" width="6" style="492" bestFit="1" customWidth="1"/>
    <col min="12549" max="12549" width="9.5703125" style="492" customWidth="1"/>
    <col min="12550" max="12550" width="9.85546875" style="492" customWidth="1"/>
    <col min="12551" max="12551" width="9.7109375" style="492" customWidth="1"/>
    <col min="12552" max="12552" width="9.5703125" style="492" customWidth="1"/>
    <col min="12553" max="12553" width="9.85546875" style="492" customWidth="1"/>
    <col min="12554" max="12554" width="6.5703125" style="492" customWidth="1"/>
    <col min="12555" max="12555" width="6" style="492" bestFit="1" customWidth="1"/>
    <col min="12556" max="12556" width="6.28515625" style="492" customWidth="1"/>
    <col min="12557" max="12557" width="11.7109375" style="492" customWidth="1"/>
    <col min="12558" max="12558" width="0" style="492" hidden="1" customWidth="1"/>
    <col min="12559" max="12559" width="14.5703125" style="492" customWidth="1"/>
    <col min="12560" max="12560" width="11.85546875" style="492" customWidth="1"/>
    <col min="12561" max="12795" width="9.140625" style="492"/>
    <col min="12796" max="12796" width="2.85546875" style="492" customWidth="1"/>
    <col min="12797" max="12797" width="50.7109375" style="492" customWidth="1"/>
    <col min="12798" max="12798" width="9.42578125" style="492" customWidth="1"/>
    <col min="12799" max="12799" width="11.85546875" style="492" customWidth="1"/>
    <col min="12800" max="12800" width="8.42578125" style="492" bestFit="1" customWidth="1"/>
    <col min="12801" max="12803" width="0" style="492" hidden="1" customWidth="1"/>
    <col min="12804" max="12804" width="6" style="492" bestFit="1" customWidth="1"/>
    <col min="12805" max="12805" width="9.5703125" style="492" customWidth="1"/>
    <col min="12806" max="12806" width="9.85546875" style="492" customWidth="1"/>
    <col min="12807" max="12807" width="9.7109375" style="492" customWidth="1"/>
    <col min="12808" max="12808" width="9.5703125" style="492" customWidth="1"/>
    <col min="12809" max="12809" width="9.85546875" style="492" customWidth="1"/>
    <col min="12810" max="12810" width="6.5703125" style="492" customWidth="1"/>
    <col min="12811" max="12811" width="6" style="492" bestFit="1" customWidth="1"/>
    <col min="12812" max="12812" width="6.28515625" style="492" customWidth="1"/>
    <col min="12813" max="12813" width="11.7109375" style="492" customWidth="1"/>
    <col min="12814" max="12814" width="0" style="492" hidden="1" customWidth="1"/>
    <col min="12815" max="12815" width="14.5703125" style="492" customWidth="1"/>
    <col min="12816" max="12816" width="11.85546875" style="492" customWidth="1"/>
    <col min="12817" max="13051" width="9.140625" style="492"/>
    <col min="13052" max="13052" width="2.85546875" style="492" customWidth="1"/>
    <col min="13053" max="13053" width="50.7109375" style="492" customWidth="1"/>
    <col min="13054" max="13054" width="9.42578125" style="492" customWidth="1"/>
    <col min="13055" max="13055" width="11.85546875" style="492" customWidth="1"/>
    <col min="13056" max="13056" width="8.42578125" style="492" bestFit="1" customWidth="1"/>
    <col min="13057" max="13059" width="0" style="492" hidden="1" customWidth="1"/>
    <col min="13060" max="13060" width="6" style="492" bestFit="1" customWidth="1"/>
    <col min="13061" max="13061" width="9.5703125" style="492" customWidth="1"/>
    <col min="13062" max="13062" width="9.85546875" style="492" customWidth="1"/>
    <col min="13063" max="13063" width="9.7109375" style="492" customWidth="1"/>
    <col min="13064" max="13064" width="9.5703125" style="492" customWidth="1"/>
    <col min="13065" max="13065" width="9.85546875" style="492" customWidth="1"/>
    <col min="13066" max="13066" width="6.5703125" style="492" customWidth="1"/>
    <col min="13067" max="13067" width="6" style="492" bestFit="1" customWidth="1"/>
    <col min="13068" max="13068" width="6.28515625" style="492" customWidth="1"/>
    <col min="13069" max="13069" width="11.7109375" style="492" customWidth="1"/>
    <col min="13070" max="13070" width="0" style="492" hidden="1" customWidth="1"/>
    <col min="13071" max="13071" width="14.5703125" style="492" customWidth="1"/>
    <col min="13072" max="13072" width="11.85546875" style="492" customWidth="1"/>
    <col min="13073" max="13307" width="9.140625" style="492"/>
    <col min="13308" max="13308" width="2.85546875" style="492" customWidth="1"/>
    <col min="13309" max="13309" width="50.7109375" style="492" customWidth="1"/>
    <col min="13310" max="13310" width="9.42578125" style="492" customWidth="1"/>
    <col min="13311" max="13311" width="11.85546875" style="492" customWidth="1"/>
    <col min="13312" max="13312" width="8.42578125" style="492" bestFit="1" customWidth="1"/>
    <col min="13313" max="13315" width="0" style="492" hidden="1" customWidth="1"/>
    <col min="13316" max="13316" width="6" style="492" bestFit="1" customWidth="1"/>
    <col min="13317" max="13317" width="9.5703125" style="492" customWidth="1"/>
    <col min="13318" max="13318" width="9.85546875" style="492" customWidth="1"/>
    <col min="13319" max="13319" width="9.7109375" style="492" customWidth="1"/>
    <col min="13320" max="13320" width="9.5703125" style="492" customWidth="1"/>
    <col min="13321" max="13321" width="9.85546875" style="492" customWidth="1"/>
    <col min="13322" max="13322" width="6.5703125" style="492" customWidth="1"/>
    <col min="13323" max="13323" width="6" style="492" bestFit="1" customWidth="1"/>
    <col min="13324" max="13324" width="6.28515625" style="492" customWidth="1"/>
    <col min="13325" max="13325" width="11.7109375" style="492" customWidth="1"/>
    <col min="13326" max="13326" width="0" style="492" hidden="1" customWidth="1"/>
    <col min="13327" max="13327" width="14.5703125" style="492" customWidth="1"/>
    <col min="13328" max="13328" width="11.85546875" style="492" customWidth="1"/>
    <col min="13329" max="13563" width="9.140625" style="492"/>
    <col min="13564" max="13564" width="2.85546875" style="492" customWidth="1"/>
    <col min="13565" max="13565" width="50.7109375" style="492" customWidth="1"/>
    <col min="13566" max="13566" width="9.42578125" style="492" customWidth="1"/>
    <col min="13567" max="13567" width="11.85546875" style="492" customWidth="1"/>
    <col min="13568" max="13568" width="8.42578125" style="492" bestFit="1" customWidth="1"/>
    <col min="13569" max="13571" width="0" style="492" hidden="1" customWidth="1"/>
    <col min="13572" max="13572" width="6" style="492" bestFit="1" customWidth="1"/>
    <col min="13573" max="13573" width="9.5703125" style="492" customWidth="1"/>
    <col min="13574" max="13574" width="9.85546875" style="492" customWidth="1"/>
    <col min="13575" max="13575" width="9.7109375" style="492" customWidth="1"/>
    <col min="13576" max="13576" width="9.5703125" style="492" customWidth="1"/>
    <col min="13577" max="13577" width="9.85546875" style="492" customWidth="1"/>
    <col min="13578" max="13578" width="6.5703125" style="492" customWidth="1"/>
    <col min="13579" max="13579" width="6" style="492" bestFit="1" customWidth="1"/>
    <col min="13580" max="13580" width="6.28515625" style="492" customWidth="1"/>
    <col min="13581" max="13581" width="11.7109375" style="492" customWidth="1"/>
    <col min="13582" max="13582" width="0" style="492" hidden="1" customWidth="1"/>
    <col min="13583" max="13583" width="14.5703125" style="492" customWidth="1"/>
    <col min="13584" max="13584" width="11.85546875" style="492" customWidth="1"/>
    <col min="13585" max="13819" width="9.140625" style="492"/>
    <col min="13820" max="13820" width="2.85546875" style="492" customWidth="1"/>
    <col min="13821" max="13821" width="50.7109375" style="492" customWidth="1"/>
    <col min="13822" max="13822" width="9.42578125" style="492" customWidth="1"/>
    <col min="13823" max="13823" width="11.85546875" style="492" customWidth="1"/>
    <col min="13824" max="13824" width="8.42578125" style="492" bestFit="1" customWidth="1"/>
    <col min="13825" max="13827" width="0" style="492" hidden="1" customWidth="1"/>
    <col min="13828" max="13828" width="6" style="492" bestFit="1" customWidth="1"/>
    <col min="13829" max="13829" width="9.5703125" style="492" customWidth="1"/>
    <col min="13830" max="13830" width="9.85546875" style="492" customWidth="1"/>
    <col min="13831" max="13831" width="9.7109375" style="492" customWidth="1"/>
    <col min="13832" max="13832" width="9.5703125" style="492" customWidth="1"/>
    <col min="13833" max="13833" width="9.85546875" style="492" customWidth="1"/>
    <col min="13834" max="13834" width="6.5703125" style="492" customWidth="1"/>
    <col min="13835" max="13835" width="6" style="492" bestFit="1" customWidth="1"/>
    <col min="13836" max="13836" width="6.28515625" style="492" customWidth="1"/>
    <col min="13837" max="13837" width="11.7109375" style="492" customWidth="1"/>
    <col min="13838" max="13838" width="0" style="492" hidden="1" customWidth="1"/>
    <col min="13839" max="13839" width="14.5703125" style="492" customWidth="1"/>
    <col min="13840" max="13840" width="11.85546875" style="492" customWidth="1"/>
    <col min="13841" max="14075" width="9.140625" style="492"/>
    <col min="14076" max="14076" width="2.85546875" style="492" customWidth="1"/>
    <col min="14077" max="14077" width="50.7109375" style="492" customWidth="1"/>
    <col min="14078" max="14078" width="9.42578125" style="492" customWidth="1"/>
    <col min="14079" max="14079" width="11.85546875" style="492" customWidth="1"/>
    <col min="14080" max="14080" width="8.42578125" style="492" bestFit="1" customWidth="1"/>
    <col min="14081" max="14083" width="0" style="492" hidden="1" customWidth="1"/>
    <col min="14084" max="14084" width="6" style="492" bestFit="1" customWidth="1"/>
    <col min="14085" max="14085" width="9.5703125" style="492" customWidth="1"/>
    <col min="14086" max="14086" width="9.85546875" style="492" customWidth="1"/>
    <col min="14087" max="14087" width="9.7109375" style="492" customWidth="1"/>
    <col min="14088" max="14088" width="9.5703125" style="492" customWidth="1"/>
    <col min="14089" max="14089" width="9.85546875" style="492" customWidth="1"/>
    <col min="14090" max="14090" width="6.5703125" style="492" customWidth="1"/>
    <col min="14091" max="14091" width="6" style="492" bestFit="1" customWidth="1"/>
    <col min="14092" max="14092" width="6.28515625" style="492" customWidth="1"/>
    <col min="14093" max="14093" width="11.7109375" style="492" customWidth="1"/>
    <col min="14094" max="14094" width="0" style="492" hidden="1" customWidth="1"/>
    <col min="14095" max="14095" width="14.5703125" style="492" customWidth="1"/>
    <col min="14096" max="14096" width="11.85546875" style="492" customWidth="1"/>
    <col min="14097" max="14331" width="9.140625" style="492"/>
    <col min="14332" max="14332" width="2.85546875" style="492" customWidth="1"/>
    <col min="14333" max="14333" width="50.7109375" style="492" customWidth="1"/>
    <col min="14334" max="14334" width="9.42578125" style="492" customWidth="1"/>
    <col min="14335" max="14335" width="11.85546875" style="492" customWidth="1"/>
    <col min="14336" max="14336" width="8.42578125" style="492" bestFit="1" customWidth="1"/>
    <col min="14337" max="14339" width="0" style="492" hidden="1" customWidth="1"/>
    <col min="14340" max="14340" width="6" style="492" bestFit="1" customWidth="1"/>
    <col min="14341" max="14341" width="9.5703125" style="492" customWidth="1"/>
    <col min="14342" max="14342" width="9.85546875" style="492" customWidth="1"/>
    <col min="14343" max="14343" width="9.7109375" style="492" customWidth="1"/>
    <col min="14344" max="14344" width="9.5703125" style="492" customWidth="1"/>
    <col min="14345" max="14345" width="9.85546875" style="492" customWidth="1"/>
    <col min="14346" max="14346" width="6.5703125" style="492" customWidth="1"/>
    <col min="14347" max="14347" width="6" style="492" bestFit="1" customWidth="1"/>
    <col min="14348" max="14348" width="6.28515625" style="492" customWidth="1"/>
    <col min="14349" max="14349" width="11.7109375" style="492" customWidth="1"/>
    <col min="14350" max="14350" width="0" style="492" hidden="1" customWidth="1"/>
    <col min="14351" max="14351" width="14.5703125" style="492" customWidth="1"/>
    <col min="14352" max="14352" width="11.85546875" style="492" customWidth="1"/>
    <col min="14353" max="14587" width="9.140625" style="492"/>
    <col min="14588" max="14588" width="2.85546875" style="492" customWidth="1"/>
    <col min="14589" max="14589" width="50.7109375" style="492" customWidth="1"/>
    <col min="14590" max="14590" width="9.42578125" style="492" customWidth="1"/>
    <col min="14591" max="14591" width="11.85546875" style="492" customWidth="1"/>
    <col min="14592" max="14592" width="8.42578125" style="492" bestFit="1" customWidth="1"/>
    <col min="14593" max="14595" width="0" style="492" hidden="1" customWidth="1"/>
    <col min="14596" max="14596" width="6" style="492" bestFit="1" customWidth="1"/>
    <col min="14597" max="14597" width="9.5703125" style="492" customWidth="1"/>
    <col min="14598" max="14598" width="9.85546875" style="492" customWidth="1"/>
    <col min="14599" max="14599" width="9.7109375" style="492" customWidth="1"/>
    <col min="14600" max="14600" width="9.5703125" style="492" customWidth="1"/>
    <col min="14601" max="14601" width="9.85546875" style="492" customWidth="1"/>
    <col min="14602" max="14602" width="6.5703125" style="492" customWidth="1"/>
    <col min="14603" max="14603" width="6" style="492" bestFit="1" customWidth="1"/>
    <col min="14604" max="14604" width="6.28515625" style="492" customWidth="1"/>
    <col min="14605" max="14605" width="11.7109375" style="492" customWidth="1"/>
    <col min="14606" max="14606" width="0" style="492" hidden="1" customWidth="1"/>
    <col min="14607" max="14607" width="14.5703125" style="492" customWidth="1"/>
    <col min="14608" max="14608" width="11.85546875" style="492" customWidth="1"/>
    <col min="14609" max="14843" width="9.140625" style="492"/>
    <col min="14844" max="14844" width="2.85546875" style="492" customWidth="1"/>
    <col min="14845" max="14845" width="50.7109375" style="492" customWidth="1"/>
    <col min="14846" max="14846" width="9.42578125" style="492" customWidth="1"/>
    <col min="14847" max="14847" width="11.85546875" style="492" customWidth="1"/>
    <col min="14848" max="14848" width="8.42578125" style="492" bestFit="1" customWidth="1"/>
    <col min="14849" max="14851" width="0" style="492" hidden="1" customWidth="1"/>
    <col min="14852" max="14852" width="6" style="492" bestFit="1" customWidth="1"/>
    <col min="14853" max="14853" width="9.5703125" style="492" customWidth="1"/>
    <col min="14854" max="14854" width="9.85546875" style="492" customWidth="1"/>
    <col min="14855" max="14855" width="9.7109375" style="492" customWidth="1"/>
    <col min="14856" max="14856" width="9.5703125" style="492" customWidth="1"/>
    <col min="14857" max="14857" width="9.85546875" style="492" customWidth="1"/>
    <col min="14858" max="14858" width="6.5703125" style="492" customWidth="1"/>
    <col min="14859" max="14859" width="6" style="492" bestFit="1" customWidth="1"/>
    <col min="14860" max="14860" width="6.28515625" style="492" customWidth="1"/>
    <col min="14861" max="14861" width="11.7109375" style="492" customWidth="1"/>
    <col min="14862" max="14862" width="0" style="492" hidden="1" customWidth="1"/>
    <col min="14863" max="14863" width="14.5703125" style="492" customWidth="1"/>
    <col min="14864" max="14864" width="11.85546875" style="492" customWidth="1"/>
    <col min="14865" max="15099" width="9.140625" style="492"/>
    <col min="15100" max="15100" width="2.85546875" style="492" customWidth="1"/>
    <col min="15101" max="15101" width="50.7109375" style="492" customWidth="1"/>
    <col min="15102" max="15102" width="9.42578125" style="492" customWidth="1"/>
    <col min="15103" max="15103" width="11.85546875" style="492" customWidth="1"/>
    <col min="15104" max="15104" width="8.42578125" style="492" bestFit="1" customWidth="1"/>
    <col min="15105" max="15107" width="0" style="492" hidden="1" customWidth="1"/>
    <col min="15108" max="15108" width="6" style="492" bestFit="1" customWidth="1"/>
    <col min="15109" max="15109" width="9.5703125" style="492" customWidth="1"/>
    <col min="15110" max="15110" width="9.85546875" style="492" customWidth="1"/>
    <col min="15111" max="15111" width="9.7109375" style="492" customWidth="1"/>
    <col min="15112" max="15112" width="9.5703125" style="492" customWidth="1"/>
    <col min="15113" max="15113" width="9.85546875" style="492" customWidth="1"/>
    <col min="15114" max="15114" width="6.5703125" style="492" customWidth="1"/>
    <col min="15115" max="15115" width="6" style="492" bestFit="1" customWidth="1"/>
    <col min="15116" max="15116" width="6.28515625" style="492" customWidth="1"/>
    <col min="15117" max="15117" width="11.7109375" style="492" customWidth="1"/>
    <col min="15118" max="15118" width="0" style="492" hidden="1" customWidth="1"/>
    <col min="15119" max="15119" width="14.5703125" style="492" customWidth="1"/>
    <col min="15120" max="15120" width="11.85546875" style="492" customWidth="1"/>
    <col min="15121" max="15355" width="9.140625" style="492"/>
    <col min="15356" max="15356" width="2.85546875" style="492" customWidth="1"/>
    <col min="15357" max="15357" width="50.7109375" style="492" customWidth="1"/>
    <col min="15358" max="15358" width="9.42578125" style="492" customWidth="1"/>
    <col min="15359" max="15359" width="11.85546875" style="492" customWidth="1"/>
    <col min="15360" max="15360" width="8.42578125" style="492" bestFit="1" customWidth="1"/>
    <col min="15361" max="15363" width="0" style="492" hidden="1" customWidth="1"/>
    <col min="15364" max="15364" width="6" style="492" bestFit="1" customWidth="1"/>
    <col min="15365" max="15365" width="9.5703125" style="492" customWidth="1"/>
    <col min="15366" max="15366" width="9.85546875" style="492" customWidth="1"/>
    <col min="15367" max="15367" width="9.7109375" style="492" customWidth="1"/>
    <col min="15368" max="15368" width="9.5703125" style="492" customWidth="1"/>
    <col min="15369" max="15369" width="9.85546875" style="492" customWidth="1"/>
    <col min="15370" max="15370" width="6.5703125" style="492" customWidth="1"/>
    <col min="15371" max="15371" width="6" style="492" bestFit="1" customWidth="1"/>
    <col min="15372" max="15372" width="6.28515625" style="492" customWidth="1"/>
    <col min="15373" max="15373" width="11.7109375" style="492" customWidth="1"/>
    <col min="15374" max="15374" width="0" style="492" hidden="1" customWidth="1"/>
    <col min="15375" max="15375" width="14.5703125" style="492" customWidth="1"/>
    <col min="15376" max="15376" width="11.85546875" style="492" customWidth="1"/>
    <col min="15377" max="15611" width="9.140625" style="492"/>
    <col min="15612" max="15612" width="2.85546875" style="492" customWidth="1"/>
    <col min="15613" max="15613" width="50.7109375" style="492" customWidth="1"/>
    <col min="15614" max="15614" width="9.42578125" style="492" customWidth="1"/>
    <col min="15615" max="15615" width="11.85546875" style="492" customWidth="1"/>
    <col min="15616" max="15616" width="8.42578125" style="492" bestFit="1" customWidth="1"/>
    <col min="15617" max="15619" width="0" style="492" hidden="1" customWidth="1"/>
    <col min="15620" max="15620" width="6" style="492" bestFit="1" customWidth="1"/>
    <col min="15621" max="15621" width="9.5703125" style="492" customWidth="1"/>
    <col min="15622" max="15622" width="9.85546875" style="492" customWidth="1"/>
    <col min="15623" max="15623" width="9.7109375" style="492" customWidth="1"/>
    <col min="15624" max="15624" width="9.5703125" style="492" customWidth="1"/>
    <col min="15625" max="15625" width="9.85546875" style="492" customWidth="1"/>
    <col min="15626" max="15626" width="6.5703125" style="492" customWidth="1"/>
    <col min="15627" max="15627" width="6" style="492" bestFit="1" customWidth="1"/>
    <col min="15628" max="15628" width="6.28515625" style="492" customWidth="1"/>
    <col min="15629" max="15629" width="11.7109375" style="492" customWidth="1"/>
    <col min="15630" max="15630" width="0" style="492" hidden="1" customWidth="1"/>
    <col min="15631" max="15631" width="14.5703125" style="492" customWidth="1"/>
    <col min="15632" max="15632" width="11.85546875" style="492" customWidth="1"/>
    <col min="15633" max="15867" width="9.140625" style="492"/>
    <col min="15868" max="15868" width="2.85546875" style="492" customWidth="1"/>
    <col min="15869" max="15869" width="50.7109375" style="492" customWidth="1"/>
    <col min="15870" max="15870" width="9.42578125" style="492" customWidth="1"/>
    <col min="15871" max="15871" width="11.85546875" style="492" customWidth="1"/>
    <col min="15872" max="15872" width="8.42578125" style="492" bestFit="1" customWidth="1"/>
    <col min="15873" max="15875" width="0" style="492" hidden="1" customWidth="1"/>
    <col min="15876" max="15876" width="6" style="492" bestFit="1" customWidth="1"/>
    <col min="15877" max="15877" width="9.5703125" style="492" customWidth="1"/>
    <col min="15878" max="15878" width="9.85546875" style="492" customWidth="1"/>
    <col min="15879" max="15879" width="9.7109375" style="492" customWidth="1"/>
    <col min="15880" max="15880" width="9.5703125" style="492" customWidth="1"/>
    <col min="15881" max="15881" width="9.85546875" style="492" customWidth="1"/>
    <col min="15882" max="15882" width="6.5703125" style="492" customWidth="1"/>
    <col min="15883" max="15883" width="6" style="492" bestFit="1" customWidth="1"/>
    <col min="15884" max="15884" width="6.28515625" style="492" customWidth="1"/>
    <col min="15885" max="15885" width="11.7109375" style="492" customWidth="1"/>
    <col min="15886" max="15886" width="0" style="492" hidden="1" customWidth="1"/>
    <col min="15887" max="15887" width="14.5703125" style="492" customWidth="1"/>
    <col min="15888" max="15888" width="11.85546875" style="492" customWidth="1"/>
    <col min="15889" max="16123" width="9.140625" style="492"/>
    <col min="16124" max="16124" width="2.85546875" style="492" customWidth="1"/>
    <col min="16125" max="16125" width="50.7109375" style="492" customWidth="1"/>
    <col min="16126" max="16126" width="9.42578125" style="492" customWidth="1"/>
    <col min="16127" max="16127" width="11.85546875" style="492" customWidth="1"/>
    <col min="16128" max="16128" width="8.42578125" style="492" bestFit="1" customWidth="1"/>
    <col min="16129" max="16131" width="0" style="492" hidden="1" customWidth="1"/>
    <col min="16132" max="16132" width="6" style="492" bestFit="1" customWidth="1"/>
    <col min="16133" max="16133" width="9.5703125" style="492" customWidth="1"/>
    <col min="16134" max="16134" width="9.85546875" style="492" customWidth="1"/>
    <col min="16135" max="16135" width="9.7109375" style="492" customWidth="1"/>
    <col min="16136" max="16136" width="9.5703125" style="492" customWidth="1"/>
    <col min="16137" max="16137" width="9.85546875" style="492" customWidth="1"/>
    <col min="16138" max="16138" width="6.5703125" style="492" customWidth="1"/>
    <col min="16139" max="16139" width="6" style="492" bestFit="1" customWidth="1"/>
    <col min="16140" max="16140" width="6.28515625" style="492" customWidth="1"/>
    <col min="16141" max="16141" width="11.7109375" style="492" customWidth="1"/>
    <col min="16142" max="16142" width="0" style="492" hidden="1" customWidth="1"/>
    <col min="16143" max="16143" width="14.5703125" style="492" customWidth="1"/>
    <col min="16144" max="16144" width="11.85546875" style="492" customWidth="1"/>
    <col min="16145" max="16384" width="9.140625" style="492"/>
  </cols>
  <sheetData>
    <row r="1" spans="1:16" ht="15" customHeight="1">
      <c r="H1" s="632" t="s">
        <v>527</v>
      </c>
      <c r="M1" s="478"/>
      <c r="N1" s="478"/>
      <c r="O1" s="479"/>
    </row>
    <row r="2" spans="1:16" ht="2.25" customHeight="1">
      <c r="M2" s="478"/>
      <c r="N2" s="478"/>
      <c r="O2" s="479"/>
    </row>
    <row r="3" spans="1:16" ht="6.75" customHeight="1">
      <c r="M3" s="478"/>
      <c r="N3" s="478"/>
      <c r="O3" s="479"/>
    </row>
    <row r="4" spans="1:16" ht="36" customHeight="1" thickBot="1">
      <c r="A4" s="4064" t="s">
        <v>199</v>
      </c>
      <c r="B4" s="4064"/>
      <c r="C4" s="4064"/>
      <c r="D4" s="4064"/>
      <c r="E4" s="4064"/>
      <c r="F4" s="4064"/>
      <c r="G4" s="4064"/>
      <c r="H4" s="4064"/>
      <c r="I4" s="4064"/>
      <c r="J4" s="4064"/>
      <c r="K4" s="4064"/>
      <c r="L4" s="4064"/>
      <c r="M4" s="4064"/>
      <c r="N4" s="4064"/>
      <c r="O4" s="4064"/>
    </row>
    <row r="5" spans="1:16" ht="62.25" customHeight="1">
      <c r="A5" s="633"/>
      <c r="B5" s="4065" t="s">
        <v>67</v>
      </c>
      <c r="C5" s="3468" t="s">
        <v>63</v>
      </c>
      <c r="D5" s="3793" t="s">
        <v>109</v>
      </c>
      <c r="E5" s="1213" t="s">
        <v>256</v>
      </c>
      <c r="F5" s="3293" t="s">
        <v>573</v>
      </c>
      <c r="G5" s="3485" t="s">
        <v>513</v>
      </c>
      <c r="H5" s="3486"/>
      <c r="I5" s="3486"/>
      <c r="J5" s="3486"/>
      <c r="K5" s="3486"/>
      <c r="L5" s="3487"/>
      <c r="M5" s="3879" t="s">
        <v>530</v>
      </c>
      <c r="N5" s="3879" t="s">
        <v>518</v>
      </c>
      <c r="O5" s="3795" t="s">
        <v>65</v>
      </c>
    </row>
    <row r="6" spans="1:16" ht="18.75" customHeight="1" thickBot="1">
      <c r="A6" s="634"/>
      <c r="B6" s="4066"/>
      <c r="C6" s="4067"/>
      <c r="D6" s="4023"/>
      <c r="E6" s="770" t="s">
        <v>497</v>
      </c>
      <c r="F6" s="3295"/>
      <c r="G6" s="2931" t="s">
        <v>6</v>
      </c>
      <c r="H6" s="292" t="s">
        <v>202</v>
      </c>
      <c r="I6" s="292" t="s">
        <v>203</v>
      </c>
      <c r="J6" s="292" t="s">
        <v>248</v>
      </c>
      <c r="K6" s="292" t="s">
        <v>249</v>
      </c>
      <c r="L6" s="292" t="s">
        <v>250</v>
      </c>
      <c r="M6" s="4068"/>
      <c r="N6" s="4068"/>
      <c r="O6" s="3796"/>
    </row>
    <row r="7" spans="1:16" ht="15" customHeight="1" thickBot="1">
      <c r="A7" s="844">
        <v>1</v>
      </c>
      <c r="B7" s="845">
        <v>2</v>
      </c>
      <c r="C7" s="846" t="s">
        <v>110</v>
      </c>
      <c r="D7" s="846" t="s">
        <v>111</v>
      </c>
      <c r="E7" s="846">
        <v>5</v>
      </c>
      <c r="F7" s="846">
        <v>6</v>
      </c>
      <c r="G7" s="846">
        <v>7</v>
      </c>
      <c r="H7" s="846">
        <v>8</v>
      </c>
      <c r="I7" s="846">
        <v>9</v>
      </c>
      <c r="J7" s="846">
        <v>10</v>
      </c>
      <c r="K7" s="846">
        <v>11</v>
      </c>
      <c r="L7" s="846">
        <v>12</v>
      </c>
      <c r="M7" s="847">
        <v>13</v>
      </c>
      <c r="N7" s="847">
        <v>13</v>
      </c>
      <c r="O7" s="848">
        <v>14</v>
      </c>
    </row>
    <row r="8" spans="1:16" s="636" customFormat="1" ht="15.75" customHeight="1">
      <c r="A8" s="487"/>
      <c r="B8" s="225" t="s">
        <v>68</v>
      </c>
      <c r="C8" s="203"/>
      <c r="D8" s="771">
        <f>+D9+D10</f>
        <v>54820691</v>
      </c>
      <c r="E8" s="204">
        <f t="shared" ref="E8" si="0">+E9+E10</f>
        <v>437818</v>
      </c>
      <c r="F8" s="204">
        <f t="shared" ref="F8" si="1">+F9+F10</f>
        <v>715352</v>
      </c>
      <c r="G8" s="204">
        <f t="shared" ref="G8:N8" si="2">+G9+G10</f>
        <v>815800</v>
      </c>
      <c r="H8" s="204">
        <f t="shared" si="2"/>
        <v>15810155</v>
      </c>
      <c r="I8" s="204">
        <f t="shared" si="2"/>
        <v>30446183</v>
      </c>
      <c r="J8" s="204">
        <f t="shared" si="2"/>
        <v>6595383</v>
      </c>
      <c r="K8" s="204">
        <f t="shared" si="2"/>
        <v>0</v>
      </c>
      <c r="L8" s="204">
        <f t="shared" si="2"/>
        <v>0</v>
      </c>
      <c r="M8" s="145">
        <f t="shared" ref="M8" si="3">+M9+M10</f>
        <v>54820691</v>
      </c>
      <c r="N8" s="145">
        <f t="shared" si="2"/>
        <v>53667521</v>
      </c>
      <c r="O8" s="606"/>
      <c r="P8" s="635"/>
    </row>
    <row r="9" spans="1:16" s="636" customFormat="1" ht="13.5" customHeight="1">
      <c r="A9" s="487"/>
      <c r="B9" s="218" t="s">
        <v>69</v>
      </c>
      <c r="C9" s="206"/>
      <c r="D9" s="765">
        <f t="shared" ref="D9:I9" si="4">+D27+D36+D45</f>
        <v>2250056</v>
      </c>
      <c r="E9" s="207">
        <f t="shared" si="4"/>
        <v>437818</v>
      </c>
      <c r="F9" s="207">
        <f t="shared" si="4"/>
        <v>711017</v>
      </c>
      <c r="G9" s="207">
        <f t="shared" si="4"/>
        <v>815800</v>
      </c>
      <c r="H9" s="207">
        <f t="shared" si="4"/>
        <v>152857</v>
      </c>
      <c r="I9" s="207">
        <f t="shared" si="4"/>
        <v>132564</v>
      </c>
      <c r="J9" s="207">
        <f>+J27+J36+J46</f>
        <v>0</v>
      </c>
      <c r="K9" s="207">
        <f>+K27+K36+K46</f>
        <v>0</v>
      </c>
      <c r="L9" s="207">
        <f>+L27+L36+L46</f>
        <v>0</v>
      </c>
      <c r="M9" s="480">
        <f>SUM(E9:K9)</f>
        <v>2250056</v>
      </c>
      <c r="N9" s="480">
        <f>SUM(G9:L9)</f>
        <v>1101221</v>
      </c>
      <c r="O9" s="606"/>
    </row>
    <row r="10" spans="1:16" s="636" customFormat="1" ht="13.5" customHeight="1" thickBot="1">
      <c r="A10" s="487"/>
      <c r="B10" s="637" t="s">
        <v>9</v>
      </c>
      <c r="C10" s="638"/>
      <c r="D10" s="772">
        <f t="shared" ref="D10:L10" si="5">D74+D63</f>
        <v>52570635</v>
      </c>
      <c r="E10" s="639">
        <f t="shared" si="5"/>
        <v>0</v>
      </c>
      <c r="F10" s="639">
        <f t="shared" si="5"/>
        <v>4335</v>
      </c>
      <c r="G10" s="639">
        <f t="shared" si="5"/>
        <v>0</v>
      </c>
      <c r="H10" s="639">
        <f t="shared" si="5"/>
        <v>15657298</v>
      </c>
      <c r="I10" s="639">
        <f t="shared" si="5"/>
        <v>30313619</v>
      </c>
      <c r="J10" s="639">
        <f t="shared" si="5"/>
        <v>6595383</v>
      </c>
      <c r="K10" s="639">
        <f t="shared" si="5"/>
        <v>0</v>
      </c>
      <c r="L10" s="639">
        <f t="shared" si="5"/>
        <v>0</v>
      </c>
      <c r="M10" s="147">
        <f>SUM(E10:K10)</f>
        <v>52570635</v>
      </c>
      <c r="N10" s="147">
        <f>SUM(G10:L10)</f>
        <v>52566300</v>
      </c>
      <c r="O10" s="606"/>
    </row>
    <row r="11" spans="1:16" ht="12">
      <c r="A11" s="487"/>
      <c r="B11" s="91" t="s">
        <v>10</v>
      </c>
      <c r="C11" s="88"/>
      <c r="D11" s="114">
        <f>D12+D16</f>
        <v>54820691</v>
      </c>
      <c r="E11" s="114">
        <f t="shared" ref="E11" si="6">E12+E16</f>
        <v>437818</v>
      </c>
      <c r="F11" s="114">
        <f t="shared" ref="F11:L11" si="7">F12+F16</f>
        <v>715352</v>
      </c>
      <c r="G11" s="114">
        <f t="shared" si="7"/>
        <v>815800</v>
      </c>
      <c r="H11" s="114">
        <f t="shared" si="7"/>
        <v>15810155</v>
      </c>
      <c r="I11" s="114">
        <f t="shared" si="7"/>
        <v>30446183</v>
      </c>
      <c r="J11" s="114">
        <f t="shared" si="7"/>
        <v>6595383</v>
      </c>
      <c r="K11" s="114">
        <f t="shared" si="7"/>
        <v>0</v>
      </c>
      <c r="L11" s="114">
        <f t="shared" si="7"/>
        <v>0</v>
      </c>
      <c r="M11" s="418">
        <f>+M12+M16</f>
        <v>49564061</v>
      </c>
      <c r="N11" s="418">
        <f>+N12+N16</f>
        <v>53667521</v>
      </c>
      <c r="O11" s="608"/>
    </row>
    <row r="12" spans="1:16" ht="13.5" customHeight="1">
      <c r="A12" s="487"/>
      <c r="B12" s="640" t="s">
        <v>23</v>
      </c>
      <c r="C12" s="641"/>
      <c r="D12" s="642">
        <f>+D13+D14+D15</f>
        <v>8262967</v>
      </c>
      <c r="E12" s="642">
        <f t="shared" ref="E12:L12" si="8">+E13+E14+E15</f>
        <v>73814</v>
      </c>
      <c r="F12" s="642">
        <f t="shared" si="8"/>
        <v>113308</v>
      </c>
      <c r="G12" s="642">
        <f t="shared" si="8"/>
        <v>132888</v>
      </c>
      <c r="H12" s="642">
        <f t="shared" si="8"/>
        <v>2379058</v>
      </c>
      <c r="I12" s="642">
        <f t="shared" si="8"/>
        <v>4574592</v>
      </c>
      <c r="J12" s="642">
        <f t="shared" si="8"/>
        <v>989307</v>
      </c>
      <c r="K12" s="642">
        <f t="shared" si="8"/>
        <v>0</v>
      </c>
      <c r="L12" s="642">
        <f t="shared" si="8"/>
        <v>0</v>
      </c>
      <c r="M12" s="643">
        <f>+M13+M14</f>
        <v>3006337</v>
      </c>
      <c r="N12" s="643">
        <f>+N13+N14+N15</f>
        <v>8075845</v>
      </c>
      <c r="O12" s="609"/>
    </row>
    <row r="13" spans="1:16" ht="12">
      <c r="A13" s="487"/>
      <c r="B13" s="644" t="s">
        <v>12</v>
      </c>
      <c r="C13" s="645"/>
      <c r="D13" s="489">
        <f>D29+D38+D51+D76+D88</f>
        <v>2906940</v>
      </c>
      <c r="E13" s="489">
        <f t="shared" ref="E13:L13" si="9">E29+E38+E51+E76+E88</f>
        <v>51859</v>
      </c>
      <c r="F13" s="489">
        <f t="shared" si="9"/>
        <v>98575</v>
      </c>
      <c r="G13" s="489">
        <f t="shared" si="9"/>
        <v>107651</v>
      </c>
      <c r="H13" s="489">
        <f t="shared" si="9"/>
        <v>794591</v>
      </c>
      <c r="I13" s="489">
        <f t="shared" si="9"/>
        <v>1524495</v>
      </c>
      <c r="J13" s="489">
        <f t="shared" si="9"/>
        <v>329769</v>
      </c>
      <c r="K13" s="489">
        <f t="shared" si="9"/>
        <v>0</v>
      </c>
      <c r="L13" s="489">
        <f t="shared" si="9"/>
        <v>0</v>
      </c>
      <c r="M13" s="475">
        <f>SUM(E13:K13)</f>
        <v>2906940</v>
      </c>
      <c r="N13" s="475">
        <f>SUM(G13:L13)</f>
        <v>2756506</v>
      </c>
      <c r="O13" s="609"/>
    </row>
    <row r="14" spans="1:16" ht="12">
      <c r="A14" s="487"/>
      <c r="B14" s="644" t="s">
        <v>13</v>
      </c>
      <c r="C14" s="645"/>
      <c r="D14" s="646">
        <f>+D47+D65</f>
        <v>99397</v>
      </c>
      <c r="E14" s="646">
        <f>+E47+E65</f>
        <v>21955</v>
      </c>
      <c r="F14" s="646">
        <f>+F47+F65</f>
        <v>14733</v>
      </c>
      <c r="G14" s="646">
        <f t="shared" ref="G14:I14" si="10">+G47+G65</f>
        <v>25237</v>
      </c>
      <c r="H14" s="646">
        <f t="shared" si="10"/>
        <v>18737</v>
      </c>
      <c r="I14" s="646">
        <f t="shared" si="10"/>
        <v>18735</v>
      </c>
      <c r="J14" s="646">
        <f t="shared" ref="J14:L14" si="11">+J47</f>
        <v>0</v>
      </c>
      <c r="K14" s="646">
        <f t="shared" si="11"/>
        <v>0</v>
      </c>
      <c r="L14" s="646">
        <f t="shared" si="11"/>
        <v>0</v>
      </c>
      <c r="M14" s="475">
        <f>SUM(E14:K14)</f>
        <v>99397</v>
      </c>
      <c r="N14" s="475">
        <f>SUM(G14:L14)</f>
        <v>62709</v>
      </c>
      <c r="O14" s="609"/>
    </row>
    <row r="15" spans="1:16" ht="12">
      <c r="A15" s="487"/>
      <c r="B15" s="644" t="s">
        <v>17</v>
      </c>
      <c r="C15" s="2843"/>
      <c r="D15" s="2844">
        <f>D77+D89</f>
        <v>5256630</v>
      </c>
      <c r="E15" s="2844">
        <f t="shared" ref="E15:L15" si="12">E77+E89</f>
        <v>0</v>
      </c>
      <c r="F15" s="2844">
        <f t="shared" si="12"/>
        <v>0</v>
      </c>
      <c r="G15" s="2844">
        <f t="shared" si="12"/>
        <v>0</v>
      </c>
      <c r="H15" s="2844">
        <f t="shared" si="12"/>
        <v>1565730</v>
      </c>
      <c r="I15" s="2844">
        <f t="shared" si="12"/>
        <v>3031362</v>
      </c>
      <c r="J15" s="2844">
        <f t="shared" si="12"/>
        <v>659538</v>
      </c>
      <c r="K15" s="2844">
        <f t="shared" si="12"/>
        <v>0</v>
      </c>
      <c r="L15" s="2844">
        <f t="shared" si="12"/>
        <v>0</v>
      </c>
      <c r="M15" s="1302"/>
      <c r="N15" s="475">
        <f>SUM(G15:L15)</f>
        <v>5256630</v>
      </c>
      <c r="O15" s="609"/>
    </row>
    <row r="16" spans="1:16" ht="13.5" customHeight="1">
      <c r="A16" s="487"/>
      <c r="B16" s="647" t="s">
        <v>18</v>
      </c>
      <c r="C16" s="648"/>
      <c r="D16" s="642">
        <f>+D17+D18</f>
        <v>46557724</v>
      </c>
      <c r="E16" s="642">
        <f t="shared" ref="E16" si="13">+E17+E18</f>
        <v>364004</v>
      </c>
      <c r="F16" s="642">
        <f t="shared" ref="F16:L16" si="14">+F17+F18</f>
        <v>602044</v>
      </c>
      <c r="G16" s="642">
        <f t="shared" si="14"/>
        <v>682912</v>
      </c>
      <c r="H16" s="642">
        <f t="shared" si="14"/>
        <v>13431097</v>
      </c>
      <c r="I16" s="642">
        <f t="shared" si="14"/>
        <v>25871591</v>
      </c>
      <c r="J16" s="642">
        <f t="shared" si="14"/>
        <v>5606076</v>
      </c>
      <c r="K16" s="642">
        <f t="shared" si="14"/>
        <v>0</v>
      </c>
      <c r="L16" s="642">
        <f t="shared" si="14"/>
        <v>0</v>
      </c>
      <c r="M16" s="474">
        <f>+M17+M18</f>
        <v>46557724</v>
      </c>
      <c r="N16" s="474">
        <f>+N17+N18</f>
        <v>45591676</v>
      </c>
      <c r="O16" s="609"/>
    </row>
    <row r="17" spans="1:17" ht="13.5" hidden="1" customHeight="1">
      <c r="A17" s="487"/>
      <c r="B17" s="644" t="s">
        <v>20</v>
      </c>
      <c r="C17" s="649"/>
      <c r="D17" s="481"/>
      <c r="E17" s="481"/>
      <c r="F17" s="481"/>
      <c r="G17" s="481"/>
      <c r="H17" s="481"/>
      <c r="I17" s="481"/>
      <c r="J17" s="481"/>
      <c r="K17" s="481"/>
      <c r="L17" s="481"/>
      <c r="M17" s="475">
        <f>SUM(E17:K17)</f>
        <v>0</v>
      </c>
      <c r="N17" s="475">
        <f>SUM(F17:L17)</f>
        <v>0</v>
      </c>
      <c r="O17" s="609"/>
    </row>
    <row r="18" spans="1:17" ht="12.75" customHeight="1">
      <c r="A18" s="487"/>
      <c r="B18" s="482" t="s">
        <v>19</v>
      </c>
      <c r="C18" s="649"/>
      <c r="D18" s="481">
        <f>+D31+D40+D53+D67+D79+D91</f>
        <v>46557724</v>
      </c>
      <c r="E18" s="481">
        <f t="shared" ref="E18:L18" si="15">+E31+E40+E53+E67+E79+E91</f>
        <v>364004</v>
      </c>
      <c r="F18" s="481">
        <f t="shared" si="15"/>
        <v>602044</v>
      </c>
      <c r="G18" s="481">
        <f t="shared" si="15"/>
        <v>682912</v>
      </c>
      <c r="H18" s="481">
        <f t="shared" si="15"/>
        <v>13431097</v>
      </c>
      <c r="I18" s="481">
        <f t="shared" si="15"/>
        <v>25871591</v>
      </c>
      <c r="J18" s="481">
        <f t="shared" si="15"/>
        <v>5606076</v>
      </c>
      <c r="K18" s="481">
        <f t="shared" si="15"/>
        <v>0</v>
      </c>
      <c r="L18" s="481">
        <f t="shared" si="15"/>
        <v>0</v>
      </c>
      <c r="M18" s="475">
        <f>SUM(E18:K18)</f>
        <v>46557724</v>
      </c>
      <c r="N18" s="475">
        <f>SUM(G18:L18)</f>
        <v>45591676</v>
      </c>
      <c r="O18" s="609"/>
    </row>
    <row r="19" spans="1:17" ht="12">
      <c r="A19" s="487"/>
      <c r="B19" s="80" t="s">
        <v>21</v>
      </c>
      <c r="C19" s="426"/>
      <c r="D19" s="483">
        <f>D23+D20</f>
        <v>51913751</v>
      </c>
      <c r="E19" s="483">
        <f t="shared" ref="E19:L19" si="16">E23+E20</f>
        <v>0</v>
      </c>
      <c r="F19" s="483">
        <f t="shared" si="16"/>
        <v>482232</v>
      </c>
      <c r="G19" s="483">
        <f t="shared" si="16"/>
        <v>705374</v>
      </c>
      <c r="H19" s="483">
        <f t="shared" si="16"/>
        <v>15501447</v>
      </c>
      <c r="I19" s="483">
        <f t="shared" si="16"/>
        <v>28892880</v>
      </c>
      <c r="J19" s="483">
        <f t="shared" si="16"/>
        <v>6331818</v>
      </c>
      <c r="K19" s="483">
        <f t="shared" si="16"/>
        <v>0</v>
      </c>
      <c r="L19" s="483">
        <f t="shared" si="16"/>
        <v>0</v>
      </c>
      <c r="M19" s="4045" t="s">
        <v>53</v>
      </c>
      <c r="N19" s="4045" t="s">
        <v>53</v>
      </c>
      <c r="O19" s="490"/>
      <c r="P19" s="491"/>
    </row>
    <row r="20" spans="1:17" ht="12">
      <c r="A20" s="487"/>
      <c r="B20" s="484" t="s">
        <v>12</v>
      </c>
      <c r="C20" s="485"/>
      <c r="D20" s="486">
        <f>+D21+D22</f>
        <v>5356027</v>
      </c>
      <c r="E20" s="486">
        <f t="shared" ref="E20:L20" si="17">+E21+E22</f>
        <v>0</v>
      </c>
      <c r="F20" s="486">
        <f t="shared" si="17"/>
        <v>23112</v>
      </c>
      <c r="G20" s="486">
        <f t="shared" si="17"/>
        <v>19886</v>
      </c>
      <c r="H20" s="486">
        <f t="shared" si="17"/>
        <v>1589343</v>
      </c>
      <c r="I20" s="486">
        <f t="shared" si="17"/>
        <v>3050097</v>
      </c>
      <c r="J20" s="486">
        <f t="shared" si="17"/>
        <v>673589</v>
      </c>
      <c r="K20" s="486">
        <f t="shared" si="17"/>
        <v>0</v>
      </c>
      <c r="L20" s="486">
        <f t="shared" si="17"/>
        <v>0</v>
      </c>
      <c r="M20" s="3366"/>
      <c r="N20" s="3366"/>
      <c r="O20" s="490"/>
      <c r="P20" s="491"/>
    </row>
    <row r="21" spans="1:17" ht="12">
      <c r="A21" s="487"/>
      <c r="B21" s="488" t="s">
        <v>13</v>
      </c>
      <c r="C21" s="485"/>
      <c r="D21" s="489">
        <f>+D59+D70</f>
        <v>99397</v>
      </c>
      <c r="E21" s="489">
        <f>+E59+E70</f>
        <v>0</v>
      </c>
      <c r="F21" s="489">
        <f>+F59+F70</f>
        <v>23112</v>
      </c>
      <c r="G21" s="489">
        <f>+G59+G70</f>
        <v>19886</v>
      </c>
      <c r="H21" s="489">
        <f t="shared" ref="H21:J21" si="18">+H59+H70</f>
        <v>23613</v>
      </c>
      <c r="I21" s="489">
        <f t="shared" si="18"/>
        <v>18735</v>
      </c>
      <c r="J21" s="489">
        <f t="shared" si="18"/>
        <v>14051</v>
      </c>
      <c r="K21" s="489">
        <f t="shared" ref="K21:L21" si="19">+K59</f>
        <v>0</v>
      </c>
      <c r="L21" s="489">
        <f t="shared" si="19"/>
        <v>0</v>
      </c>
      <c r="M21" s="3366"/>
      <c r="N21" s="3366"/>
      <c r="O21" s="490"/>
      <c r="P21" s="491">
        <f>D14-D21</f>
        <v>0</v>
      </c>
    </row>
    <row r="22" spans="1:17" ht="12">
      <c r="A22" s="487"/>
      <c r="B22" s="644" t="s">
        <v>17</v>
      </c>
      <c r="C22" s="494"/>
      <c r="D22" s="489">
        <f>D82+D94</f>
        <v>5256630</v>
      </c>
      <c r="E22" s="489">
        <f t="shared" ref="E22:L22" si="20">E82+E94</f>
        <v>0</v>
      </c>
      <c r="F22" s="489">
        <f t="shared" si="20"/>
        <v>0</v>
      </c>
      <c r="G22" s="489">
        <f t="shared" si="20"/>
        <v>0</v>
      </c>
      <c r="H22" s="489">
        <f t="shared" si="20"/>
        <v>1565730</v>
      </c>
      <c r="I22" s="489">
        <f t="shared" si="20"/>
        <v>3031362</v>
      </c>
      <c r="J22" s="489">
        <f t="shared" si="20"/>
        <v>659538</v>
      </c>
      <c r="K22" s="489">
        <f t="shared" si="20"/>
        <v>0</v>
      </c>
      <c r="L22" s="489">
        <f t="shared" si="20"/>
        <v>0</v>
      </c>
      <c r="M22" s="3366"/>
      <c r="N22" s="3366"/>
      <c r="O22" s="490"/>
      <c r="P22" s="491"/>
    </row>
    <row r="23" spans="1:17" ht="12">
      <c r="A23" s="493"/>
      <c r="B23" s="178" t="s">
        <v>18</v>
      </c>
      <c r="C23" s="494"/>
      <c r="D23" s="495">
        <f>+D24+D25</f>
        <v>46557724</v>
      </c>
      <c r="E23" s="495">
        <f t="shared" ref="E23" si="21">+E24+E25</f>
        <v>0</v>
      </c>
      <c r="F23" s="495">
        <f t="shared" ref="F23:L23" si="22">+F24+F25</f>
        <v>459120</v>
      </c>
      <c r="G23" s="495">
        <f t="shared" si="22"/>
        <v>685488</v>
      </c>
      <c r="H23" s="495">
        <f t="shared" si="22"/>
        <v>13912104</v>
      </c>
      <c r="I23" s="495">
        <f t="shared" si="22"/>
        <v>25842783</v>
      </c>
      <c r="J23" s="495">
        <f t="shared" si="22"/>
        <v>5658229</v>
      </c>
      <c r="K23" s="495">
        <f t="shared" si="22"/>
        <v>0</v>
      </c>
      <c r="L23" s="495">
        <f t="shared" si="22"/>
        <v>0</v>
      </c>
      <c r="M23" s="3366"/>
      <c r="N23" s="3366"/>
      <c r="O23" s="490"/>
    </row>
    <row r="24" spans="1:17" ht="15" hidden="1" customHeight="1">
      <c r="A24" s="493"/>
      <c r="B24" s="488" t="s">
        <v>20</v>
      </c>
      <c r="C24" s="485"/>
      <c r="D24" s="489"/>
      <c r="E24" s="489"/>
      <c r="F24" s="489"/>
      <c r="G24" s="489"/>
      <c r="H24" s="489"/>
      <c r="I24" s="489"/>
      <c r="J24" s="489"/>
      <c r="K24" s="489"/>
      <c r="L24" s="489"/>
      <c r="M24" s="3366"/>
      <c r="N24" s="3366"/>
      <c r="O24" s="490"/>
      <c r="P24" s="491"/>
    </row>
    <row r="25" spans="1:17" ht="12.75" thickBot="1">
      <c r="A25" s="496"/>
      <c r="B25" s="497" t="s">
        <v>19</v>
      </c>
      <c r="C25" s="650"/>
      <c r="D25" s="489">
        <f>+D34+D43+D61+D72+D84+D96</f>
        <v>46557724</v>
      </c>
      <c r="E25" s="489">
        <f t="shared" ref="E25:L25" si="23">+E34+E43+E61+E72+E84+E96</f>
        <v>0</v>
      </c>
      <c r="F25" s="489">
        <f t="shared" si="23"/>
        <v>459120</v>
      </c>
      <c r="G25" s="489">
        <f t="shared" si="23"/>
        <v>685488</v>
      </c>
      <c r="H25" s="489">
        <f t="shared" si="23"/>
        <v>13912104</v>
      </c>
      <c r="I25" s="489">
        <f t="shared" si="23"/>
        <v>25842783</v>
      </c>
      <c r="J25" s="489">
        <f t="shared" si="23"/>
        <v>5658229</v>
      </c>
      <c r="K25" s="489">
        <f t="shared" si="23"/>
        <v>0</v>
      </c>
      <c r="L25" s="489">
        <f t="shared" si="23"/>
        <v>0</v>
      </c>
      <c r="M25" s="3367"/>
      <c r="N25" s="3367"/>
      <c r="O25" s="651"/>
      <c r="P25" s="491">
        <f>D18-D25</f>
        <v>0</v>
      </c>
    </row>
    <row r="26" spans="1:17" ht="23.25" customHeight="1">
      <c r="A26" s="4037" t="s">
        <v>55</v>
      </c>
      <c r="B26" s="498" t="s">
        <v>641</v>
      </c>
      <c r="C26" s="499" t="s">
        <v>101</v>
      </c>
      <c r="D26" s="652"/>
      <c r="E26" s="2664"/>
      <c r="F26" s="2665"/>
      <c r="G26" s="2665"/>
      <c r="H26" s="2665"/>
      <c r="I26" s="2665"/>
      <c r="J26" s="2665"/>
      <c r="K26" s="2665"/>
      <c r="L26" s="2666"/>
      <c r="M26" s="653"/>
      <c r="N26" s="653"/>
      <c r="O26" s="4040" t="s">
        <v>325</v>
      </c>
    </row>
    <row r="27" spans="1:17" ht="12">
      <c r="A27" s="4047"/>
      <c r="B27" s="412" t="s">
        <v>10</v>
      </c>
      <c r="C27" s="426"/>
      <c r="D27" s="420">
        <f t="shared" ref="D27" si="24">+D28+D30</f>
        <v>960682</v>
      </c>
      <c r="E27" s="420">
        <f t="shared" ref="E27" si="25">+E28+E30</f>
        <v>184963</v>
      </c>
      <c r="F27" s="420">
        <f t="shared" ref="F27:H27" si="26">+F28+F30</f>
        <v>332518</v>
      </c>
      <c r="G27" s="420">
        <f t="shared" si="26"/>
        <v>408671</v>
      </c>
      <c r="H27" s="420">
        <f t="shared" si="26"/>
        <v>34530</v>
      </c>
      <c r="I27" s="420"/>
      <c r="J27" s="420"/>
      <c r="K27" s="420"/>
      <c r="L27" s="420"/>
      <c r="M27" s="418">
        <f>+M28+M30</f>
        <v>775719</v>
      </c>
      <c r="N27" s="418">
        <f>+N28+N30</f>
        <v>443201</v>
      </c>
      <c r="O27" s="4041"/>
      <c r="P27" s="491"/>
      <c r="Q27" s="491"/>
    </row>
    <row r="28" spans="1:17" ht="13.5" customHeight="1">
      <c r="A28" s="4047"/>
      <c r="B28" s="654" t="s">
        <v>23</v>
      </c>
      <c r="C28" s="3344" t="s">
        <v>261</v>
      </c>
      <c r="D28" s="500">
        <f>+D29</f>
        <v>144099</v>
      </c>
      <c r="E28" s="2176">
        <f t="shared" ref="E28:H28" si="27">+E29</f>
        <v>27744</v>
      </c>
      <c r="F28" s="2177">
        <f t="shared" si="27"/>
        <v>49876</v>
      </c>
      <c r="G28" s="2177">
        <f t="shared" si="27"/>
        <v>61298</v>
      </c>
      <c r="H28" s="2177">
        <f t="shared" si="27"/>
        <v>5181</v>
      </c>
      <c r="I28" s="2177"/>
      <c r="J28" s="2177"/>
      <c r="K28" s="2177"/>
      <c r="L28" s="2177"/>
      <c r="M28" s="2178">
        <f>+M29</f>
        <v>116355</v>
      </c>
      <c r="N28" s="2178">
        <f>+N29</f>
        <v>66479</v>
      </c>
      <c r="O28" s="4042"/>
    </row>
    <row r="29" spans="1:17" ht="13.5" customHeight="1">
      <c r="A29" s="4047"/>
      <c r="B29" s="655" t="s">
        <v>12</v>
      </c>
      <c r="C29" s="4044"/>
      <c r="D29" s="235">
        <f>E29+F29+G29+H29+I29+J29+K29+L29</f>
        <v>144099</v>
      </c>
      <c r="E29" s="265">
        <v>27744</v>
      </c>
      <c r="F29" s="415">
        <f>58031-8100-55</f>
        <v>49876</v>
      </c>
      <c r="G29" s="415">
        <f>53201+8098-1</f>
        <v>61298</v>
      </c>
      <c r="H29" s="415">
        <f>5126+55</f>
        <v>5181</v>
      </c>
      <c r="I29" s="415"/>
      <c r="J29" s="415"/>
      <c r="K29" s="415"/>
      <c r="L29" s="415"/>
      <c r="M29" s="475">
        <f>SUM(F29:K29)</f>
        <v>116355</v>
      </c>
      <c r="N29" s="475">
        <f>SUM(G29:L29)</f>
        <v>66479</v>
      </c>
      <c r="O29" s="4042"/>
    </row>
    <row r="30" spans="1:17" ht="13.5" customHeight="1">
      <c r="A30" s="4047"/>
      <c r="B30" s="656" t="s">
        <v>18</v>
      </c>
      <c r="C30" s="4044"/>
      <c r="D30" s="501">
        <f t="shared" ref="D30:N30" si="28">+D31</f>
        <v>816583</v>
      </c>
      <c r="E30" s="500">
        <f t="shared" si="28"/>
        <v>157219</v>
      </c>
      <c r="F30" s="502">
        <f>+F31</f>
        <v>282642</v>
      </c>
      <c r="G30" s="502">
        <f>+G31</f>
        <v>347373</v>
      </c>
      <c r="H30" s="502">
        <f>+H31</f>
        <v>29349</v>
      </c>
      <c r="I30" s="502"/>
      <c r="J30" s="502"/>
      <c r="K30" s="502"/>
      <c r="L30" s="502"/>
      <c r="M30" s="474">
        <f t="shared" si="28"/>
        <v>659364</v>
      </c>
      <c r="N30" s="474">
        <f t="shared" si="28"/>
        <v>376722</v>
      </c>
      <c r="O30" s="4042"/>
    </row>
    <row r="31" spans="1:17" ht="13.5" customHeight="1">
      <c r="A31" s="4047"/>
      <c r="B31" s="543" t="s">
        <v>19</v>
      </c>
      <c r="C31" s="4044"/>
      <c r="D31" s="235">
        <f>E31+F31+G31+H31+I31+J31+K31+L31</f>
        <v>816583</v>
      </c>
      <c r="E31" s="265">
        <v>157219</v>
      </c>
      <c r="F31" s="2179">
        <f>328844-45898-304</f>
        <v>282642</v>
      </c>
      <c r="G31" s="2179">
        <f>301472+45901</f>
        <v>347373</v>
      </c>
      <c r="H31" s="476">
        <f>29045+304</f>
        <v>29349</v>
      </c>
      <c r="I31" s="476"/>
      <c r="J31" s="476"/>
      <c r="K31" s="476"/>
      <c r="L31" s="476"/>
      <c r="M31" s="475">
        <f>SUM(F31:K31)</f>
        <v>659364</v>
      </c>
      <c r="N31" s="475">
        <f>SUM(G31:L31)</f>
        <v>376722</v>
      </c>
      <c r="O31" s="4042"/>
    </row>
    <row r="32" spans="1:17" ht="12">
      <c r="A32" s="4047"/>
      <c r="B32" s="412" t="s">
        <v>21</v>
      </c>
      <c r="C32" s="426"/>
      <c r="D32" s="658">
        <f>+D33</f>
        <v>816583</v>
      </c>
      <c r="E32" s="658">
        <v>0</v>
      </c>
      <c r="F32" s="658">
        <f t="shared" ref="F32:I33" si="29">+F33</f>
        <v>183266</v>
      </c>
      <c r="G32" s="658">
        <f t="shared" si="29"/>
        <v>328844</v>
      </c>
      <c r="H32" s="658">
        <f t="shared" si="29"/>
        <v>294473</v>
      </c>
      <c r="I32" s="658">
        <f t="shared" si="29"/>
        <v>10000</v>
      </c>
      <c r="J32" s="420"/>
      <c r="K32" s="420"/>
      <c r="L32" s="420"/>
      <c r="M32" s="4045" t="s">
        <v>53</v>
      </c>
      <c r="N32" s="4045" t="s">
        <v>53</v>
      </c>
      <c r="O32" s="4042"/>
    </row>
    <row r="33" spans="1:19" ht="13.5" customHeight="1">
      <c r="A33" s="4047"/>
      <c r="B33" s="656" t="s">
        <v>18</v>
      </c>
      <c r="C33" s="3410" t="s">
        <v>261</v>
      </c>
      <c r="D33" s="501">
        <f>+D34</f>
        <v>816583</v>
      </c>
      <c r="E33" s="501">
        <v>0</v>
      </c>
      <c r="F33" s="501">
        <f t="shared" si="29"/>
        <v>183266</v>
      </c>
      <c r="G33" s="501">
        <f t="shared" si="29"/>
        <v>328844</v>
      </c>
      <c r="H33" s="501">
        <f t="shared" si="29"/>
        <v>294473</v>
      </c>
      <c r="I33" s="501">
        <f t="shared" si="29"/>
        <v>10000</v>
      </c>
      <c r="J33" s="501"/>
      <c r="K33" s="501"/>
      <c r="L33" s="501"/>
      <c r="M33" s="3366"/>
      <c r="N33" s="3366"/>
      <c r="O33" s="4042"/>
      <c r="P33" s="491">
        <f>+D34-D31</f>
        <v>0</v>
      </c>
    </row>
    <row r="34" spans="1:19" ht="12.75" thickBot="1">
      <c r="A34" s="4048"/>
      <c r="B34" s="543" t="s">
        <v>19</v>
      </c>
      <c r="C34" s="4046"/>
      <c r="D34" s="235">
        <f>E34+F34+G34+H34+I34+J34+K34+L34</f>
        <v>816583</v>
      </c>
      <c r="E34" s="265">
        <v>0</v>
      </c>
      <c r="F34" s="2180">
        <f>159401+23865</f>
        <v>183266</v>
      </c>
      <c r="G34" s="2180">
        <v>328844</v>
      </c>
      <c r="H34" s="2180">
        <f>301472-6999</f>
        <v>294473</v>
      </c>
      <c r="I34" s="2180">
        <f>29045-2182+3-16866</f>
        <v>10000</v>
      </c>
      <c r="J34" s="2180"/>
      <c r="K34" s="2180"/>
      <c r="L34" s="2180"/>
      <c r="M34" s="3367"/>
      <c r="N34" s="3367"/>
      <c r="O34" s="4043"/>
    </row>
    <row r="35" spans="1:19" ht="35.25" customHeight="1">
      <c r="A35" s="4037" t="s">
        <v>56</v>
      </c>
      <c r="B35" s="498" t="s">
        <v>642</v>
      </c>
      <c r="C35" s="499" t="s">
        <v>101</v>
      </c>
      <c r="D35" s="652"/>
      <c r="E35" s="2664"/>
      <c r="F35" s="2665"/>
      <c r="G35" s="2665"/>
      <c r="H35" s="2665"/>
      <c r="I35" s="2665"/>
      <c r="J35" s="2665"/>
      <c r="K35" s="2665"/>
      <c r="L35" s="2666"/>
      <c r="M35" s="2181"/>
      <c r="N35" s="2181"/>
      <c r="O35" s="4040" t="s">
        <v>325</v>
      </c>
    </row>
    <row r="36" spans="1:19" ht="12.75" customHeight="1">
      <c r="A36" s="4047"/>
      <c r="B36" s="412" t="s">
        <v>10</v>
      </c>
      <c r="C36" s="426"/>
      <c r="D36" s="658">
        <f t="shared" ref="D36:I36" si="30">+D37+D39</f>
        <v>895017</v>
      </c>
      <c r="E36" s="420">
        <f t="shared" ref="E36" si="31">+E37+E39</f>
        <v>164812</v>
      </c>
      <c r="F36" s="420">
        <f>+F37+F39</f>
        <v>323767</v>
      </c>
      <c r="G36" s="420">
        <f t="shared" si="30"/>
        <v>305828</v>
      </c>
      <c r="H36" s="420">
        <f t="shared" si="30"/>
        <v>43185</v>
      </c>
      <c r="I36" s="420">
        <f t="shared" si="30"/>
        <v>57425</v>
      </c>
      <c r="J36" s="420"/>
      <c r="K36" s="420"/>
      <c r="L36" s="420"/>
      <c r="M36" s="418">
        <f>+M37+M39</f>
        <v>730205</v>
      </c>
      <c r="N36" s="418">
        <f>+N37+N39</f>
        <v>406438</v>
      </c>
      <c r="O36" s="4041"/>
      <c r="P36" s="491"/>
      <c r="Q36" s="491"/>
      <c r="R36" s="491"/>
      <c r="S36" s="491"/>
    </row>
    <row r="37" spans="1:19" ht="12" customHeight="1">
      <c r="A37" s="4047"/>
      <c r="B37" s="654" t="s">
        <v>23</v>
      </c>
      <c r="C37" s="3344" t="s">
        <v>261</v>
      </c>
      <c r="D37" s="659">
        <f>+D38</f>
        <v>133424</v>
      </c>
      <c r="E37" s="503">
        <f t="shared" ref="E37:I37" si="32">+E38</f>
        <v>23893</v>
      </c>
      <c r="F37" s="2182">
        <f t="shared" si="32"/>
        <v>48565</v>
      </c>
      <c r="G37" s="2182">
        <f t="shared" si="32"/>
        <v>46007</v>
      </c>
      <c r="H37" s="2182">
        <f t="shared" si="32"/>
        <v>6345</v>
      </c>
      <c r="I37" s="2182">
        <f t="shared" si="32"/>
        <v>8614</v>
      </c>
      <c r="J37" s="2183"/>
      <c r="K37" s="2183"/>
      <c r="L37" s="2183"/>
      <c r="M37" s="474">
        <f>+M38</f>
        <v>109531</v>
      </c>
      <c r="N37" s="474">
        <f>+N38</f>
        <v>60966</v>
      </c>
      <c r="O37" s="4042"/>
    </row>
    <row r="38" spans="1:19" ht="12">
      <c r="A38" s="4047"/>
      <c r="B38" s="655" t="s">
        <v>12</v>
      </c>
      <c r="C38" s="4044"/>
      <c r="D38" s="235">
        <f>E38+F38+G38+H38+I38+J38+K38+L38</f>
        <v>133424</v>
      </c>
      <c r="E38" s="265">
        <v>23893</v>
      </c>
      <c r="F38" s="415">
        <f>52409-1560-2170-114</f>
        <v>48565</v>
      </c>
      <c r="G38" s="415">
        <f>43837+2170</f>
        <v>46007</v>
      </c>
      <c r="H38" s="415">
        <f>6231+114</f>
        <v>6345</v>
      </c>
      <c r="I38" s="415">
        <v>8614</v>
      </c>
      <c r="J38" s="415"/>
      <c r="K38" s="415"/>
      <c r="L38" s="415"/>
      <c r="M38" s="475">
        <f>SUM(F38:K38)</f>
        <v>109531</v>
      </c>
      <c r="N38" s="475">
        <f>SUM(G38:L38)</f>
        <v>60966</v>
      </c>
      <c r="O38" s="4042"/>
    </row>
    <row r="39" spans="1:19" ht="12">
      <c r="A39" s="4047"/>
      <c r="B39" s="656" t="s">
        <v>18</v>
      </c>
      <c r="C39" s="4044"/>
      <c r="D39" s="504">
        <f t="shared" ref="D39:N39" si="33">+D40</f>
        <v>761593</v>
      </c>
      <c r="E39" s="500">
        <f t="shared" si="33"/>
        <v>140919</v>
      </c>
      <c r="F39" s="2176">
        <f t="shared" si="33"/>
        <v>275202</v>
      </c>
      <c r="G39" s="2176">
        <f t="shared" si="33"/>
        <v>259821</v>
      </c>
      <c r="H39" s="2176">
        <f t="shared" si="33"/>
        <v>36840</v>
      </c>
      <c r="I39" s="2176">
        <f t="shared" si="33"/>
        <v>48811</v>
      </c>
      <c r="J39" s="2184"/>
      <c r="K39" s="2184"/>
      <c r="L39" s="2184"/>
      <c r="M39" s="474">
        <f t="shared" si="33"/>
        <v>620674</v>
      </c>
      <c r="N39" s="474">
        <f t="shared" si="33"/>
        <v>345472</v>
      </c>
      <c r="O39" s="4042"/>
    </row>
    <row r="40" spans="1:19" ht="12">
      <c r="A40" s="4047"/>
      <c r="B40" s="543" t="s">
        <v>19</v>
      </c>
      <c r="C40" s="4044"/>
      <c r="D40" s="235">
        <f>E40+F40+G40+H40+I40+J40+K40+L40</f>
        <v>761593</v>
      </c>
      <c r="E40" s="265">
        <v>140919</v>
      </c>
      <c r="F40" s="476">
        <f>296984-8840-11410+1-1533</f>
        <v>275202</v>
      </c>
      <c r="G40" s="476">
        <f>248412+11409</f>
        <v>259821</v>
      </c>
      <c r="H40" s="476">
        <f>35307+1533</f>
        <v>36840</v>
      </c>
      <c r="I40" s="476">
        <v>48811</v>
      </c>
      <c r="J40" s="476"/>
      <c r="K40" s="476"/>
      <c r="L40" s="476"/>
      <c r="M40" s="475">
        <f>SUM(F40:K40)</f>
        <v>620674</v>
      </c>
      <c r="N40" s="475">
        <f>SUM(G40:L40)</f>
        <v>345472</v>
      </c>
      <c r="O40" s="4042"/>
    </row>
    <row r="41" spans="1:19" ht="12">
      <c r="A41" s="4047"/>
      <c r="B41" s="410" t="s">
        <v>21</v>
      </c>
      <c r="C41" s="426"/>
      <c r="D41" s="658">
        <f>+D42</f>
        <v>761593</v>
      </c>
      <c r="E41" s="658">
        <v>0</v>
      </c>
      <c r="F41" s="658">
        <f t="shared" ref="F41:I41" si="34">+F42</f>
        <v>206519</v>
      </c>
      <c r="G41" s="658">
        <f t="shared" si="34"/>
        <v>296984</v>
      </c>
      <c r="H41" s="658">
        <f t="shared" si="34"/>
        <v>238090</v>
      </c>
      <c r="I41" s="658">
        <f t="shared" si="34"/>
        <v>10000</v>
      </c>
      <c r="J41" s="658">
        <f t="shared" ref="F41:J42" si="35">+J42</f>
        <v>10000</v>
      </c>
      <c r="K41" s="420"/>
      <c r="L41" s="420"/>
      <c r="M41" s="4045" t="s">
        <v>53</v>
      </c>
      <c r="N41" s="4045" t="s">
        <v>53</v>
      </c>
      <c r="O41" s="4042"/>
    </row>
    <row r="42" spans="1:19" ht="12" customHeight="1">
      <c r="A42" s="4047"/>
      <c r="B42" s="656" t="s">
        <v>18</v>
      </c>
      <c r="C42" s="3410" t="s">
        <v>261</v>
      </c>
      <c r="D42" s="504">
        <f>+D43</f>
        <v>761593</v>
      </c>
      <c r="E42" s="501">
        <v>0</v>
      </c>
      <c r="F42" s="501">
        <f t="shared" si="35"/>
        <v>206519</v>
      </c>
      <c r="G42" s="501">
        <f t="shared" si="35"/>
        <v>296984</v>
      </c>
      <c r="H42" s="501">
        <f t="shared" si="35"/>
        <v>238090</v>
      </c>
      <c r="I42" s="501">
        <f t="shared" si="35"/>
        <v>10000</v>
      </c>
      <c r="J42" s="501">
        <f t="shared" si="35"/>
        <v>10000</v>
      </c>
      <c r="K42" s="501"/>
      <c r="L42" s="501"/>
      <c r="M42" s="3366"/>
      <c r="N42" s="3366"/>
      <c r="O42" s="4042"/>
    </row>
    <row r="43" spans="1:19" ht="13.5" thickBot="1">
      <c r="A43" s="4048"/>
      <c r="B43" s="543" t="s">
        <v>19</v>
      </c>
      <c r="C43" s="4046"/>
      <c r="D43" s="235">
        <f>E43+F43+G43+H43+I43+J43+K43+L43</f>
        <v>761593</v>
      </c>
      <c r="E43" s="265">
        <v>0</v>
      </c>
      <c r="F43" s="408">
        <f>133538+72981</f>
        <v>206519</v>
      </c>
      <c r="G43" s="408">
        <v>296984</v>
      </c>
      <c r="H43" s="408">
        <f>248412-10322</f>
        <v>238090</v>
      </c>
      <c r="I43" s="408">
        <f>35307-25307</f>
        <v>10000</v>
      </c>
      <c r="J43" s="408">
        <f>48811-1459-37352</f>
        <v>10000</v>
      </c>
      <c r="K43" s="2185"/>
      <c r="L43" s="2185"/>
      <c r="M43" s="3367"/>
      <c r="N43" s="3367"/>
      <c r="O43" s="4043"/>
      <c r="P43" s="491">
        <f>+D43-D40</f>
        <v>0</v>
      </c>
    </row>
    <row r="44" spans="1:19" s="2970" customFormat="1" ht="23.25" customHeight="1">
      <c r="A44" s="4053" t="s">
        <v>57</v>
      </c>
      <c r="B44" s="72" t="s">
        <v>494</v>
      </c>
      <c r="C44" s="56" t="s">
        <v>101</v>
      </c>
      <c r="D44" s="661"/>
      <c r="E44" s="2662"/>
      <c r="F44" s="2663"/>
      <c r="G44" s="2663"/>
      <c r="H44" s="2663"/>
      <c r="I44" s="2663"/>
      <c r="J44" s="2638"/>
      <c r="K44" s="2638"/>
      <c r="L44" s="41"/>
      <c r="M44" s="43"/>
      <c r="N44" s="661"/>
      <c r="O44" s="3317" t="s">
        <v>302</v>
      </c>
    </row>
    <row r="45" spans="1:19" s="2970" customFormat="1" ht="12.75">
      <c r="A45" s="4054"/>
      <c r="B45" s="2186" t="s">
        <v>10</v>
      </c>
      <c r="C45" s="1284"/>
      <c r="D45" s="2187">
        <f>+D46+D52</f>
        <v>394357</v>
      </c>
      <c r="E45" s="2187">
        <f t="shared" ref="E45" si="36">+E46+E52</f>
        <v>88043</v>
      </c>
      <c r="F45" s="1345">
        <f t="shared" ref="F45:I45" si="37">+F46+F52</f>
        <v>54732</v>
      </c>
      <c r="G45" s="1345">
        <f t="shared" si="37"/>
        <v>101301</v>
      </c>
      <c r="H45" s="1345">
        <f t="shared" si="37"/>
        <v>75142</v>
      </c>
      <c r="I45" s="1345">
        <f t="shared" si="37"/>
        <v>75139</v>
      </c>
      <c r="J45" s="1345"/>
      <c r="K45" s="1345"/>
      <c r="L45" s="1345"/>
      <c r="M45" s="2188">
        <f>+M46+M52</f>
        <v>306314</v>
      </c>
      <c r="N45" s="2188">
        <f>+N46+N52</f>
        <v>251582</v>
      </c>
      <c r="O45" s="3318"/>
      <c r="P45" s="662"/>
    </row>
    <row r="46" spans="1:19" s="2970" customFormat="1" ht="12.75">
      <c r="A46" s="4054"/>
      <c r="B46" s="654" t="s">
        <v>23</v>
      </c>
      <c r="C46" s="3351" t="s">
        <v>140</v>
      </c>
      <c r="D46" s="2189">
        <f>+D47+D51</f>
        <v>99415</v>
      </c>
      <c r="E46" s="2189">
        <f>+E47+E51</f>
        <v>22177</v>
      </c>
      <c r="F46" s="2190">
        <f t="shared" ref="F46:I46" si="38">+F47+F51</f>
        <v>13783</v>
      </c>
      <c r="G46" s="2190">
        <f t="shared" si="38"/>
        <v>25583</v>
      </c>
      <c r="H46" s="2190">
        <f t="shared" si="38"/>
        <v>18937</v>
      </c>
      <c r="I46" s="2190">
        <f t="shared" si="38"/>
        <v>18935</v>
      </c>
      <c r="J46" s="2189"/>
      <c r="K46" s="2189"/>
      <c r="L46" s="2189"/>
      <c r="M46" s="2191">
        <f>+M47+M51</f>
        <v>77238</v>
      </c>
      <c r="N46" s="2191">
        <f>+N47+N51</f>
        <v>63455</v>
      </c>
      <c r="O46" s="3318"/>
    </row>
    <row r="47" spans="1:19" s="2970" customFormat="1" ht="10.5" customHeight="1">
      <c r="A47" s="4054"/>
      <c r="B47" s="2192" t="s">
        <v>13</v>
      </c>
      <c r="C47" s="3347"/>
      <c r="D47" s="1216">
        <f>E47+F47+G47+H47+I47+J47+K47+L47</f>
        <v>98313</v>
      </c>
      <c r="E47" s="1262">
        <f>+E49+E50</f>
        <v>21955</v>
      </c>
      <c r="F47" s="2193">
        <f>+F49+F50</f>
        <v>13649</v>
      </c>
      <c r="G47" s="2193">
        <f t="shared" ref="G47:I47" si="39">+G49+G50</f>
        <v>25237</v>
      </c>
      <c r="H47" s="2193">
        <f t="shared" si="39"/>
        <v>18737</v>
      </c>
      <c r="I47" s="2193">
        <f t="shared" si="39"/>
        <v>18735</v>
      </c>
      <c r="J47" s="1262"/>
      <c r="K47" s="1262"/>
      <c r="L47" s="1262"/>
      <c r="M47" s="1302">
        <f>SUM(F47:K47)</f>
        <v>76358</v>
      </c>
      <c r="N47" s="1302">
        <f>SUM(G47:L47)</f>
        <v>62709</v>
      </c>
      <c r="O47" s="3318"/>
      <c r="P47" s="662">
        <f>D47-D59</f>
        <v>0</v>
      </c>
    </row>
    <row r="48" spans="1:19" s="2970" customFormat="1" ht="12.75" hidden="1">
      <c r="A48" s="4054"/>
      <c r="B48" s="2194" t="s">
        <v>141</v>
      </c>
      <c r="C48" s="3347"/>
      <c r="D48" s="1216">
        <f>E48+F48+G48+H48+I48+J48+K48+L48</f>
        <v>0</v>
      </c>
      <c r="E48" s="1262"/>
      <c r="F48" s="1301"/>
      <c r="G48" s="1301"/>
      <c r="H48" s="1301"/>
      <c r="I48" s="1301"/>
      <c r="J48" s="1301"/>
      <c r="K48" s="1301"/>
      <c r="L48" s="1301"/>
      <c r="M48" s="1302"/>
      <c r="N48" s="1302"/>
      <c r="O48" s="3318"/>
      <c r="P48" s="662"/>
    </row>
    <row r="49" spans="1:17" s="2970" customFormat="1" ht="12.75" hidden="1">
      <c r="A49" s="4054"/>
      <c r="B49" s="2194" t="s">
        <v>288</v>
      </c>
      <c r="C49" s="3347"/>
      <c r="D49" s="1216">
        <f>E49+F49+G49+H49+I49+J49+K49+L49</f>
        <v>59778</v>
      </c>
      <c r="E49" s="1262">
        <v>15556</v>
      </c>
      <c r="F49" s="2195">
        <f>8056+671+1501+214+2452-4245</f>
        <v>8649</v>
      </c>
      <c r="G49" s="2195">
        <f>8056+671+1501+214+1413</f>
        <v>11855</v>
      </c>
      <c r="H49" s="2195">
        <f>8057+671+1501+214+1417</f>
        <v>11860</v>
      </c>
      <c r="I49" s="2195">
        <f>8057+671+1501+214+1415</f>
        <v>11858</v>
      </c>
      <c r="J49" s="1301"/>
      <c r="K49" s="1301"/>
      <c r="L49" s="1301"/>
      <c r="M49" s="2196">
        <f>SUM(E49:H49)</f>
        <v>47920</v>
      </c>
      <c r="N49" s="2196">
        <f>SUM(G49:I49)</f>
        <v>35573</v>
      </c>
      <c r="O49" s="3318"/>
      <c r="P49" s="662"/>
    </row>
    <row r="50" spans="1:17" s="2970" customFormat="1" ht="12.75" hidden="1">
      <c r="A50" s="4054"/>
      <c r="B50" s="2194" t="s">
        <v>102</v>
      </c>
      <c r="C50" s="3347"/>
      <c r="D50" s="1216">
        <f>E50+F50+G50+H50+I50+J50+K50+L50</f>
        <v>38535</v>
      </c>
      <c r="E50" s="1262">
        <f>6510-111</f>
        <v>6399</v>
      </c>
      <c r="F50" s="2197">
        <f>512+979+979+1250+2157+750+250+5601-1889-5589</f>
        <v>5000</v>
      </c>
      <c r="G50" s="2195">
        <f>512+979+979+1250+2407+750+6505</f>
        <v>13382</v>
      </c>
      <c r="H50" s="2195">
        <f>512+979+979+1250+2407+750</f>
        <v>6877</v>
      </c>
      <c r="I50" s="2195">
        <f>512+979+979+1250+2407+750</f>
        <v>6877</v>
      </c>
      <c r="J50" s="1301"/>
      <c r="K50" s="1301"/>
      <c r="L50" s="1301"/>
      <c r="M50" s="2196">
        <f>SUM(E50:H50)</f>
        <v>31658</v>
      </c>
      <c r="N50" s="2196">
        <f>SUM(G50:I50)</f>
        <v>27136</v>
      </c>
      <c r="O50" s="3318"/>
      <c r="P50" s="662"/>
    </row>
    <row r="51" spans="1:17" s="2970" customFormat="1" ht="12.75">
      <c r="A51" s="4054"/>
      <c r="B51" s="1372" t="s">
        <v>12</v>
      </c>
      <c r="C51" s="3347"/>
      <c r="D51" s="1216">
        <f>E51+F51+G51+H51+I51+J51+K51+L51</f>
        <v>1102</v>
      </c>
      <c r="E51" s="1262">
        <v>222</v>
      </c>
      <c r="F51" s="1301">
        <f>280-146</f>
        <v>134</v>
      </c>
      <c r="G51" s="1301">
        <f>200+146</f>
        <v>346</v>
      </c>
      <c r="H51" s="1301">
        <v>200</v>
      </c>
      <c r="I51" s="1301">
        <v>200</v>
      </c>
      <c r="J51" s="1301"/>
      <c r="K51" s="1301"/>
      <c r="L51" s="1301"/>
      <c r="M51" s="1302">
        <f>SUM(F51:K51)</f>
        <v>880</v>
      </c>
      <c r="N51" s="1302">
        <f>SUM(G51:L51)</f>
        <v>746</v>
      </c>
      <c r="O51" s="3318"/>
    </row>
    <row r="52" spans="1:17" s="2970" customFormat="1" ht="13.5" customHeight="1">
      <c r="A52" s="4054"/>
      <c r="B52" s="2153" t="s">
        <v>18</v>
      </c>
      <c r="C52" s="3347"/>
      <c r="D52" s="1288">
        <f>+D53</f>
        <v>294942</v>
      </c>
      <c r="E52" s="1288">
        <f t="shared" ref="E52" si="40">+E53</f>
        <v>65866</v>
      </c>
      <c r="F52" s="1294">
        <f t="shared" ref="F52:I52" si="41">+F53</f>
        <v>40949</v>
      </c>
      <c r="G52" s="1294">
        <f t="shared" si="41"/>
        <v>75718</v>
      </c>
      <c r="H52" s="1294">
        <f t="shared" si="41"/>
        <v>56205</v>
      </c>
      <c r="I52" s="1294">
        <f t="shared" si="41"/>
        <v>56204</v>
      </c>
      <c r="J52" s="1294"/>
      <c r="K52" s="1294"/>
      <c r="L52" s="1294"/>
      <c r="M52" s="1373">
        <f>+M53</f>
        <v>229076</v>
      </c>
      <c r="N52" s="1373">
        <f>+N53</f>
        <v>188127</v>
      </c>
      <c r="O52" s="3318"/>
    </row>
    <row r="53" spans="1:17" s="2970" customFormat="1" ht="12.75">
      <c r="A53" s="4054"/>
      <c r="B53" s="2198" t="s">
        <v>19</v>
      </c>
      <c r="C53" s="3348"/>
      <c r="D53" s="1216">
        <f>E53+F53+G53+H53+I53+J53+K53+L53</f>
        <v>294942</v>
      </c>
      <c r="E53" s="1262">
        <f>+E55+E56</f>
        <v>65866</v>
      </c>
      <c r="F53" s="2199">
        <f>SUM(F55:F56)</f>
        <v>40949</v>
      </c>
      <c r="G53" s="2199">
        <f>SUM(G55:G56)</f>
        <v>75718</v>
      </c>
      <c r="H53" s="2199">
        <f>SUM(H55:H56)</f>
        <v>56205</v>
      </c>
      <c r="I53" s="2199">
        <f>SUM(I55:I56)</f>
        <v>56204</v>
      </c>
      <c r="J53" s="1291"/>
      <c r="K53" s="1291"/>
      <c r="L53" s="1291"/>
      <c r="M53" s="1302">
        <f>SUM(F53:K53)</f>
        <v>229076</v>
      </c>
      <c r="N53" s="1302">
        <f>SUM(G53:L53)</f>
        <v>188127</v>
      </c>
      <c r="O53" s="3318"/>
      <c r="P53" s="662">
        <f>D53-D61</f>
        <v>0</v>
      </c>
    </row>
    <row r="54" spans="1:17" s="2203" customFormat="1" ht="13.5" hidden="1" customHeight="1">
      <c r="A54" s="4054"/>
      <c r="B54" s="2194" t="s">
        <v>141</v>
      </c>
      <c r="C54" s="2200"/>
      <c r="D54" s="1374"/>
      <c r="E54" s="1375"/>
      <c r="F54" s="1375"/>
      <c r="G54" s="1375"/>
      <c r="H54" s="1375"/>
      <c r="I54" s="1375"/>
      <c r="J54" s="1375"/>
      <c r="K54" s="1375"/>
      <c r="L54" s="1375"/>
      <c r="M54" s="2201"/>
      <c r="N54" s="2201"/>
      <c r="O54" s="3318"/>
      <c r="P54" s="2202"/>
    </row>
    <row r="55" spans="1:17" s="2203" customFormat="1" ht="13.5" hidden="1" customHeight="1">
      <c r="A55" s="4054"/>
      <c r="B55" s="2194" t="s">
        <v>288</v>
      </c>
      <c r="C55" s="2200"/>
      <c r="D55" s="1216">
        <f>E55+F55+G55+H55+I55+J55+K55+L55</f>
        <v>179344</v>
      </c>
      <c r="E55" s="1375">
        <v>46667</v>
      </c>
      <c r="F55" s="1375">
        <f>24173+2014+4502+642+7355-12738</f>
        <v>25948</v>
      </c>
      <c r="G55" s="1375">
        <f>24173+2014+4502+642+4245</f>
        <v>35576</v>
      </c>
      <c r="H55" s="1375">
        <f>24172+2014+4502+642+4247</f>
        <v>35577</v>
      </c>
      <c r="I55" s="1375">
        <f>24172+2014+4502+642+4246</f>
        <v>35576</v>
      </c>
      <c r="J55" s="1375"/>
      <c r="K55" s="1375"/>
      <c r="L55" s="1375"/>
      <c r="M55" s="2196">
        <f>SUM(E55:H55)</f>
        <v>143768</v>
      </c>
      <c r="N55" s="2196">
        <f>SUM(G55:I55)</f>
        <v>106729</v>
      </c>
      <c r="O55" s="3318"/>
      <c r="P55" s="2202"/>
    </row>
    <row r="56" spans="1:17" s="2203" customFormat="1" ht="13.5" hidden="1" customHeight="1">
      <c r="A56" s="4054"/>
      <c r="B56" s="2194" t="s">
        <v>102</v>
      </c>
      <c r="C56" s="2200"/>
      <c r="D56" s="1216">
        <f>E56+F56+G56+H56+I56+J56+K56+L56</f>
        <v>115598</v>
      </c>
      <c r="E56" s="1375">
        <f>19532-333</f>
        <v>19199</v>
      </c>
      <c r="F56" s="1375">
        <f>1537+2936+2936+3750+6469+2250+750+16805-5672-16760</f>
        <v>15001</v>
      </c>
      <c r="G56" s="1375">
        <f>1537+2936+2936+3750+7219+2250+19514</f>
        <v>40142</v>
      </c>
      <c r="H56" s="1375">
        <f>1537+2936+2936+3750+7219+2250</f>
        <v>20628</v>
      </c>
      <c r="I56" s="1375">
        <f>1537+2936+2936+3750+7219+2250</f>
        <v>20628</v>
      </c>
      <c r="J56" s="1375"/>
      <c r="K56" s="1375"/>
      <c r="L56" s="1375"/>
      <c r="M56" s="2196">
        <f>SUM(E56:H56)</f>
        <v>94970</v>
      </c>
      <c r="N56" s="2196">
        <f>SUM(G56:I56)</f>
        <v>81398</v>
      </c>
      <c r="O56" s="3318"/>
      <c r="P56" s="2202"/>
    </row>
    <row r="57" spans="1:17" s="2970" customFormat="1" ht="12.75">
      <c r="A57" s="4054"/>
      <c r="B57" s="410" t="s">
        <v>21</v>
      </c>
      <c r="C57" s="1284"/>
      <c r="D57" s="1285">
        <f>+D58+D60</f>
        <v>393255</v>
      </c>
      <c r="E57" s="1285">
        <f t="shared" ref="E57" si="42">+E58+E60</f>
        <v>0</v>
      </c>
      <c r="F57" s="1285">
        <f t="shared" ref="F57:J57" si="43">+F58+F60</f>
        <v>92447</v>
      </c>
      <c r="G57" s="1285">
        <f t="shared" si="43"/>
        <v>75211</v>
      </c>
      <c r="H57" s="1285">
        <f t="shared" si="43"/>
        <v>94451</v>
      </c>
      <c r="I57" s="1285">
        <f t="shared" si="43"/>
        <v>74942</v>
      </c>
      <c r="J57" s="1285">
        <f t="shared" si="43"/>
        <v>56204</v>
      </c>
      <c r="K57" s="1345"/>
      <c r="L57" s="1345"/>
      <c r="M57" s="3368" t="s">
        <v>53</v>
      </c>
      <c r="N57" s="3368" t="s">
        <v>53</v>
      </c>
      <c r="O57" s="3318"/>
    </row>
    <row r="58" spans="1:17" s="2970" customFormat="1" ht="13.5" customHeight="1">
      <c r="A58" s="4054"/>
      <c r="B58" s="537" t="s">
        <v>23</v>
      </c>
      <c r="C58" s="3436" t="s">
        <v>140</v>
      </c>
      <c r="D58" s="2204">
        <f>+D59</f>
        <v>98313</v>
      </c>
      <c r="E58" s="2204">
        <f t="shared" ref="E58" si="44">+E59</f>
        <v>0</v>
      </c>
      <c r="F58" s="2205">
        <f t="shared" ref="F58:J58" si="45">+F59</f>
        <v>23112</v>
      </c>
      <c r="G58" s="2205">
        <f t="shared" si="45"/>
        <v>18802</v>
      </c>
      <c r="H58" s="2205">
        <f t="shared" si="45"/>
        <v>23613</v>
      </c>
      <c r="I58" s="2205">
        <f t="shared" si="45"/>
        <v>18735</v>
      </c>
      <c r="J58" s="2205">
        <f t="shared" si="45"/>
        <v>14051</v>
      </c>
      <c r="K58" s="2205"/>
      <c r="L58" s="2205"/>
      <c r="M58" s="3366"/>
      <c r="N58" s="3366"/>
      <c r="O58" s="3318"/>
    </row>
    <row r="59" spans="1:17" s="2970" customFormat="1" ht="12.75">
      <c r="A59" s="4054"/>
      <c r="B59" s="2192" t="s">
        <v>13</v>
      </c>
      <c r="C59" s="3506"/>
      <c r="D59" s="1267">
        <f>E59+F59+G59+H59+I59+J59+K59+L59</f>
        <v>98313</v>
      </c>
      <c r="E59" s="1262">
        <v>0</v>
      </c>
      <c r="F59" s="1262">
        <f>28409-5297</f>
        <v>23112</v>
      </c>
      <c r="G59" s="1262">
        <f>17319+6040-1889-2668</f>
        <v>18802</v>
      </c>
      <c r="H59" s="1262">
        <f>17319+6294</f>
        <v>23613</v>
      </c>
      <c r="I59" s="1262">
        <f>17320+1415</f>
        <v>18735</v>
      </c>
      <c r="J59" s="1262">
        <f>12990+1061</f>
        <v>14051</v>
      </c>
      <c r="K59" s="2206"/>
      <c r="L59" s="2206"/>
      <c r="M59" s="3366"/>
      <c r="N59" s="3366"/>
      <c r="O59" s="3318"/>
    </row>
    <row r="60" spans="1:17" s="2970" customFormat="1" ht="12.75">
      <c r="A60" s="4054"/>
      <c r="B60" s="2207" t="s">
        <v>18</v>
      </c>
      <c r="C60" s="3506"/>
      <c r="D60" s="2208">
        <f>+D61</f>
        <v>294942</v>
      </c>
      <c r="E60" s="2208">
        <f t="shared" ref="E60" si="46">+E61</f>
        <v>0</v>
      </c>
      <c r="F60" s="2208">
        <f>+F61</f>
        <v>69335</v>
      </c>
      <c r="G60" s="2208">
        <f>+G61</f>
        <v>56409</v>
      </c>
      <c r="H60" s="2208">
        <f>+H61</f>
        <v>70838</v>
      </c>
      <c r="I60" s="2208">
        <f>+I61</f>
        <v>56207</v>
      </c>
      <c r="J60" s="2208">
        <f>+J61</f>
        <v>42153</v>
      </c>
      <c r="K60" s="2209"/>
      <c r="L60" s="2209"/>
      <c r="M60" s="3366"/>
      <c r="N60" s="3366"/>
      <c r="O60" s="3318"/>
    </row>
    <row r="61" spans="1:17" s="2970" customFormat="1" ht="13.5" thickBot="1">
      <c r="A61" s="4055"/>
      <c r="B61" s="663" t="s">
        <v>19</v>
      </c>
      <c r="C61" s="3975"/>
      <c r="D61" s="766">
        <f>E61+F61+G61+H61+I61+J61+K61+L61</f>
        <v>294942</v>
      </c>
      <c r="E61" s="767">
        <v>0</v>
      </c>
      <c r="F61" s="408">
        <f>85229-15894</f>
        <v>69335</v>
      </c>
      <c r="G61" s="408">
        <f>51959+18120-5672-7998</f>
        <v>56409</v>
      </c>
      <c r="H61" s="408">
        <f>51959+18879</f>
        <v>70838</v>
      </c>
      <c r="I61" s="408">
        <f>51958+4249</f>
        <v>56207</v>
      </c>
      <c r="J61" s="408">
        <f>38968+3185</f>
        <v>42153</v>
      </c>
      <c r="K61" s="2185"/>
      <c r="L61" s="2185"/>
      <c r="M61" s="3367"/>
      <c r="N61" s="3367"/>
      <c r="O61" s="3422"/>
    </row>
    <row r="62" spans="1:17" s="2970" customFormat="1" ht="27.75" customHeight="1">
      <c r="A62" s="4053" t="s">
        <v>58</v>
      </c>
      <c r="B62" s="72" t="s">
        <v>558</v>
      </c>
      <c r="C62" s="56" t="s">
        <v>74</v>
      </c>
      <c r="D62" s="2662"/>
      <c r="E62" s="2638"/>
      <c r="F62" s="2638"/>
      <c r="G62" s="2638"/>
      <c r="H62" s="2638"/>
      <c r="I62" s="2638"/>
      <c r="J62" s="2638"/>
      <c r="K62" s="2638"/>
      <c r="L62" s="41"/>
      <c r="M62" s="43"/>
      <c r="N62" s="43"/>
      <c r="O62" s="3317" t="s">
        <v>102</v>
      </c>
    </row>
    <row r="63" spans="1:17" s="2970" customFormat="1" ht="14.25" customHeight="1" thickBot="1">
      <c r="A63" s="4055"/>
      <c r="B63" s="534" t="s">
        <v>10</v>
      </c>
      <c r="C63" s="601"/>
      <c r="D63" s="574">
        <f>+D64+D66</f>
        <v>4335</v>
      </c>
      <c r="E63" s="574">
        <f>+E64+E66</f>
        <v>0</v>
      </c>
      <c r="F63" s="574">
        <f>+F64+F66</f>
        <v>4335</v>
      </c>
      <c r="G63" s="583">
        <v>0</v>
      </c>
      <c r="H63" s="2210">
        <v>0</v>
      </c>
      <c r="I63" s="2210">
        <v>0</v>
      </c>
      <c r="J63" s="2210">
        <v>0</v>
      </c>
      <c r="K63" s="2210">
        <v>0</v>
      </c>
      <c r="L63" s="2210">
        <v>0</v>
      </c>
      <c r="M63" s="2211">
        <f>+M64+M66</f>
        <v>4335</v>
      </c>
      <c r="N63" s="2211">
        <f>+N64+N66</f>
        <v>0</v>
      </c>
      <c r="O63" s="3960"/>
      <c r="P63" s="662" t="s">
        <v>477</v>
      </c>
    </row>
    <row r="64" spans="1:17" s="2970" customFormat="1" ht="13.5" customHeight="1" thickBot="1">
      <c r="A64" s="4055"/>
      <c r="B64" s="654" t="s">
        <v>23</v>
      </c>
      <c r="C64" s="3344" t="s">
        <v>140</v>
      </c>
      <c r="D64" s="2212">
        <f>+D65</f>
        <v>1084</v>
      </c>
      <c r="E64" s="2212">
        <f>+E65</f>
        <v>0</v>
      </c>
      <c r="F64" s="2212">
        <f>+F65</f>
        <v>1084</v>
      </c>
      <c r="G64" s="2213">
        <v>0</v>
      </c>
      <c r="H64" s="1195">
        <v>0</v>
      </c>
      <c r="I64" s="1195">
        <v>0</v>
      </c>
      <c r="J64" s="1195">
        <v>0</v>
      </c>
      <c r="K64" s="1195">
        <v>0</v>
      </c>
      <c r="L64" s="1195">
        <v>0</v>
      </c>
      <c r="M64" s="2214">
        <f>+M65</f>
        <v>1084</v>
      </c>
      <c r="N64" s="2214">
        <f>+N65</f>
        <v>0</v>
      </c>
      <c r="O64" s="3960"/>
      <c r="P64" s="2970" t="s">
        <v>479</v>
      </c>
      <c r="Q64" s="662"/>
    </row>
    <row r="65" spans="1:17" s="2970" customFormat="1" ht="13.5" customHeight="1" thickBot="1">
      <c r="A65" s="4055"/>
      <c r="B65" s="2192" t="s">
        <v>13</v>
      </c>
      <c r="C65" s="3347"/>
      <c r="D65" s="1170">
        <f>E65+F65+G65+H65+I65+J65+K65+L65</f>
        <v>1084</v>
      </c>
      <c r="E65" s="265">
        <v>0</v>
      </c>
      <c r="F65" s="578">
        <f>1889-805</f>
        <v>1084</v>
      </c>
      <c r="G65" s="2213">
        <v>0</v>
      </c>
      <c r="H65" s="1195">
        <v>0</v>
      </c>
      <c r="I65" s="1195">
        <v>0</v>
      </c>
      <c r="J65" s="1195">
        <v>0</v>
      </c>
      <c r="K65" s="1195">
        <v>0</v>
      </c>
      <c r="L65" s="1195">
        <v>0</v>
      </c>
      <c r="M65" s="475">
        <f>SUM(F65:K65)</f>
        <v>1084</v>
      </c>
      <c r="N65" s="475">
        <f>SUM(G65:L65)</f>
        <v>0</v>
      </c>
      <c r="O65" s="3960"/>
    </row>
    <row r="66" spans="1:17" s="1162" customFormat="1" ht="13.5" thickBot="1">
      <c r="A66" s="4059"/>
      <c r="B66" s="542" t="s">
        <v>18</v>
      </c>
      <c r="C66" s="3347"/>
      <c r="D66" s="576">
        <f>+D67</f>
        <v>3251</v>
      </c>
      <c r="E66" s="576">
        <f>+E67</f>
        <v>0</v>
      </c>
      <c r="F66" s="576">
        <f>+F67</f>
        <v>3251</v>
      </c>
      <c r="G66" s="2215">
        <v>0</v>
      </c>
      <c r="H66" s="1195">
        <v>0</v>
      </c>
      <c r="I66" s="1195">
        <v>0</v>
      </c>
      <c r="J66" s="1195">
        <v>0</v>
      </c>
      <c r="K66" s="1195">
        <v>0</v>
      </c>
      <c r="L66" s="1195">
        <v>0</v>
      </c>
      <c r="M66" s="515">
        <f>+M67</f>
        <v>3251</v>
      </c>
      <c r="N66" s="515">
        <f>+N67</f>
        <v>0</v>
      </c>
      <c r="O66" s="4060"/>
      <c r="P66" s="1161"/>
    </row>
    <row r="67" spans="1:17" s="2970" customFormat="1" ht="13.5" thickBot="1">
      <c r="A67" s="4055"/>
      <c r="B67" s="657" t="s">
        <v>19</v>
      </c>
      <c r="C67" s="3348"/>
      <c r="D67" s="1170">
        <f>E67+F67+G67+H67+I67+J67+K67+L67</f>
        <v>3251</v>
      </c>
      <c r="E67" s="265">
        <v>0</v>
      </c>
      <c r="F67" s="2216">
        <f>5672-2421</f>
        <v>3251</v>
      </c>
      <c r="G67" s="2217">
        <v>0</v>
      </c>
      <c r="H67" s="541">
        <v>0</v>
      </c>
      <c r="I67" s="541">
        <v>0</v>
      </c>
      <c r="J67" s="541">
        <v>0</v>
      </c>
      <c r="K67" s="541">
        <v>0</v>
      </c>
      <c r="L67" s="541">
        <v>0</v>
      </c>
      <c r="M67" s="475">
        <f>SUM(F67:K67)</f>
        <v>3251</v>
      </c>
      <c r="N67" s="475">
        <f>SUM(G67:L67)</f>
        <v>0</v>
      </c>
      <c r="O67" s="3960"/>
      <c r="P67" s="662"/>
    </row>
    <row r="68" spans="1:17" s="2970" customFormat="1" ht="13.5" thickBot="1">
      <c r="A68" s="4055"/>
      <c r="B68" s="410" t="s">
        <v>21</v>
      </c>
      <c r="C68" s="601"/>
      <c r="D68" s="573">
        <f>+D69+D71</f>
        <v>4335</v>
      </c>
      <c r="E68" s="573">
        <f>+E69+E71</f>
        <v>0</v>
      </c>
      <c r="F68" s="602">
        <v>0</v>
      </c>
      <c r="G68" s="573">
        <f>+G69+G71</f>
        <v>4335</v>
      </c>
      <c r="H68" s="602">
        <v>0</v>
      </c>
      <c r="I68" s="602">
        <v>0</v>
      </c>
      <c r="J68" s="602">
        <v>0</v>
      </c>
      <c r="K68" s="602">
        <v>0</v>
      </c>
      <c r="L68" s="602">
        <v>0</v>
      </c>
      <c r="M68" s="3511" t="s">
        <v>53</v>
      </c>
      <c r="N68" s="3511" t="s">
        <v>53</v>
      </c>
      <c r="O68" s="3960"/>
      <c r="P68" s="662"/>
    </row>
    <row r="69" spans="1:17" s="1162" customFormat="1" ht="12.75" customHeight="1" thickBot="1">
      <c r="A69" s="4059"/>
      <c r="B69" s="537" t="s">
        <v>23</v>
      </c>
      <c r="C69" s="3344" t="s">
        <v>140</v>
      </c>
      <c r="D69" s="592">
        <f>+D70</f>
        <v>1084</v>
      </c>
      <c r="E69" s="592">
        <f>+E70</f>
        <v>0</v>
      </c>
      <c r="F69" s="2218">
        <v>0</v>
      </c>
      <c r="G69" s="592">
        <f>+G70</f>
        <v>1084</v>
      </c>
      <c r="H69" s="1195">
        <v>0</v>
      </c>
      <c r="I69" s="1195">
        <v>0</v>
      </c>
      <c r="J69" s="1195">
        <v>0</v>
      </c>
      <c r="K69" s="1195">
        <v>0</v>
      </c>
      <c r="L69" s="1195">
        <v>0</v>
      </c>
      <c r="M69" s="3363"/>
      <c r="N69" s="3363"/>
      <c r="O69" s="4060"/>
      <c r="P69" s="1161"/>
    </row>
    <row r="70" spans="1:17" s="2970" customFormat="1" ht="13.5" customHeight="1" thickBot="1">
      <c r="A70" s="4055"/>
      <c r="B70" s="2192" t="s">
        <v>13</v>
      </c>
      <c r="C70" s="3347"/>
      <c r="D70" s="1170">
        <f>E70+F70+G70+H70+I70+J70+K70+L70</f>
        <v>1084</v>
      </c>
      <c r="E70" s="265">
        <v>0</v>
      </c>
      <c r="F70" s="797">
        <v>0</v>
      </c>
      <c r="G70" s="578">
        <f>1889-805</f>
        <v>1084</v>
      </c>
      <c r="H70" s="541">
        <v>0</v>
      </c>
      <c r="I70" s="541">
        <v>0</v>
      </c>
      <c r="J70" s="541">
        <v>0</v>
      </c>
      <c r="K70" s="541">
        <v>0</v>
      </c>
      <c r="L70" s="541">
        <v>0</v>
      </c>
      <c r="M70" s="3363"/>
      <c r="N70" s="3363"/>
      <c r="O70" s="3960"/>
    </row>
    <row r="71" spans="1:17" s="2970" customFormat="1" ht="13.5" customHeight="1" thickBot="1">
      <c r="A71" s="4055"/>
      <c r="B71" s="2207" t="s">
        <v>18</v>
      </c>
      <c r="C71" s="3347"/>
      <c r="D71" s="786">
        <f>+D72</f>
        <v>3251</v>
      </c>
      <c r="E71" s="786">
        <f>+E72</f>
        <v>0</v>
      </c>
      <c r="F71" s="804">
        <v>0</v>
      </c>
      <c r="G71" s="786">
        <f>+G72</f>
        <v>3251</v>
      </c>
      <c r="H71" s="799">
        <v>0</v>
      </c>
      <c r="I71" s="799">
        <v>0</v>
      </c>
      <c r="J71" s="799">
        <v>0</v>
      </c>
      <c r="K71" s="799">
        <v>0</v>
      </c>
      <c r="L71" s="799">
        <v>0</v>
      </c>
      <c r="M71" s="3363"/>
      <c r="N71" s="3363"/>
      <c r="O71" s="3960"/>
    </row>
    <row r="72" spans="1:17" s="2970" customFormat="1" ht="13.5" customHeight="1" thickBot="1">
      <c r="A72" s="4055"/>
      <c r="B72" s="663" t="s">
        <v>19</v>
      </c>
      <c r="C72" s="3391"/>
      <c r="D72" s="1170">
        <f>E72+F72+G72+H72+I72+J72+K72+L72</f>
        <v>3251</v>
      </c>
      <c r="E72" s="265">
        <v>0</v>
      </c>
      <c r="F72" s="2219">
        <v>0</v>
      </c>
      <c r="G72" s="2216">
        <f>5672-2421</f>
        <v>3251</v>
      </c>
      <c r="H72" s="541">
        <v>0</v>
      </c>
      <c r="I72" s="541">
        <v>0</v>
      </c>
      <c r="J72" s="541">
        <v>0</v>
      </c>
      <c r="K72" s="541">
        <v>0</v>
      </c>
      <c r="L72" s="541">
        <v>0</v>
      </c>
      <c r="M72" s="3364"/>
      <c r="N72" s="3364"/>
      <c r="O72" s="3960"/>
      <c r="P72" s="662"/>
    </row>
    <row r="73" spans="1:17" ht="38.25" customHeight="1">
      <c r="A73" s="4037" t="s">
        <v>59</v>
      </c>
      <c r="B73" s="498" t="s">
        <v>734</v>
      </c>
      <c r="C73" s="499" t="s">
        <v>74</v>
      </c>
      <c r="D73" s="2845"/>
      <c r="E73" s="652"/>
      <c r="F73" s="2846"/>
      <c r="G73" s="2846"/>
      <c r="H73" s="2846"/>
      <c r="I73" s="2846"/>
      <c r="J73" s="2846"/>
      <c r="K73" s="2846"/>
      <c r="L73" s="2846"/>
      <c r="M73" s="653"/>
      <c r="N73" s="653"/>
      <c r="O73" s="2847"/>
    </row>
    <row r="74" spans="1:17" ht="15.75" customHeight="1">
      <c r="A74" s="4038"/>
      <c r="B74" s="412" t="s">
        <v>10</v>
      </c>
      <c r="C74" s="426"/>
      <c r="D74" s="574">
        <f>+D75+D78</f>
        <v>52566300</v>
      </c>
      <c r="E74" s="583">
        <f t="shared" ref="E74:L74" si="47">+E75+E78</f>
        <v>0</v>
      </c>
      <c r="F74" s="583">
        <f t="shared" si="47"/>
        <v>0</v>
      </c>
      <c r="G74" s="583">
        <f t="shared" si="47"/>
        <v>0</v>
      </c>
      <c r="H74" s="574">
        <f t="shared" si="47"/>
        <v>15657298</v>
      </c>
      <c r="I74" s="574">
        <f t="shared" si="47"/>
        <v>30313619</v>
      </c>
      <c r="J74" s="574">
        <f t="shared" si="47"/>
        <v>6595383</v>
      </c>
      <c r="K74" s="583">
        <f t="shared" si="47"/>
        <v>0</v>
      </c>
      <c r="L74" s="583">
        <f t="shared" si="47"/>
        <v>0</v>
      </c>
      <c r="M74" s="1346">
        <f>+M75+M78</f>
        <v>44681355</v>
      </c>
      <c r="N74" s="418">
        <f>+N75+N78</f>
        <v>52566300</v>
      </c>
      <c r="O74" s="4035" t="s">
        <v>731</v>
      </c>
      <c r="Q74" s="491"/>
    </row>
    <row r="75" spans="1:17" ht="12.75" customHeight="1">
      <c r="A75" s="4038"/>
      <c r="B75" s="654" t="s">
        <v>23</v>
      </c>
      <c r="C75" s="3344" t="s">
        <v>443</v>
      </c>
      <c r="D75" s="2212">
        <f>+D76+D77</f>
        <v>7884945</v>
      </c>
      <c r="E75" s="2213">
        <f t="shared" ref="E75:L75" si="48">+E76+E77</f>
        <v>0</v>
      </c>
      <c r="F75" s="2213">
        <f t="shared" si="48"/>
        <v>0</v>
      </c>
      <c r="G75" s="2213">
        <f t="shared" si="48"/>
        <v>0</v>
      </c>
      <c r="H75" s="2212">
        <f t="shared" si="48"/>
        <v>2348595</v>
      </c>
      <c r="I75" s="2212">
        <f t="shared" si="48"/>
        <v>4547043</v>
      </c>
      <c r="J75" s="2212">
        <f t="shared" si="48"/>
        <v>989307</v>
      </c>
      <c r="K75" s="2213">
        <f t="shared" si="48"/>
        <v>0</v>
      </c>
      <c r="L75" s="2213">
        <f t="shared" si="48"/>
        <v>0</v>
      </c>
      <c r="M75" s="1289">
        <f>+M76</f>
        <v>0</v>
      </c>
      <c r="N75" s="474">
        <f>+N76+N77</f>
        <v>7884945</v>
      </c>
      <c r="O75" s="4035"/>
    </row>
    <row r="76" spans="1:17" ht="14.25" customHeight="1">
      <c r="A76" s="4038"/>
      <c r="B76" s="655" t="s">
        <v>12</v>
      </c>
      <c r="C76" s="4044"/>
      <c r="D76" s="1170">
        <f>E76+F76+G76+H76+I76+J76+K76+L76</f>
        <v>2628315</v>
      </c>
      <c r="E76" s="2848">
        <v>0</v>
      </c>
      <c r="F76" s="2849">
        <v>0</v>
      </c>
      <c r="G76" s="2849">
        <v>0</v>
      </c>
      <c r="H76" s="1297">
        <v>782865</v>
      </c>
      <c r="I76" s="1297">
        <v>1515681</v>
      </c>
      <c r="J76" s="1297">
        <v>329769</v>
      </c>
      <c r="K76" s="2849">
        <v>0</v>
      </c>
      <c r="L76" s="2849">
        <v>0</v>
      </c>
      <c r="M76" s="2850"/>
      <c r="N76" s="475">
        <f>H76+I76+J76+K76+L76</f>
        <v>2628315</v>
      </c>
      <c r="O76" s="4035"/>
      <c r="P76" s="2851">
        <f>D76+D88</f>
        <v>2628315</v>
      </c>
      <c r="Q76" s="492" t="s">
        <v>383</v>
      </c>
    </row>
    <row r="77" spans="1:17" ht="12.75" customHeight="1">
      <c r="A77" s="4038"/>
      <c r="B77" s="477" t="s">
        <v>17</v>
      </c>
      <c r="C77" s="4044"/>
      <c r="D77" s="1170">
        <f>E77+F77+G77+H77+I77+J77+K77+L77</f>
        <v>5256630</v>
      </c>
      <c r="E77" s="1318">
        <v>0</v>
      </c>
      <c r="F77" s="2849">
        <v>0</v>
      </c>
      <c r="G77" s="2849">
        <v>0</v>
      </c>
      <c r="H77" s="1297">
        <v>1565730</v>
      </c>
      <c r="I77" s="1297">
        <v>3031362</v>
      </c>
      <c r="J77" s="1297">
        <v>659538</v>
      </c>
      <c r="K77" s="2849">
        <v>0</v>
      </c>
      <c r="L77" s="2849">
        <v>0</v>
      </c>
      <c r="M77" s="2850"/>
      <c r="N77" s="475">
        <f>H77+I77+J77+K77+L77</f>
        <v>5256630</v>
      </c>
      <c r="O77" s="4035"/>
      <c r="P77" s="2851">
        <f>D77+D89</f>
        <v>5256630</v>
      </c>
      <c r="Q77" s="492" t="s">
        <v>730</v>
      </c>
    </row>
    <row r="78" spans="1:17" ht="12" customHeight="1">
      <c r="A78" s="4038"/>
      <c r="B78" s="656" t="s">
        <v>18</v>
      </c>
      <c r="C78" s="4044"/>
      <c r="D78" s="576">
        <f>+D79</f>
        <v>44681355</v>
      </c>
      <c r="E78" s="2215">
        <f t="shared" ref="E78:M78" si="49">+E79</f>
        <v>0</v>
      </c>
      <c r="F78" s="2215">
        <f t="shared" si="49"/>
        <v>0</v>
      </c>
      <c r="G78" s="2215">
        <f t="shared" si="49"/>
        <v>0</v>
      </c>
      <c r="H78" s="576">
        <f t="shared" si="49"/>
        <v>13308703</v>
      </c>
      <c r="I78" s="576">
        <f t="shared" si="49"/>
        <v>25766576</v>
      </c>
      <c r="J78" s="576">
        <f t="shared" si="49"/>
        <v>5606076</v>
      </c>
      <c r="K78" s="2215">
        <f t="shared" si="49"/>
        <v>0</v>
      </c>
      <c r="L78" s="2215">
        <f t="shared" si="49"/>
        <v>0</v>
      </c>
      <c r="M78" s="576">
        <f t="shared" si="49"/>
        <v>44681355</v>
      </c>
      <c r="N78" s="474">
        <f t="shared" ref="N78" si="50">+N79</f>
        <v>44681355</v>
      </c>
      <c r="O78" s="4035"/>
    </row>
    <row r="79" spans="1:17" ht="12.75">
      <c r="A79" s="4038"/>
      <c r="B79" s="2852" t="s">
        <v>20</v>
      </c>
      <c r="C79" s="4044"/>
      <c r="D79" s="1170">
        <f>E79+F79+G79+H79+I79+J79+K79+L79</f>
        <v>44681355</v>
      </c>
      <c r="E79" s="2848">
        <v>0</v>
      </c>
      <c r="F79" s="2849">
        <v>0</v>
      </c>
      <c r="G79" s="2849">
        <v>0</v>
      </c>
      <c r="H79" s="1297">
        <v>13308703</v>
      </c>
      <c r="I79" s="1297">
        <v>25766576</v>
      </c>
      <c r="J79" s="1297">
        <v>5606076</v>
      </c>
      <c r="K79" s="2849">
        <v>0</v>
      </c>
      <c r="L79" s="2849">
        <v>0</v>
      </c>
      <c r="M79" s="1302">
        <f>SUM(E79:L79)</f>
        <v>44681355</v>
      </c>
      <c r="N79" s="475">
        <f>H79+I79+J79+K79+L79</f>
        <v>44681355</v>
      </c>
      <c r="O79" s="4056"/>
    </row>
    <row r="80" spans="1:17" ht="15.75" customHeight="1">
      <c r="A80" s="4038"/>
      <c r="B80" s="182" t="s">
        <v>21</v>
      </c>
      <c r="C80" s="426"/>
      <c r="D80" s="573">
        <f>+D81+D83</f>
        <v>49937985</v>
      </c>
      <c r="E80" s="602">
        <f t="shared" ref="E80:L80" si="51">+E81+E83</f>
        <v>0</v>
      </c>
      <c r="F80" s="602">
        <f t="shared" si="51"/>
        <v>0</v>
      </c>
      <c r="G80" s="602">
        <f t="shared" si="51"/>
        <v>0</v>
      </c>
      <c r="H80" s="573">
        <f t="shared" si="51"/>
        <v>14874433</v>
      </c>
      <c r="I80" s="573">
        <f t="shared" si="51"/>
        <v>28797938</v>
      </c>
      <c r="J80" s="573">
        <f t="shared" si="51"/>
        <v>6265614</v>
      </c>
      <c r="K80" s="602">
        <f t="shared" si="51"/>
        <v>0</v>
      </c>
      <c r="L80" s="602">
        <f t="shared" si="51"/>
        <v>0</v>
      </c>
      <c r="M80" s="3501" t="s">
        <v>53</v>
      </c>
      <c r="N80" s="4045" t="s">
        <v>53</v>
      </c>
      <c r="O80" s="4034" t="s">
        <v>732</v>
      </c>
    </row>
    <row r="81" spans="1:17" ht="15.75" customHeight="1">
      <c r="A81" s="4038"/>
      <c r="B81" s="654" t="s">
        <v>23</v>
      </c>
      <c r="C81" s="3436" t="s">
        <v>733</v>
      </c>
      <c r="D81" s="576">
        <f>+D82</f>
        <v>5256630</v>
      </c>
      <c r="E81" s="2215">
        <f t="shared" ref="E81:L81" si="52">+E82</f>
        <v>0</v>
      </c>
      <c r="F81" s="2215">
        <f t="shared" si="52"/>
        <v>0</v>
      </c>
      <c r="G81" s="2215">
        <f t="shared" si="52"/>
        <v>0</v>
      </c>
      <c r="H81" s="576">
        <f t="shared" si="52"/>
        <v>1565730</v>
      </c>
      <c r="I81" s="576">
        <f t="shared" si="52"/>
        <v>3031362</v>
      </c>
      <c r="J81" s="576">
        <f t="shared" si="52"/>
        <v>659538</v>
      </c>
      <c r="K81" s="2215">
        <f t="shared" si="52"/>
        <v>0</v>
      </c>
      <c r="L81" s="2218">
        <f t="shared" si="52"/>
        <v>0</v>
      </c>
      <c r="M81" s="3502"/>
      <c r="N81" s="3366"/>
      <c r="O81" s="4035"/>
    </row>
    <row r="82" spans="1:17" ht="15.75" customHeight="1">
      <c r="A82" s="4038"/>
      <c r="B82" s="477" t="s">
        <v>17</v>
      </c>
      <c r="C82" s="3506"/>
      <c r="D82" s="2854">
        <f>E82+F82+G82+H82+I82+J82+K82+L82</f>
        <v>5256630</v>
      </c>
      <c r="E82" s="2855">
        <v>0</v>
      </c>
      <c r="F82" s="2856">
        <v>0</v>
      </c>
      <c r="G82" s="2856">
        <v>0</v>
      </c>
      <c r="H82" s="1297">
        <v>1565730</v>
      </c>
      <c r="I82" s="1297">
        <v>3031362</v>
      </c>
      <c r="J82" s="1297">
        <v>659538</v>
      </c>
      <c r="K82" s="2856">
        <v>0</v>
      </c>
      <c r="L82" s="2856">
        <v>0</v>
      </c>
      <c r="M82" s="3502"/>
      <c r="N82" s="3366"/>
      <c r="O82" s="4035"/>
    </row>
    <row r="83" spans="1:17" ht="14.25" customHeight="1">
      <c r="A83" s="4038"/>
      <c r="B83" s="656" t="s">
        <v>18</v>
      </c>
      <c r="C83" s="3506"/>
      <c r="D83" s="786">
        <f>+D84</f>
        <v>44681355</v>
      </c>
      <c r="E83" s="804">
        <f t="shared" ref="E83:L83" si="53">+E84</f>
        <v>0</v>
      </c>
      <c r="F83" s="804">
        <f t="shared" si="53"/>
        <v>0</v>
      </c>
      <c r="G83" s="804">
        <f t="shared" si="53"/>
        <v>0</v>
      </c>
      <c r="H83" s="786">
        <f t="shared" si="53"/>
        <v>13308703</v>
      </c>
      <c r="I83" s="786">
        <f t="shared" si="53"/>
        <v>25766576</v>
      </c>
      <c r="J83" s="786">
        <f t="shared" si="53"/>
        <v>5606076</v>
      </c>
      <c r="K83" s="804">
        <f t="shared" si="53"/>
        <v>0</v>
      </c>
      <c r="L83" s="804">
        <f t="shared" si="53"/>
        <v>0</v>
      </c>
      <c r="M83" s="3502"/>
      <c r="N83" s="3366"/>
      <c r="O83" s="4035"/>
    </row>
    <row r="84" spans="1:17" ht="13.5" thickBot="1">
      <c r="A84" s="4039"/>
      <c r="B84" s="2857" t="s">
        <v>20</v>
      </c>
      <c r="C84" s="3975"/>
      <c r="D84" s="1170">
        <f>E84+F84+G84+H84+I84+J84+K84+L84</f>
        <v>44681355</v>
      </c>
      <c r="E84" s="805">
        <v>0</v>
      </c>
      <c r="F84" s="510">
        <v>0</v>
      </c>
      <c r="G84" s="510">
        <v>0</v>
      </c>
      <c r="H84" s="1297">
        <v>13308703</v>
      </c>
      <c r="I84" s="1297">
        <v>25766576</v>
      </c>
      <c r="J84" s="1297">
        <v>5606076</v>
      </c>
      <c r="K84" s="510">
        <v>0</v>
      </c>
      <c r="L84" s="510">
        <v>0</v>
      </c>
      <c r="M84" s="3367"/>
      <c r="N84" s="3367"/>
      <c r="O84" s="4036"/>
    </row>
    <row r="85" spans="1:17" ht="42" hidden="1" customHeight="1">
      <c r="A85" s="4037" t="s">
        <v>56</v>
      </c>
      <c r="B85" s="498" t="s">
        <v>727</v>
      </c>
      <c r="C85" s="499" t="s">
        <v>101</v>
      </c>
      <c r="D85" s="2845"/>
      <c r="E85" s="652"/>
      <c r="F85" s="2846"/>
      <c r="G85" s="2846"/>
      <c r="H85" s="2846"/>
      <c r="I85" s="2846"/>
      <c r="J85" s="2846"/>
      <c r="K85" s="2846"/>
      <c r="L85" s="2846"/>
      <c r="M85" s="653"/>
      <c r="N85" s="653"/>
      <c r="O85" s="4040"/>
    </row>
    <row r="86" spans="1:17" ht="15.75" hidden="1" customHeight="1">
      <c r="A86" s="4038"/>
      <c r="B86" s="412" t="s">
        <v>10</v>
      </c>
      <c r="C86" s="426"/>
      <c r="D86" s="574">
        <f>+D87+D90</f>
        <v>0</v>
      </c>
      <c r="E86" s="574">
        <f t="shared" ref="E86:L86" si="54">+E87+E90</f>
        <v>0</v>
      </c>
      <c r="F86" s="574">
        <f t="shared" si="54"/>
        <v>0</v>
      </c>
      <c r="G86" s="574">
        <f t="shared" si="54"/>
        <v>0</v>
      </c>
      <c r="H86" s="574">
        <f t="shared" si="54"/>
        <v>0</v>
      </c>
      <c r="I86" s="574">
        <f t="shared" si="54"/>
        <v>0</v>
      </c>
      <c r="J86" s="574">
        <f t="shared" si="54"/>
        <v>0</v>
      </c>
      <c r="K86" s="574">
        <f t="shared" si="54"/>
        <v>0</v>
      </c>
      <c r="L86" s="574">
        <f t="shared" si="54"/>
        <v>0</v>
      </c>
      <c r="M86" s="1346">
        <f>+M87+M90</f>
        <v>0</v>
      </c>
      <c r="N86" s="418">
        <f>+N87+N90</f>
        <v>0</v>
      </c>
      <c r="O86" s="4041"/>
      <c r="Q86" s="491"/>
    </row>
    <row r="87" spans="1:17" ht="12.75" hidden="1" customHeight="1">
      <c r="A87" s="4038"/>
      <c r="B87" s="654" t="s">
        <v>23</v>
      </c>
      <c r="C87" s="3344" t="s">
        <v>729</v>
      </c>
      <c r="D87" s="2212">
        <f>+D88+D89</f>
        <v>0</v>
      </c>
      <c r="E87" s="2212">
        <f t="shared" ref="E87" si="55">+E88+E89</f>
        <v>0</v>
      </c>
      <c r="F87" s="2212">
        <f t="shared" ref="F87" si="56">+F88+F89</f>
        <v>0</v>
      </c>
      <c r="G87" s="2212">
        <f t="shared" ref="G87" si="57">+G88+G89</f>
        <v>0</v>
      </c>
      <c r="H87" s="2212">
        <f t="shared" ref="H87" si="58">+H88+H89</f>
        <v>0</v>
      </c>
      <c r="I87" s="2212">
        <f t="shared" ref="I87" si="59">+I88+I89</f>
        <v>0</v>
      </c>
      <c r="J87" s="2212">
        <f t="shared" ref="J87" si="60">+J88+J89</f>
        <v>0</v>
      </c>
      <c r="K87" s="2212">
        <f t="shared" ref="K87" si="61">+K88+K89</f>
        <v>0</v>
      </c>
      <c r="L87" s="2212">
        <f t="shared" ref="L87" si="62">+L88+L89</f>
        <v>0</v>
      </c>
      <c r="M87" s="1289">
        <f>+M88</f>
        <v>0</v>
      </c>
      <c r="N87" s="474">
        <f>+N88</f>
        <v>0</v>
      </c>
      <c r="O87" s="4042"/>
    </row>
    <row r="88" spans="1:17" ht="12.75" hidden="1" customHeight="1">
      <c r="A88" s="4038"/>
      <c r="B88" s="655" t="s">
        <v>12</v>
      </c>
      <c r="C88" s="4044"/>
      <c r="D88" s="2854">
        <f>E88+F88+G88+H88+I88+J88+K88+L88</f>
        <v>0</v>
      </c>
      <c r="E88" s="2858">
        <v>0</v>
      </c>
      <c r="F88" s="1297">
        <v>0</v>
      </c>
      <c r="G88" s="1297">
        <f>0</f>
        <v>0</v>
      </c>
      <c r="H88" s="1297"/>
      <c r="I88" s="1297"/>
      <c r="J88" s="1297"/>
      <c r="K88" s="1297"/>
      <c r="L88" s="1297"/>
      <c r="M88" s="2850"/>
      <c r="N88" s="475">
        <f>SUM(G88:M88)</f>
        <v>0</v>
      </c>
      <c r="O88" s="4042"/>
    </row>
    <row r="89" spans="1:17" ht="12.75" hidden="1" customHeight="1">
      <c r="A89" s="4038"/>
      <c r="B89" s="477" t="s">
        <v>17</v>
      </c>
      <c r="C89" s="4044"/>
      <c r="D89" s="2854">
        <f>E89+F89+G89+H89+I89+J89+K89+L89</f>
        <v>0</v>
      </c>
      <c r="E89" s="1319">
        <v>0</v>
      </c>
      <c r="F89" s="1297">
        <v>0</v>
      </c>
      <c r="G89" s="1297">
        <v>0</v>
      </c>
      <c r="H89" s="1297"/>
      <c r="I89" s="1297"/>
      <c r="J89" s="1297"/>
      <c r="K89" s="1297"/>
      <c r="L89" s="1297"/>
      <c r="M89" s="2850"/>
      <c r="N89" s="475">
        <f>SUM(G89:M89)</f>
        <v>0</v>
      </c>
      <c r="O89" s="4042"/>
    </row>
    <row r="90" spans="1:17" ht="12" hidden="1" customHeight="1">
      <c r="A90" s="4038"/>
      <c r="B90" s="656" t="s">
        <v>18</v>
      </c>
      <c r="C90" s="4044"/>
      <c r="D90" s="576">
        <f>+D91</f>
        <v>0</v>
      </c>
      <c r="E90" s="2176">
        <v>0</v>
      </c>
      <c r="F90" s="2176">
        <v>0</v>
      </c>
      <c r="G90" s="2176">
        <v>0</v>
      </c>
      <c r="H90" s="2176">
        <v>0</v>
      </c>
      <c r="I90" s="2176">
        <v>0</v>
      </c>
      <c r="J90" s="2176">
        <v>0</v>
      </c>
      <c r="K90" s="2176">
        <v>0</v>
      </c>
      <c r="L90" s="2176">
        <v>0</v>
      </c>
      <c r="M90" s="1289">
        <f t="shared" ref="M90:N90" si="63">+M91</f>
        <v>0</v>
      </c>
      <c r="N90" s="474">
        <f t="shared" si="63"/>
        <v>0</v>
      </c>
      <c r="O90" s="4042"/>
    </row>
    <row r="91" spans="1:17" ht="12.75" hidden="1">
      <c r="A91" s="4038"/>
      <c r="B91" s="2852" t="s">
        <v>20</v>
      </c>
      <c r="C91" s="4044"/>
      <c r="D91" s="2854">
        <f>E91+F91+G91+H91+I91+J91+K91+L91</f>
        <v>0</v>
      </c>
      <c r="E91" s="2858"/>
      <c r="F91" s="1297"/>
      <c r="G91" s="1297"/>
      <c r="H91" s="1297"/>
      <c r="I91" s="1297"/>
      <c r="J91" s="1297"/>
      <c r="K91" s="1297"/>
      <c r="L91" s="1297"/>
      <c r="M91" s="1302">
        <f>SUM(E91:H91)</f>
        <v>0</v>
      </c>
      <c r="N91" s="475">
        <f>SUM(F91:I91)</f>
        <v>0</v>
      </c>
      <c r="O91" s="4042"/>
    </row>
    <row r="92" spans="1:17" ht="15.75" hidden="1" customHeight="1">
      <c r="A92" s="4038"/>
      <c r="B92" s="182" t="s">
        <v>21</v>
      </c>
      <c r="C92" s="426"/>
      <c r="D92" s="573">
        <f>+D93+D95</f>
        <v>0</v>
      </c>
      <c r="E92" s="573">
        <f t="shared" ref="E92:L92" si="64">+E93+E95</f>
        <v>0</v>
      </c>
      <c r="F92" s="573">
        <f t="shared" si="64"/>
        <v>0</v>
      </c>
      <c r="G92" s="573">
        <f t="shared" si="64"/>
        <v>0</v>
      </c>
      <c r="H92" s="573">
        <f t="shared" si="64"/>
        <v>0</v>
      </c>
      <c r="I92" s="573">
        <f t="shared" si="64"/>
        <v>0</v>
      </c>
      <c r="J92" s="573">
        <f t="shared" si="64"/>
        <v>0</v>
      </c>
      <c r="K92" s="573">
        <f t="shared" si="64"/>
        <v>0</v>
      </c>
      <c r="L92" s="573">
        <f t="shared" si="64"/>
        <v>0</v>
      </c>
      <c r="M92" s="3501" t="s">
        <v>53</v>
      </c>
      <c r="N92" s="4045" t="s">
        <v>53</v>
      </c>
      <c r="O92" s="4042"/>
    </row>
    <row r="93" spans="1:17" ht="15.75" hidden="1" customHeight="1">
      <c r="A93" s="4038"/>
      <c r="B93" s="654" t="s">
        <v>23</v>
      </c>
      <c r="C93" s="2853"/>
      <c r="D93" s="592">
        <f>+D94</f>
        <v>0</v>
      </c>
      <c r="E93" s="592">
        <f t="shared" ref="E93:L93" si="65">+E94</f>
        <v>0</v>
      </c>
      <c r="F93" s="592">
        <f t="shared" si="65"/>
        <v>0</v>
      </c>
      <c r="G93" s="592">
        <f t="shared" si="65"/>
        <v>0</v>
      </c>
      <c r="H93" s="592">
        <f t="shared" si="65"/>
        <v>0</v>
      </c>
      <c r="I93" s="592">
        <f t="shared" si="65"/>
        <v>0</v>
      </c>
      <c r="J93" s="592">
        <f t="shared" si="65"/>
        <v>0</v>
      </c>
      <c r="K93" s="592">
        <f t="shared" si="65"/>
        <v>0</v>
      </c>
      <c r="L93" s="592">
        <f t="shared" si="65"/>
        <v>0</v>
      </c>
      <c r="M93" s="3502"/>
      <c r="N93" s="3366"/>
      <c r="O93" s="4042"/>
    </row>
    <row r="94" spans="1:17" ht="12" hidden="1">
      <c r="A94" s="4038"/>
      <c r="B94" s="477" t="s">
        <v>17</v>
      </c>
      <c r="C94" s="2853"/>
      <c r="D94" s="1170">
        <f>E94+F94+G94+H94+I94+J94+K94+L94</f>
        <v>0</v>
      </c>
      <c r="E94" s="2859">
        <v>0</v>
      </c>
      <c r="F94" s="2860">
        <v>0</v>
      </c>
      <c r="G94" s="2860">
        <v>0</v>
      </c>
      <c r="H94" s="1297"/>
      <c r="I94" s="1297"/>
      <c r="J94" s="1297"/>
      <c r="K94" s="2861"/>
      <c r="L94" s="2861"/>
      <c r="M94" s="3502"/>
      <c r="N94" s="3366"/>
      <c r="O94" s="4042"/>
    </row>
    <row r="95" spans="1:17" ht="12" hidden="1" customHeight="1">
      <c r="A95" s="4038"/>
      <c r="B95" s="656" t="s">
        <v>18</v>
      </c>
      <c r="C95" s="3410" t="s">
        <v>728</v>
      </c>
      <c r="D95" s="786">
        <f>+D96</f>
        <v>0</v>
      </c>
      <c r="E95" s="501">
        <v>0</v>
      </c>
      <c r="F95" s="501"/>
      <c r="G95" s="501"/>
      <c r="H95" s="501"/>
      <c r="I95" s="501"/>
      <c r="J95" s="501"/>
      <c r="K95" s="501"/>
      <c r="L95" s="501"/>
      <c r="M95" s="3366"/>
      <c r="N95" s="3366"/>
      <c r="O95" s="4042"/>
    </row>
    <row r="96" spans="1:17" ht="13.5" hidden="1" thickBot="1">
      <c r="A96" s="4039"/>
      <c r="B96" s="2857" t="s">
        <v>20</v>
      </c>
      <c r="C96" s="4046"/>
      <c r="D96" s="1170">
        <f>E96+F96+G96+H96+I96+J96+K96+L96</f>
        <v>0</v>
      </c>
      <c r="E96" s="408"/>
      <c r="F96" s="2862"/>
      <c r="G96" s="2862"/>
      <c r="H96" s="2862"/>
      <c r="I96" s="2862"/>
      <c r="J96" s="2862"/>
      <c r="K96" s="2862"/>
      <c r="L96" s="2862"/>
      <c r="M96" s="3367"/>
      <c r="N96" s="3367"/>
      <c r="O96" s="4043"/>
    </row>
    <row r="97" spans="1:17" ht="28.5" customHeight="1" thickBot="1">
      <c r="A97" s="186" t="s">
        <v>260</v>
      </c>
      <c r="B97" s="618"/>
      <c r="C97" s="618"/>
      <c r="D97" s="618"/>
      <c r="E97" s="618"/>
      <c r="F97" s="618"/>
      <c r="G97" s="618"/>
      <c r="H97" s="618"/>
      <c r="I97" s="618"/>
      <c r="J97" s="618"/>
      <c r="K97" s="618"/>
      <c r="L97" s="618"/>
      <c r="M97" s="619"/>
      <c r="N97" s="619"/>
      <c r="O97" s="2556"/>
    </row>
    <row r="98" spans="1:17" ht="15.75" customHeight="1">
      <c r="A98" s="530"/>
      <c r="B98" s="213" t="s">
        <v>68</v>
      </c>
      <c r="C98" s="214"/>
      <c r="D98" s="215">
        <f>+D99+D100</f>
        <v>312355</v>
      </c>
      <c r="E98" s="215">
        <v>24302</v>
      </c>
      <c r="F98" s="215">
        <f t="shared" ref="F98" si="66">+F99+F100</f>
        <v>54161</v>
      </c>
      <c r="G98" s="215">
        <f t="shared" ref="G98:N98" si="67">+G99+G100</f>
        <v>164370</v>
      </c>
      <c r="H98" s="215">
        <f t="shared" si="67"/>
        <v>69522</v>
      </c>
      <c r="I98" s="215">
        <f t="shared" si="67"/>
        <v>0</v>
      </c>
      <c r="J98" s="215">
        <f t="shared" si="67"/>
        <v>0</v>
      </c>
      <c r="K98" s="215">
        <f t="shared" si="67"/>
        <v>0</v>
      </c>
      <c r="L98" s="215">
        <f t="shared" si="67"/>
        <v>0</v>
      </c>
      <c r="M98" s="145">
        <f t="shared" ref="M98" si="68">+M99+M100</f>
        <v>288053</v>
      </c>
      <c r="N98" s="2401">
        <f t="shared" si="67"/>
        <v>233892</v>
      </c>
      <c r="O98" s="4061" t="s">
        <v>53</v>
      </c>
    </row>
    <row r="99" spans="1:17" ht="16.5" customHeight="1">
      <c r="A99" s="530"/>
      <c r="B99" s="205" t="s">
        <v>69</v>
      </c>
      <c r="C99" s="206"/>
      <c r="D99" s="207">
        <f>+D109+D113</f>
        <v>312355</v>
      </c>
      <c r="E99" s="207">
        <v>24302</v>
      </c>
      <c r="F99" s="207">
        <f t="shared" ref="F99:L99" si="69">+F109+F113</f>
        <v>54161</v>
      </c>
      <c r="G99" s="207">
        <f t="shared" si="69"/>
        <v>164370</v>
      </c>
      <c r="H99" s="207">
        <f t="shared" si="69"/>
        <v>69522</v>
      </c>
      <c r="I99" s="207">
        <f t="shared" si="69"/>
        <v>0</v>
      </c>
      <c r="J99" s="207">
        <f t="shared" si="69"/>
        <v>0</v>
      </c>
      <c r="K99" s="207">
        <f t="shared" si="69"/>
        <v>0</v>
      </c>
      <c r="L99" s="207">
        <f t="shared" si="69"/>
        <v>0</v>
      </c>
      <c r="M99" s="828">
        <f>SUM(F99:K99)</f>
        <v>288053</v>
      </c>
      <c r="N99" s="1650">
        <f>SUM(G99:L99)</f>
        <v>233892</v>
      </c>
      <c r="O99" s="4062"/>
    </row>
    <row r="100" spans="1:17" ht="12.75" thickBot="1">
      <c r="A100" s="530"/>
      <c r="B100" s="664" t="s">
        <v>9</v>
      </c>
      <c r="C100" s="206"/>
      <c r="D100" s="207"/>
      <c r="E100" s="207"/>
      <c r="F100" s="207"/>
      <c r="G100" s="334"/>
      <c r="H100" s="334"/>
      <c r="I100" s="334"/>
      <c r="J100" s="334"/>
      <c r="K100" s="334"/>
      <c r="L100" s="334"/>
      <c r="M100" s="147">
        <f>SUM(F100:H100)</f>
        <v>0</v>
      </c>
      <c r="N100" s="1649">
        <f>SUM(G100:I100)</f>
        <v>0</v>
      </c>
      <c r="O100" s="4062"/>
    </row>
    <row r="101" spans="1:17" ht="15.75" customHeight="1">
      <c r="A101" s="335"/>
      <c r="B101" s="176" t="s">
        <v>10</v>
      </c>
      <c r="C101" s="177"/>
      <c r="D101" s="151">
        <f>+D102</f>
        <v>312355</v>
      </c>
      <c r="E101" s="151">
        <v>24302</v>
      </c>
      <c r="F101" s="151">
        <f t="shared" ref="F101:L102" si="70">+F102</f>
        <v>54161</v>
      </c>
      <c r="G101" s="151">
        <f t="shared" si="70"/>
        <v>164370</v>
      </c>
      <c r="H101" s="151">
        <f t="shared" si="70"/>
        <v>69522</v>
      </c>
      <c r="I101" s="151">
        <f t="shared" si="70"/>
        <v>0</v>
      </c>
      <c r="J101" s="151">
        <f t="shared" si="70"/>
        <v>0</v>
      </c>
      <c r="K101" s="151">
        <f t="shared" si="70"/>
        <v>0</v>
      </c>
      <c r="L101" s="151">
        <f t="shared" si="70"/>
        <v>0</v>
      </c>
      <c r="M101" s="336">
        <f>+M102</f>
        <v>288053</v>
      </c>
      <c r="N101" s="2434">
        <f>+N102</f>
        <v>233892</v>
      </c>
      <c r="O101" s="4062"/>
    </row>
    <row r="102" spans="1:17" ht="15" customHeight="1">
      <c r="A102" s="190"/>
      <c r="B102" s="152" t="s">
        <v>11</v>
      </c>
      <c r="C102" s="3741" t="s">
        <v>53</v>
      </c>
      <c r="D102" s="505">
        <f>+D103+D104</f>
        <v>312355</v>
      </c>
      <c r="E102" s="505">
        <v>24302</v>
      </c>
      <c r="F102" s="505">
        <f t="shared" si="70"/>
        <v>54161</v>
      </c>
      <c r="G102" s="505">
        <f t="shared" si="70"/>
        <v>164370</v>
      </c>
      <c r="H102" s="505">
        <f t="shared" si="70"/>
        <v>69522</v>
      </c>
      <c r="I102" s="505">
        <f t="shared" si="70"/>
        <v>0</v>
      </c>
      <c r="J102" s="505">
        <f t="shared" si="70"/>
        <v>0</v>
      </c>
      <c r="K102" s="505">
        <f t="shared" si="70"/>
        <v>0</v>
      </c>
      <c r="L102" s="505">
        <f t="shared" si="70"/>
        <v>0</v>
      </c>
      <c r="M102" s="506">
        <f>+M103+M104</f>
        <v>288053</v>
      </c>
      <c r="N102" s="2546">
        <f>+N103+N104</f>
        <v>233892</v>
      </c>
      <c r="O102" s="4062"/>
    </row>
    <row r="103" spans="1:17" ht="15" customHeight="1" thickBot="1">
      <c r="A103" s="623"/>
      <c r="B103" s="155" t="s">
        <v>12</v>
      </c>
      <c r="C103" s="3742"/>
      <c r="D103" s="507">
        <f>+D111+D115</f>
        <v>312355</v>
      </c>
      <c r="E103" s="507">
        <f t="shared" ref="E103:L103" si="71">+E111+E115</f>
        <v>24302</v>
      </c>
      <c r="F103" s="507">
        <f t="shared" si="71"/>
        <v>54161</v>
      </c>
      <c r="G103" s="507">
        <f t="shared" si="71"/>
        <v>164370</v>
      </c>
      <c r="H103" s="507">
        <f t="shared" si="71"/>
        <v>69522</v>
      </c>
      <c r="I103" s="507">
        <f t="shared" si="71"/>
        <v>0</v>
      </c>
      <c r="J103" s="507">
        <f t="shared" si="71"/>
        <v>0</v>
      </c>
      <c r="K103" s="507">
        <f t="shared" si="71"/>
        <v>0</v>
      </c>
      <c r="L103" s="507">
        <f t="shared" si="71"/>
        <v>0</v>
      </c>
      <c r="M103" s="475">
        <f>SUM(F103:K103)</f>
        <v>288053</v>
      </c>
      <c r="N103" s="2547">
        <f>SUM(G103:L103)</f>
        <v>233892</v>
      </c>
      <c r="O103" s="4062"/>
    </row>
    <row r="104" spans="1:17" ht="12.75" hidden="1" customHeight="1" thickBot="1">
      <c r="A104" s="623"/>
      <c r="B104" s="155" t="s">
        <v>14</v>
      </c>
      <c r="C104" s="4063"/>
      <c r="D104" s="507">
        <f>+D123</f>
        <v>0</v>
      </c>
      <c r="E104" s="1112">
        <v>0</v>
      </c>
      <c r="F104" s="507">
        <f t="shared" ref="F104:I104" si="72">+F123</f>
        <v>0</v>
      </c>
      <c r="G104" s="507">
        <f t="shared" si="72"/>
        <v>0</v>
      </c>
      <c r="H104" s="507">
        <f t="shared" si="72"/>
        <v>0</v>
      </c>
      <c r="I104" s="507">
        <f t="shared" si="72"/>
        <v>0</v>
      </c>
      <c r="J104" s="507"/>
      <c r="K104" s="507"/>
      <c r="L104" s="507"/>
      <c r="M104" s="419">
        <f>SUM(E104:K104)</f>
        <v>0</v>
      </c>
      <c r="N104" s="2548">
        <f>SUM(F104:L104)</f>
        <v>0</v>
      </c>
      <c r="O104" s="3737"/>
    </row>
    <row r="105" spans="1:17" ht="12" hidden="1" customHeight="1">
      <c r="A105" s="335"/>
      <c r="B105" s="80" t="s">
        <v>21</v>
      </c>
      <c r="C105" s="88"/>
      <c r="D105" s="189">
        <f>+D106</f>
        <v>0</v>
      </c>
      <c r="E105" s="1113">
        <v>0</v>
      </c>
      <c r="F105" s="189">
        <f t="shared" ref="F105:I106" si="73">+F106</f>
        <v>0</v>
      </c>
      <c r="G105" s="189">
        <f t="shared" si="73"/>
        <v>0</v>
      </c>
      <c r="H105" s="189">
        <f t="shared" si="73"/>
        <v>0</v>
      </c>
      <c r="I105" s="189">
        <f t="shared" si="73"/>
        <v>0</v>
      </c>
      <c r="J105" s="189"/>
      <c r="K105" s="189"/>
      <c r="L105" s="189"/>
      <c r="M105" s="3837" t="s">
        <v>53</v>
      </c>
      <c r="N105" s="3838" t="s">
        <v>53</v>
      </c>
      <c r="O105" s="3738"/>
    </row>
    <row r="106" spans="1:17" ht="12" hidden="1" customHeight="1">
      <c r="A106" s="335"/>
      <c r="B106" s="152" t="s">
        <v>11</v>
      </c>
      <c r="C106" s="3741" t="s">
        <v>53</v>
      </c>
      <c r="D106" s="505">
        <f>+D107</f>
        <v>0</v>
      </c>
      <c r="E106" s="1111">
        <v>0</v>
      </c>
      <c r="F106" s="505">
        <f t="shared" si="73"/>
        <v>0</v>
      </c>
      <c r="G106" s="505">
        <f t="shared" si="73"/>
        <v>0</v>
      </c>
      <c r="H106" s="505">
        <f t="shared" si="73"/>
        <v>0</v>
      </c>
      <c r="I106" s="505">
        <f t="shared" si="73"/>
        <v>0</v>
      </c>
      <c r="J106" s="505"/>
      <c r="K106" s="505"/>
      <c r="L106" s="505"/>
      <c r="M106" s="3654"/>
      <c r="N106" s="3656"/>
      <c r="O106" s="3738"/>
    </row>
    <row r="107" spans="1:17" ht="12.75" hidden="1" customHeight="1" thickBot="1">
      <c r="A107" s="623"/>
      <c r="B107" s="2630" t="s">
        <v>14</v>
      </c>
      <c r="C107" s="3742"/>
      <c r="D107" s="2631">
        <f>+D126</f>
        <v>0</v>
      </c>
      <c r="E107" s="2632">
        <v>0</v>
      </c>
      <c r="F107" s="2631">
        <f t="shared" ref="F107:I107" si="74">+F126</f>
        <v>0</v>
      </c>
      <c r="G107" s="2631">
        <f t="shared" si="74"/>
        <v>0</v>
      </c>
      <c r="H107" s="2631">
        <f t="shared" si="74"/>
        <v>0</v>
      </c>
      <c r="I107" s="2631">
        <f t="shared" si="74"/>
        <v>0</v>
      </c>
      <c r="J107" s="342"/>
      <c r="K107" s="342"/>
      <c r="L107" s="342"/>
      <c r="M107" s="3654"/>
      <c r="N107" s="3656"/>
      <c r="O107" s="3736"/>
    </row>
    <row r="108" spans="1:17" ht="18" customHeight="1" thickBot="1">
      <c r="A108" s="3732" t="s">
        <v>55</v>
      </c>
      <c r="B108" s="343" t="s">
        <v>560</v>
      </c>
      <c r="C108" s="499" t="s">
        <v>101</v>
      </c>
      <c r="D108" s="665"/>
      <c r="E108" s="1114"/>
      <c r="F108" s="666"/>
      <c r="G108" s="666"/>
      <c r="H108" s="666"/>
      <c r="I108" s="666"/>
      <c r="J108" s="666"/>
      <c r="K108" s="666"/>
      <c r="L108" s="666"/>
      <c r="M108" s="317"/>
      <c r="N108" s="317"/>
      <c r="O108" s="4049" t="s">
        <v>325</v>
      </c>
    </row>
    <row r="109" spans="1:17" ht="17.25" customHeight="1" thickBot="1">
      <c r="A109" s="3732"/>
      <c r="B109" s="80" t="s">
        <v>10</v>
      </c>
      <c r="C109" s="2488"/>
      <c r="D109" s="1253">
        <f>+D110</f>
        <v>103580</v>
      </c>
      <c r="E109" s="1253">
        <f t="shared" ref="E109:N110" si="75">+E110</f>
        <v>24302</v>
      </c>
      <c r="F109" s="1253">
        <f t="shared" si="75"/>
        <v>26855</v>
      </c>
      <c r="G109" s="1253">
        <f t="shared" si="75"/>
        <v>26856</v>
      </c>
      <c r="H109" s="1253">
        <f t="shared" si="75"/>
        <v>25567</v>
      </c>
      <c r="I109" s="2489">
        <v>0</v>
      </c>
      <c r="J109" s="2489">
        <v>0</v>
      </c>
      <c r="K109" s="2489">
        <v>0</v>
      </c>
      <c r="L109" s="2489">
        <v>0</v>
      </c>
      <c r="M109" s="1279">
        <f t="shared" si="75"/>
        <v>79278</v>
      </c>
      <c r="N109" s="2536">
        <f t="shared" si="75"/>
        <v>52423</v>
      </c>
      <c r="O109" s="4049"/>
    </row>
    <row r="110" spans="1:17" ht="15.75" customHeight="1" thickBot="1">
      <c r="A110" s="3732"/>
      <c r="B110" s="2111" t="s">
        <v>23</v>
      </c>
      <c r="C110" s="4052" t="s">
        <v>261</v>
      </c>
      <c r="D110" s="2490">
        <f>+D111</f>
        <v>103580</v>
      </c>
      <c r="E110" s="2490">
        <f t="shared" si="75"/>
        <v>24302</v>
      </c>
      <c r="F110" s="2490">
        <f t="shared" si="75"/>
        <v>26855</v>
      </c>
      <c r="G110" s="2490">
        <f t="shared" si="75"/>
        <v>26856</v>
      </c>
      <c r="H110" s="2490">
        <f t="shared" si="75"/>
        <v>25567</v>
      </c>
      <c r="I110" s="2491">
        <v>0</v>
      </c>
      <c r="J110" s="2491">
        <v>0</v>
      </c>
      <c r="K110" s="2491">
        <v>0</v>
      </c>
      <c r="L110" s="2491">
        <v>0</v>
      </c>
      <c r="M110" s="1651">
        <f t="shared" si="75"/>
        <v>79278</v>
      </c>
      <c r="N110" s="2633">
        <f t="shared" si="75"/>
        <v>52423</v>
      </c>
      <c r="O110" s="4049"/>
    </row>
    <row r="111" spans="1:17" ht="15" customHeight="1" thickBot="1">
      <c r="A111" s="3732"/>
      <c r="B111" s="509" t="s">
        <v>12</v>
      </c>
      <c r="C111" s="3755"/>
      <c r="D111" s="1570">
        <f>E111+F111+G111+H111+I111+J111+K111+L111</f>
        <v>103580</v>
      </c>
      <c r="E111" s="1955">
        <v>24302</v>
      </c>
      <c r="F111" s="1383">
        <v>26855</v>
      </c>
      <c r="G111" s="1383">
        <v>26856</v>
      </c>
      <c r="H111" s="1383">
        <v>25567</v>
      </c>
      <c r="I111" s="1592">
        <v>0</v>
      </c>
      <c r="J111" s="1592">
        <v>0</v>
      </c>
      <c r="K111" s="1592">
        <v>0</v>
      </c>
      <c r="L111" s="1592">
        <v>0</v>
      </c>
      <c r="M111" s="2119">
        <f>SUM(F111:K111)</f>
        <v>79278</v>
      </c>
      <c r="N111" s="2634">
        <f>SUM(G111:L111)</f>
        <v>52423</v>
      </c>
      <c r="O111" s="4051"/>
    </row>
    <row r="112" spans="1:17" ht="25.5" customHeight="1" thickBot="1">
      <c r="A112" s="3732" t="s">
        <v>56</v>
      </c>
      <c r="B112" s="343" t="s">
        <v>738</v>
      </c>
      <c r="C112" s="499" t="s">
        <v>101</v>
      </c>
      <c r="D112" s="2971"/>
      <c r="E112" s="2972"/>
      <c r="F112" s="2973"/>
      <c r="G112" s="2973"/>
      <c r="H112" s="2973"/>
      <c r="I112" s="2973"/>
      <c r="J112" s="2973"/>
      <c r="K112" s="2973"/>
      <c r="L112" s="2974"/>
      <c r="M112" s="317"/>
      <c r="N112" s="2975"/>
      <c r="O112" s="4049" t="s">
        <v>312</v>
      </c>
      <c r="Q112" s="491">
        <f>+N113+N109</f>
        <v>233892</v>
      </c>
    </row>
    <row r="113" spans="1:15" ht="17.25" customHeight="1">
      <c r="A113" s="3772"/>
      <c r="B113" s="80" t="s">
        <v>10</v>
      </c>
      <c r="C113" s="2488"/>
      <c r="D113" s="1253">
        <f>+D114</f>
        <v>208775</v>
      </c>
      <c r="E113" s="2489">
        <f t="shared" ref="E113:N114" si="76">+E114</f>
        <v>0</v>
      </c>
      <c r="F113" s="1253">
        <f t="shared" si="76"/>
        <v>27306</v>
      </c>
      <c r="G113" s="1253">
        <f t="shared" si="76"/>
        <v>137514</v>
      </c>
      <c r="H113" s="1253">
        <f t="shared" si="76"/>
        <v>43955</v>
      </c>
      <c r="I113" s="2489">
        <v>0</v>
      </c>
      <c r="J113" s="2489">
        <v>0</v>
      </c>
      <c r="K113" s="2489">
        <v>0</v>
      </c>
      <c r="L113" s="1342">
        <v>0</v>
      </c>
      <c r="M113" s="2536">
        <f t="shared" si="76"/>
        <v>208775</v>
      </c>
      <c r="N113" s="2976">
        <f t="shared" si="76"/>
        <v>181469</v>
      </c>
      <c r="O113" s="3808"/>
    </row>
    <row r="114" spans="1:15" ht="15.75" customHeight="1" thickBot="1">
      <c r="A114" s="3774"/>
      <c r="B114" s="2111" t="s">
        <v>23</v>
      </c>
      <c r="C114" s="4052" t="s">
        <v>443</v>
      </c>
      <c r="D114" s="2490">
        <f>+D115</f>
        <v>208775</v>
      </c>
      <c r="E114" s="2491">
        <f t="shared" si="76"/>
        <v>0</v>
      </c>
      <c r="F114" s="2490">
        <f t="shared" si="76"/>
        <v>27306</v>
      </c>
      <c r="G114" s="2490">
        <f t="shared" si="76"/>
        <v>137514</v>
      </c>
      <c r="H114" s="2490">
        <f t="shared" si="76"/>
        <v>43955</v>
      </c>
      <c r="I114" s="2491">
        <v>0</v>
      </c>
      <c r="J114" s="2491">
        <v>0</v>
      </c>
      <c r="K114" s="2491">
        <v>0</v>
      </c>
      <c r="L114" s="2977">
        <v>0</v>
      </c>
      <c r="M114" s="1651">
        <f t="shared" si="76"/>
        <v>208775</v>
      </c>
      <c r="N114" s="2978">
        <f t="shared" si="76"/>
        <v>181469</v>
      </c>
      <c r="O114" s="4050"/>
    </row>
    <row r="115" spans="1:15" ht="15" customHeight="1" thickBot="1">
      <c r="A115" s="3732"/>
      <c r="B115" s="509" t="s">
        <v>12</v>
      </c>
      <c r="C115" s="3755"/>
      <c r="D115" s="1570">
        <f>E115+F115+G115+H115+I115+J115+K115+L115</f>
        <v>208775</v>
      </c>
      <c r="E115" s="1592">
        <v>0</v>
      </c>
      <c r="F115" s="1383">
        <f>34000-6694</f>
        <v>27306</v>
      </c>
      <c r="G115" s="1383">
        <f>166000+15469-43955</f>
        <v>137514</v>
      </c>
      <c r="H115" s="1383">
        <v>43955</v>
      </c>
      <c r="I115" s="1592">
        <v>0</v>
      </c>
      <c r="J115" s="1592">
        <v>0</v>
      </c>
      <c r="K115" s="1592">
        <v>0</v>
      </c>
      <c r="L115" s="1592">
        <v>0</v>
      </c>
      <c r="M115" s="2979">
        <f>SUM(F115:K115)</f>
        <v>208775</v>
      </c>
      <c r="N115" s="2980">
        <f>SUM(G115:L115)</f>
        <v>181469</v>
      </c>
      <c r="O115" s="4051"/>
    </row>
    <row r="116" spans="1:15" ht="30" customHeight="1">
      <c r="A116" s="4057"/>
      <c r="B116" s="4057"/>
      <c r="C116" s="4057"/>
      <c r="D116" s="4057"/>
      <c r="E116" s="4057"/>
      <c r="F116" s="4057"/>
      <c r="G116" s="4057"/>
      <c r="H116" s="4057"/>
      <c r="I116" s="4057"/>
      <c r="J116" s="4057"/>
      <c r="K116" s="4057"/>
      <c r="L116" s="4057"/>
      <c r="M116" s="2969"/>
      <c r="N116" s="4057"/>
      <c r="O116" s="4058"/>
    </row>
    <row r="117" spans="1:15">
      <c r="O117" s="2436"/>
    </row>
    <row r="118" spans="1:15" ht="12.75">
      <c r="B118" s="2453" t="s">
        <v>448</v>
      </c>
      <c r="C118" s="2454"/>
      <c r="D118" s="2454"/>
      <c r="E118" s="2454"/>
      <c r="F118" s="2454"/>
      <c r="G118" s="2454"/>
      <c r="H118" s="2454"/>
      <c r="I118" s="2454"/>
      <c r="J118" s="2454"/>
      <c r="K118" s="2454"/>
      <c r="L118" s="2454"/>
    </row>
    <row r="119" spans="1:15" ht="12.75">
      <c r="B119" s="2970" t="s">
        <v>449</v>
      </c>
      <c r="C119" s="2454"/>
      <c r="D119" s="2455">
        <f t="shared" ref="D119:L119" si="77">D32+D41+D57</f>
        <v>1971431</v>
      </c>
      <c r="E119" s="2455">
        <f t="shared" si="77"/>
        <v>0</v>
      </c>
      <c r="F119" s="2455">
        <f t="shared" si="77"/>
        <v>482232</v>
      </c>
      <c r="G119" s="2455">
        <f t="shared" si="77"/>
        <v>701039</v>
      </c>
      <c r="H119" s="2455">
        <f t="shared" si="77"/>
        <v>627014</v>
      </c>
      <c r="I119" s="2455">
        <f t="shared" si="77"/>
        <v>94942</v>
      </c>
      <c r="J119" s="2455">
        <f t="shared" si="77"/>
        <v>66204</v>
      </c>
      <c r="K119" s="2455">
        <f t="shared" si="77"/>
        <v>0</v>
      </c>
      <c r="L119" s="2455">
        <f t="shared" si="77"/>
        <v>0</v>
      </c>
    </row>
    <row r="120" spans="1:15" ht="12.75">
      <c r="B120" s="2970" t="s">
        <v>450</v>
      </c>
      <c r="C120" s="2454"/>
      <c r="D120" s="2455">
        <f>D68+D80</f>
        <v>49942320</v>
      </c>
      <c r="E120" s="2455">
        <f t="shared" ref="E120:M120" si="78">E68+E80</f>
        <v>0</v>
      </c>
      <c r="F120" s="2455">
        <f t="shared" si="78"/>
        <v>0</v>
      </c>
      <c r="G120" s="2455">
        <f t="shared" si="78"/>
        <v>4335</v>
      </c>
      <c r="H120" s="2455">
        <f t="shared" si="78"/>
        <v>14874433</v>
      </c>
      <c r="I120" s="2455">
        <f t="shared" si="78"/>
        <v>28797938</v>
      </c>
      <c r="J120" s="2455">
        <f t="shared" si="78"/>
        <v>6265614</v>
      </c>
      <c r="K120" s="2455">
        <f t="shared" si="78"/>
        <v>0</v>
      </c>
      <c r="L120" s="2455">
        <f t="shared" si="78"/>
        <v>0</v>
      </c>
      <c r="M120" s="2455" t="e">
        <f t="shared" si="78"/>
        <v>#VALUE!</v>
      </c>
    </row>
    <row r="121" spans="1:15" ht="13.5" thickBot="1">
      <c r="A121" s="2350"/>
      <c r="B121" s="2432" t="s">
        <v>451</v>
      </c>
      <c r="C121" s="2433"/>
      <c r="D121" s="2516">
        <f>D119+D120</f>
        <v>51913751</v>
      </c>
      <c r="E121" s="2516">
        <f>E119+E120</f>
        <v>0</v>
      </c>
      <c r="F121" s="2516">
        <f t="shared" ref="F121:L121" si="79">F119+F120</f>
        <v>482232</v>
      </c>
      <c r="G121" s="2516">
        <f t="shared" si="79"/>
        <v>705374</v>
      </c>
      <c r="H121" s="2516">
        <f t="shared" si="79"/>
        <v>15501447</v>
      </c>
      <c r="I121" s="2516">
        <f t="shared" si="79"/>
        <v>28892880</v>
      </c>
      <c r="J121" s="2516">
        <f t="shared" si="79"/>
        <v>6331818</v>
      </c>
      <c r="K121" s="2516">
        <f t="shared" si="79"/>
        <v>0</v>
      </c>
      <c r="L121" s="2516">
        <f t="shared" si="79"/>
        <v>0</v>
      </c>
      <c r="O121" s="2426"/>
    </row>
    <row r="122" spans="1:15" ht="13.5" thickBot="1">
      <c r="A122" s="2351"/>
      <c r="B122" s="1122" t="s">
        <v>41</v>
      </c>
      <c r="C122" s="1124"/>
      <c r="D122" s="1126">
        <f>D121-D19</f>
        <v>0</v>
      </c>
      <c r="E122" s="1126">
        <f t="shared" ref="E122:L122" si="80">E121-E19</f>
        <v>0</v>
      </c>
      <c r="F122" s="1126">
        <f t="shared" si="80"/>
        <v>0</v>
      </c>
      <c r="G122" s="1126">
        <f t="shared" si="80"/>
        <v>0</v>
      </c>
      <c r="H122" s="1126">
        <f t="shared" si="80"/>
        <v>0</v>
      </c>
      <c r="I122" s="1126">
        <f t="shared" si="80"/>
        <v>0</v>
      </c>
      <c r="J122" s="1126">
        <f t="shared" si="80"/>
        <v>0</v>
      </c>
      <c r="K122" s="1126">
        <f t="shared" si="80"/>
        <v>0</v>
      </c>
      <c r="L122" s="1126">
        <f t="shared" si="80"/>
        <v>0</v>
      </c>
      <c r="O122" s="2413"/>
    </row>
    <row r="123" spans="1:15" ht="12" thickBot="1">
      <c r="A123" s="2351"/>
      <c r="O123" s="2413"/>
    </row>
    <row r="124" spans="1:15" ht="12" thickBot="1">
      <c r="A124" s="2351"/>
      <c r="O124" s="2413"/>
    </row>
    <row r="125" spans="1:15" ht="12" thickBot="1">
      <c r="A125" s="2351"/>
      <c r="O125" s="2413"/>
    </row>
    <row r="126" spans="1:15" ht="12" thickBot="1">
      <c r="A126" s="2351"/>
      <c r="O126" s="2413"/>
    </row>
    <row r="127" spans="1:15" ht="12" thickBot="1">
      <c r="A127" s="2351"/>
      <c r="O127" s="2413"/>
    </row>
    <row r="128" spans="1:15" ht="12" thickBot="1">
      <c r="A128" s="2351"/>
      <c r="O128" s="2413"/>
    </row>
    <row r="129" spans="1:15">
      <c r="A129" s="2352"/>
      <c r="O129" s="2414"/>
    </row>
    <row r="190" spans="1:1" ht="12" thickBot="1">
      <c r="A190" s="2350"/>
    </row>
    <row r="191" spans="1:1" ht="12" thickBot="1">
      <c r="A191" s="2351"/>
    </row>
    <row r="192" spans="1:1" ht="12" thickBot="1">
      <c r="A192" s="2351"/>
    </row>
    <row r="193" spans="1:2" ht="12" thickBot="1">
      <c r="A193" s="2351"/>
    </row>
    <row r="194" spans="1:2" ht="12" thickBot="1">
      <c r="A194" s="2351"/>
    </row>
    <row r="195" spans="1:2" ht="12" thickBot="1">
      <c r="A195" s="2351"/>
    </row>
    <row r="196" spans="1:2" ht="12" thickBot="1">
      <c r="A196" s="2351"/>
    </row>
    <row r="197" spans="1:2" ht="12" thickBot="1">
      <c r="A197" s="2351"/>
    </row>
    <row r="198" spans="1:2" ht="12" thickBot="1">
      <c r="A198" s="2351"/>
    </row>
    <row r="199" spans="1:2" ht="12" thickBot="1">
      <c r="A199" s="2351"/>
    </row>
    <row r="200" spans="1:2" ht="12" thickBot="1">
      <c r="A200" s="2351"/>
    </row>
    <row r="201" spans="1:2" ht="12" thickBot="1">
      <c r="A201" s="2351"/>
      <c r="B201" s="2338"/>
    </row>
    <row r="202" spans="1:2" ht="12" thickBot="1">
      <c r="A202" s="2351"/>
      <c r="B202" s="2340"/>
    </row>
    <row r="203" spans="1:2" ht="12" thickBot="1">
      <c r="A203" s="2351"/>
    </row>
    <row r="204" spans="1:2" ht="12" thickBot="1">
      <c r="A204" s="2351"/>
    </row>
    <row r="205" spans="1:2" ht="12" thickBot="1">
      <c r="A205" s="2351"/>
    </row>
    <row r="206" spans="1:2" ht="12" thickBot="1">
      <c r="A206" s="2351"/>
    </row>
    <row r="207" spans="1:2" ht="12" thickBot="1">
      <c r="A207" s="2351"/>
    </row>
    <row r="208" spans="1:2" ht="12" thickBot="1">
      <c r="A208" s="2351"/>
    </row>
    <row r="209" spans="1:15" ht="12" thickBot="1">
      <c r="A209" s="2351"/>
    </row>
    <row r="210" spans="1:15" ht="12" thickBot="1">
      <c r="A210" s="2351"/>
    </row>
    <row r="211" spans="1:15" ht="12" thickBot="1">
      <c r="A211" s="2351"/>
    </row>
    <row r="212" spans="1:15" ht="12" thickBot="1">
      <c r="A212" s="2351"/>
    </row>
    <row r="213" spans="1:15" ht="12" thickBot="1">
      <c r="A213" s="2351"/>
    </row>
    <row r="214" spans="1:15" ht="12" thickBot="1">
      <c r="A214" s="2351"/>
    </row>
    <row r="215" spans="1:15" ht="12" thickBot="1">
      <c r="A215" s="2351"/>
      <c r="N215" s="2338"/>
      <c r="O215" s="2325"/>
    </row>
    <row r="216" spans="1:15" ht="12" thickBot="1">
      <c r="A216" s="2351"/>
      <c r="C216" s="2338"/>
      <c r="N216" s="2339"/>
      <c r="O216" s="2326"/>
    </row>
    <row r="217" spans="1:15" ht="12" thickBot="1">
      <c r="A217" s="2351"/>
      <c r="C217" s="2339"/>
      <c r="N217" s="2339"/>
      <c r="O217" s="2326"/>
    </row>
    <row r="218" spans="1:15" ht="12" thickBot="1">
      <c r="A218" s="2351"/>
      <c r="C218" s="2339"/>
      <c r="N218" s="2339"/>
      <c r="O218" s="2326"/>
    </row>
    <row r="219" spans="1:15" ht="12" thickBot="1">
      <c r="A219" s="2352"/>
      <c r="C219" s="2339"/>
      <c r="D219" s="2338"/>
      <c r="E219" s="2338"/>
      <c r="F219" s="2338"/>
      <c r="G219" s="2338"/>
      <c r="H219" s="2338"/>
      <c r="I219" s="2338"/>
      <c r="J219" s="2338"/>
      <c r="K219" s="2338"/>
      <c r="L219" s="2338"/>
      <c r="N219" s="2339"/>
      <c r="O219" s="2326"/>
    </row>
    <row r="220" spans="1:15" ht="12" thickBot="1">
      <c r="C220" s="2340"/>
      <c r="D220" s="2340"/>
      <c r="E220" s="2340"/>
      <c r="F220" s="2340"/>
      <c r="G220" s="2340"/>
      <c r="H220" s="2340"/>
      <c r="I220" s="2340"/>
      <c r="J220" s="2340"/>
      <c r="K220" s="2340"/>
      <c r="L220" s="2340"/>
      <c r="N220" s="2340"/>
      <c r="O220" s="2326"/>
    </row>
    <row r="221" spans="1:15" ht="12" thickBot="1">
      <c r="O221" s="2326"/>
    </row>
    <row r="222" spans="1:15" ht="12" thickBot="1">
      <c r="O222" s="2326"/>
    </row>
    <row r="223" spans="1:15" ht="12" thickBot="1">
      <c r="O223" s="2326"/>
    </row>
    <row r="224" spans="1:15" ht="12" thickBot="1">
      <c r="O224" s="2326"/>
    </row>
    <row r="225" spans="15:15" ht="12" thickBot="1">
      <c r="O225" s="2326"/>
    </row>
    <row r="226" spans="15:15" ht="12" thickBot="1">
      <c r="O226" s="2326"/>
    </row>
    <row r="227" spans="15:15" ht="12" thickBot="1">
      <c r="O227" s="2326"/>
    </row>
    <row r="228" spans="15:15" ht="12" thickBot="1">
      <c r="O228" s="2326"/>
    </row>
    <row r="229" spans="15:15">
      <c r="O229" s="2327"/>
    </row>
    <row r="263" spans="15:15" ht="12" thickBot="1">
      <c r="O263" s="2325"/>
    </row>
    <row r="264" spans="15:15" ht="12" thickBot="1">
      <c r="O264" s="2326"/>
    </row>
    <row r="265" spans="15:15" ht="12" thickBot="1">
      <c r="O265" s="2326"/>
    </row>
    <row r="266" spans="15:15" ht="12" thickBot="1">
      <c r="O266" s="2326"/>
    </row>
    <row r="267" spans="15:15" ht="12" thickBot="1">
      <c r="O267" s="2326"/>
    </row>
    <row r="268" spans="15:15" ht="12" thickBot="1">
      <c r="O268" s="2326"/>
    </row>
    <row r="269" spans="15:15" ht="12" thickBot="1">
      <c r="O269" s="2326"/>
    </row>
    <row r="270" spans="15:15" ht="12" thickBot="1">
      <c r="O270" s="2326"/>
    </row>
    <row r="271" spans="15:15" ht="12" thickBot="1">
      <c r="O271" s="2326"/>
    </row>
    <row r="272" spans="15:15" ht="12" thickBot="1">
      <c r="O272" s="2326"/>
    </row>
    <row r="273" spans="15:15" ht="12" thickBot="1">
      <c r="O273" s="2326"/>
    </row>
    <row r="274" spans="15:15" ht="12" thickBot="1">
      <c r="O274" s="2326"/>
    </row>
    <row r="275" spans="15:15" ht="12" thickBot="1">
      <c r="O275" s="2326"/>
    </row>
    <row r="276" spans="15:15" ht="12" thickBot="1">
      <c r="O276" s="2326"/>
    </row>
    <row r="277" spans="15:15">
      <c r="O277" s="2327"/>
    </row>
    <row r="416" spans="1:1" ht="12" thickBot="1">
      <c r="A416" s="2350"/>
    </row>
    <row r="417" spans="1:15" ht="12" thickBot="1">
      <c r="A417" s="2351"/>
    </row>
    <row r="418" spans="1:15" ht="12" thickBot="1">
      <c r="A418" s="2351"/>
    </row>
    <row r="419" spans="1:15" ht="12" thickBot="1">
      <c r="A419" s="2351"/>
    </row>
    <row r="420" spans="1:15" ht="12" thickBot="1">
      <c r="A420" s="2351"/>
    </row>
    <row r="421" spans="1:15" ht="12" thickBot="1">
      <c r="A421" s="2351"/>
    </row>
    <row r="422" spans="1:15" ht="12" thickBot="1">
      <c r="A422" s="2351"/>
      <c r="N422" s="2338"/>
      <c r="O422" s="2325"/>
    </row>
    <row r="423" spans="1:15" ht="12" thickBot="1">
      <c r="A423" s="2351"/>
      <c r="C423" s="2338"/>
      <c r="N423" s="2339"/>
      <c r="O423" s="2326"/>
    </row>
    <row r="424" spans="1:15" ht="12" thickBot="1">
      <c r="A424" s="2351"/>
      <c r="C424" s="2339"/>
      <c r="D424" s="2338"/>
      <c r="E424" s="2338"/>
      <c r="F424" s="2338"/>
      <c r="G424" s="2338"/>
      <c r="H424" s="2338"/>
      <c r="I424" s="2338"/>
      <c r="J424" s="2338"/>
      <c r="K424" s="2338"/>
      <c r="L424" s="2338"/>
      <c r="N424" s="2339"/>
      <c r="O424" s="2326"/>
    </row>
    <row r="425" spans="1:15" ht="12" thickBot="1">
      <c r="A425" s="2351"/>
      <c r="C425" s="2340"/>
      <c r="D425" s="2340"/>
      <c r="E425" s="2340"/>
      <c r="F425" s="2340"/>
      <c r="G425" s="2340"/>
      <c r="H425" s="2340"/>
      <c r="I425" s="2340"/>
      <c r="J425" s="2340"/>
      <c r="K425" s="2340"/>
      <c r="L425" s="2340"/>
      <c r="N425" s="2340"/>
      <c r="O425" s="2326"/>
    </row>
    <row r="426" spans="1:15" ht="12" thickBot="1">
      <c r="A426" s="2351"/>
      <c r="O426" s="2326"/>
    </row>
    <row r="427" spans="1:15" ht="12" thickBot="1">
      <c r="A427" s="2351"/>
      <c r="O427" s="2326"/>
    </row>
    <row r="428" spans="1:15" ht="12" thickBot="1">
      <c r="A428" s="2351"/>
      <c r="O428" s="2326"/>
    </row>
    <row r="429" spans="1:15" ht="12" thickBot="1">
      <c r="A429" s="2351"/>
      <c r="O429" s="2326"/>
    </row>
    <row r="430" spans="1:15" ht="12" thickBot="1">
      <c r="A430" s="2351"/>
      <c r="O430" s="2327"/>
    </row>
    <row r="431" spans="1:15" ht="12" thickBot="1">
      <c r="A431" s="2351"/>
    </row>
    <row r="432" spans="1:15" ht="12" thickBot="1">
      <c r="A432" s="2351"/>
    </row>
    <row r="433" spans="1:1">
      <c r="A433" s="2352"/>
    </row>
    <row r="531" spans="1:15" ht="12" thickBot="1">
      <c r="O531" s="2325"/>
    </row>
    <row r="532" spans="1:15" ht="12" thickBot="1">
      <c r="O532" s="2326"/>
    </row>
    <row r="533" spans="1:15" ht="12" thickBot="1">
      <c r="O533" s="2326"/>
    </row>
    <row r="534" spans="1:15" ht="12" thickBot="1">
      <c r="O534" s="2326"/>
    </row>
    <row r="535" spans="1:15" ht="12" thickBot="1">
      <c r="N535" s="2338"/>
      <c r="O535" s="2326"/>
    </row>
    <row r="536" spans="1:15" ht="12" thickBot="1">
      <c r="N536" s="2339"/>
      <c r="O536" s="2326"/>
    </row>
    <row r="537" spans="1:15" ht="12" thickBot="1">
      <c r="N537" s="2339"/>
      <c r="O537" s="2326"/>
    </row>
    <row r="538" spans="1:15" ht="12" thickBot="1">
      <c r="N538" s="2339"/>
      <c r="O538" s="2326"/>
    </row>
    <row r="539" spans="1:15" ht="12" thickBot="1">
      <c r="N539" s="2339"/>
      <c r="O539" s="2326"/>
    </row>
    <row r="540" spans="1:15" ht="12" thickBot="1">
      <c r="A540" s="2350"/>
      <c r="B540" s="2338"/>
      <c r="C540" s="2338"/>
      <c r="D540" s="2338"/>
      <c r="E540" s="2338"/>
      <c r="F540" s="2338"/>
      <c r="G540" s="2338"/>
      <c r="H540" s="2338"/>
      <c r="I540" s="2338"/>
      <c r="J540" s="2338"/>
      <c r="K540" s="2338"/>
      <c r="L540" s="2338"/>
      <c r="N540" s="2339"/>
      <c r="O540" s="2326"/>
    </row>
    <row r="541" spans="1:15" ht="12" thickBot="1">
      <c r="A541" s="2351"/>
      <c r="B541" s="2340"/>
      <c r="C541" s="2340"/>
      <c r="D541" s="2340"/>
      <c r="E541" s="2340"/>
      <c r="F541" s="2340"/>
      <c r="G541" s="2340"/>
      <c r="H541" s="2340"/>
      <c r="I541" s="2340"/>
      <c r="J541" s="2340"/>
      <c r="K541" s="2340"/>
      <c r="L541" s="2340"/>
      <c r="N541" s="2340"/>
      <c r="O541" s="2326"/>
    </row>
    <row r="542" spans="1:15" ht="12" thickBot="1">
      <c r="A542" s="2351"/>
      <c r="O542" s="2326"/>
    </row>
    <row r="543" spans="1:15" ht="12" thickBot="1">
      <c r="A543" s="2351"/>
      <c r="O543" s="2326"/>
    </row>
    <row r="544" spans="1:15" ht="12" thickBot="1">
      <c r="A544" s="2351"/>
      <c r="O544" s="2326"/>
    </row>
    <row r="545" spans="1:15" ht="12" thickBot="1">
      <c r="A545" s="2351"/>
      <c r="O545" s="2326"/>
    </row>
    <row r="546" spans="1:15" ht="12" thickBot="1">
      <c r="A546" s="2351"/>
      <c r="O546" s="2326"/>
    </row>
    <row r="547" spans="1:15" ht="12" thickBot="1">
      <c r="A547" s="2351"/>
      <c r="O547" s="2326"/>
    </row>
    <row r="548" spans="1:15">
      <c r="A548" s="2352"/>
      <c r="O548" s="2327"/>
    </row>
  </sheetData>
  <mergeCells count="61">
    <mergeCell ref="O26:O34"/>
    <mergeCell ref="C28:C31"/>
    <mergeCell ref="C33:C34"/>
    <mergeCell ref="N32:N34"/>
    <mergeCell ref="A4:O4"/>
    <mergeCell ref="B5:B6"/>
    <mergeCell ref="C5:C6"/>
    <mergeCell ref="D5:D6"/>
    <mergeCell ref="O5:O6"/>
    <mergeCell ref="N5:N6"/>
    <mergeCell ref="M5:M6"/>
    <mergeCell ref="M19:M25"/>
    <mergeCell ref="M32:M34"/>
    <mergeCell ref="A26:A34"/>
    <mergeCell ref="F5:F6"/>
    <mergeCell ref="G5:L5"/>
    <mergeCell ref="A116:L116"/>
    <mergeCell ref="N116:O116"/>
    <mergeCell ref="M80:M84"/>
    <mergeCell ref="A62:A72"/>
    <mergeCell ref="O62:O72"/>
    <mergeCell ref="N68:N72"/>
    <mergeCell ref="C64:C67"/>
    <mergeCell ref="C69:C72"/>
    <mergeCell ref="A108:A111"/>
    <mergeCell ref="O108:O111"/>
    <mergeCell ref="C110:C111"/>
    <mergeCell ref="O98:O107"/>
    <mergeCell ref="C102:C104"/>
    <mergeCell ref="N105:N107"/>
    <mergeCell ref="C106:C107"/>
    <mergeCell ref="A112:A115"/>
    <mergeCell ref="M57:M61"/>
    <mergeCell ref="M68:M72"/>
    <mergeCell ref="M105:M107"/>
    <mergeCell ref="C37:C40"/>
    <mergeCell ref="C42:C43"/>
    <mergeCell ref="A35:A43"/>
    <mergeCell ref="M41:M43"/>
    <mergeCell ref="O112:O115"/>
    <mergeCell ref="C114:C115"/>
    <mergeCell ref="N19:N25"/>
    <mergeCell ref="A44:A61"/>
    <mergeCell ref="A73:A84"/>
    <mergeCell ref="C75:C79"/>
    <mergeCell ref="N80:N84"/>
    <mergeCell ref="N57:N61"/>
    <mergeCell ref="C46:C53"/>
    <mergeCell ref="C58:C61"/>
    <mergeCell ref="O44:O61"/>
    <mergeCell ref="O35:O43"/>
    <mergeCell ref="N41:N43"/>
    <mergeCell ref="O74:O79"/>
    <mergeCell ref="O80:O84"/>
    <mergeCell ref="A85:A96"/>
    <mergeCell ref="O85:O96"/>
    <mergeCell ref="C87:C91"/>
    <mergeCell ref="M92:M96"/>
    <mergeCell ref="N92:N96"/>
    <mergeCell ref="C95:C96"/>
    <mergeCell ref="C81:C84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60" orientation="landscape" useFirstPageNumber="1" r:id="rId1"/>
  <headerFooter>
    <oddHeader>&amp;C&amp;"Arial,Kursywa"Wieloletnia prognoza finansowa Województwa Zachodniopomorskiego&amp;"Arial,Normalny"
____________________________________________________________________________________________________________________</oddHeader>
    <oddFooter>&amp;C&amp;9&amp;P</oddFooter>
  </headerFooter>
  <rowBreaks count="1" manualBreakCount="1">
    <brk id="61" max="2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0"/>
  </sheetPr>
  <dimension ref="A1:W533"/>
  <sheetViews>
    <sheetView showGridLines="0" view="pageBreakPreview" zoomScaleSheetLayoutView="100" workbookViewId="0">
      <selection sqref="A1:XFD1048576"/>
    </sheetView>
  </sheetViews>
  <sheetFormatPr defaultColWidth="9.140625" defaultRowHeight="12.75"/>
  <cols>
    <col min="1" max="1" width="3.7109375" style="4117" customWidth="1"/>
    <col min="2" max="2" width="54.7109375" style="4118" customWidth="1"/>
    <col min="3" max="3" width="9.85546875" style="4118" customWidth="1"/>
    <col min="4" max="4" width="13.7109375" style="4118" customWidth="1"/>
    <col min="5" max="5" width="11.85546875" style="4118" customWidth="1"/>
    <col min="6" max="6" width="11.7109375" style="4118" customWidth="1"/>
    <col min="7" max="7" width="10.85546875" style="4118" customWidth="1"/>
    <col min="8" max="8" width="10.28515625" style="4118" customWidth="1"/>
    <col min="9" max="9" width="10.85546875" style="4118" customWidth="1"/>
    <col min="10" max="10" width="10.5703125" style="4118" customWidth="1"/>
    <col min="11" max="11" width="10" style="4118" customWidth="1"/>
    <col min="12" max="12" width="10.140625" style="4118" customWidth="1"/>
    <col min="13" max="13" width="13.42578125" style="4118" hidden="1" customWidth="1"/>
    <col min="14" max="14" width="13" style="4118" customWidth="1"/>
    <col min="15" max="15" width="14.28515625" style="4522" customWidth="1"/>
    <col min="16" max="16" width="11.5703125" style="4123" customWidth="1"/>
    <col min="17" max="17" width="10.140625" style="4123" bestFit="1" customWidth="1"/>
    <col min="18" max="18" width="10.7109375" style="4123" bestFit="1" customWidth="1"/>
    <col min="19" max="19" width="9.140625" style="4123"/>
    <col min="20" max="20" width="10.140625" style="4123" customWidth="1"/>
    <col min="21" max="21" width="9.140625" style="4123"/>
    <col min="22" max="22" width="10.7109375" style="4123" customWidth="1"/>
    <col min="23" max="23" width="10.140625" style="4123" bestFit="1" customWidth="1"/>
    <col min="24" max="31" width="9.140625" style="4123"/>
    <col min="32" max="32" width="8.5703125" style="4123" customWidth="1"/>
    <col min="33" max="44" width="9.140625" style="4123"/>
    <col min="45" max="45" width="8.7109375" style="4123" customWidth="1"/>
    <col min="46" max="55" width="9.140625" style="4123"/>
    <col min="56" max="56" width="4.28515625" style="4123" customWidth="1"/>
    <col min="57" max="66" width="9.140625" style="4123"/>
    <col min="67" max="67" width="5" style="4123" customWidth="1"/>
    <col min="68" max="77" width="9.140625" style="4123"/>
    <col min="78" max="78" width="3.85546875" style="4123" customWidth="1"/>
    <col min="79" max="90" width="9.140625" style="4123"/>
    <col min="91" max="91" width="5.28515625" style="4123" customWidth="1"/>
    <col min="92" max="103" width="9.140625" style="4123"/>
    <col min="104" max="104" width="1.5703125" style="4123" customWidth="1"/>
    <col min="105" max="117" width="9.140625" style="4123"/>
    <col min="118" max="118" width="0.7109375" style="4123" customWidth="1"/>
    <col min="119" max="130" width="9.140625" style="4123"/>
    <col min="131" max="131" width="8.28515625" style="4123" customWidth="1"/>
    <col min="132" max="140" width="9.140625" style="4123"/>
    <col min="141" max="141" width="0.28515625" style="4123" customWidth="1"/>
    <col min="142" max="167" width="9.140625" style="4123"/>
    <col min="168" max="168" width="0.7109375" style="4123" customWidth="1"/>
    <col min="169" max="16384" width="9.140625" style="4123"/>
  </cols>
  <sheetData>
    <row r="1" spans="1:19" ht="17.25" customHeight="1">
      <c r="D1" s="4119"/>
      <c r="E1" s="4119"/>
      <c r="H1" s="4120" t="s">
        <v>670</v>
      </c>
      <c r="I1" s="4121"/>
      <c r="J1" s="4121"/>
      <c r="K1" s="4121"/>
      <c r="L1" s="4121"/>
      <c r="M1" s="4121"/>
      <c r="N1" s="4121"/>
      <c r="O1" s="4122"/>
    </row>
    <row r="2" spans="1:19" ht="36.75" customHeight="1" thickBot="1">
      <c r="A2" s="4124" t="s">
        <v>716</v>
      </c>
      <c r="B2" s="4125"/>
      <c r="C2" s="4125"/>
      <c r="D2" s="4125"/>
      <c r="E2" s="4125"/>
      <c r="F2" s="4125"/>
      <c r="G2" s="4125"/>
      <c r="H2" s="4125"/>
      <c r="I2" s="4125"/>
      <c r="J2" s="4125"/>
      <c r="K2" s="4125"/>
      <c r="L2" s="4125"/>
      <c r="M2" s="4125"/>
      <c r="N2" s="4125"/>
      <c r="O2" s="4126"/>
    </row>
    <row r="3" spans="1:19" s="4138" customFormat="1" ht="75.75" customHeight="1">
      <c r="A3" s="4127" t="s">
        <v>66</v>
      </c>
      <c r="B3" s="4128" t="s">
        <v>67</v>
      </c>
      <c r="C3" s="4129" t="s">
        <v>63</v>
      </c>
      <c r="D3" s="4130" t="s">
        <v>64</v>
      </c>
      <c r="E3" s="4131" t="s">
        <v>255</v>
      </c>
      <c r="F3" s="4132" t="s">
        <v>573</v>
      </c>
      <c r="G3" s="4133" t="s">
        <v>513</v>
      </c>
      <c r="H3" s="4134"/>
      <c r="I3" s="4134"/>
      <c r="J3" s="4134"/>
      <c r="K3" s="4134"/>
      <c r="L3" s="4135"/>
      <c r="M3" s="4136" t="s">
        <v>528</v>
      </c>
      <c r="N3" s="4136" t="s">
        <v>599</v>
      </c>
      <c r="O3" s="4137" t="s">
        <v>65</v>
      </c>
    </row>
    <row r="4" spans="1:19" s="4138" customFormat="1" ht="18.75" customHeight="1" thickBot="1">
      <c r="A4" s="4139"/>
      <c r="B4" s="4140"/>
      <c r="C4" s="4141"/>
      <c r="D4" s="4142"/>
      <c r="E4" s="4143" t="s">
        <v>496</v>
      </c>
      <c r="F4" s="4144"/>
      <c r="G4" s="4145" t="s">
        <v>6</v>
      </c>
      <c r="H4" s="4145" t="s">
        <v>202</v>
      </c>
      <c r="I4" s="4145" t="s">
        <v>204</v>
      </c>
      <c r="J4" s="4145" t="s">
        <v>246</v>
      </c>
      <c r="K4" s="4145" t="s">
        <v>247</v>
      </c>
      <c r="L4" s="4145" t="s">
        <v>245</v>
      </c>
      <c r="M4" s="4146"/>
      <c r="N4" s="4146"/>
      <c r="O4" s="4147"/>
      <c r="P4" s="4148"/>
      <c r="Q4" s="4148"/>
    </row>
    <row r="5" spans="1:19" s="4158" customFormat="1" ht="12.75" customHeight="1" thickBot="1">
      <c r="A5" s="4149">
        <v>1</v>
      </c>
      <c r="B5" s="4150">
        <v>2</v>
      </c>
      <c r="C5" s="4151">
        <v>3</v>
      </c>
      <c r="D5" s="4152">
        <v>4</v>
      </c>
      <c r="E5" s="4153">
        <v>5</v>
      </c>
      <c r="F5" s="4154">
        <v>6</v>
      </c>
      <c r="G5" s="4153">
        <v>7</v>
      </c>
      <c r="H5" s="4153">
        <v>8</v>
      </c>
      <c r="I5" s="4153">
        <v>9</v>
      </c>
      <c r="J5" s="4153">
        <v>10</v>
      </c>
      <c r="K5" s="4153">
        <v>11</v>
      </c>
      <c r="L5" s="4153">
        <v>12</v>
      </c>
      <c r="M5" s="4155">
        <v>13</v>
      </c>
      <c r="N5" s="4155">
        <v>13</v>
      </c>
      <c r="O5" s="4156">
        <v>14</v>
      </c>
      <c r="P5" s="4157"/>
      <c r="Q5" s="4157"/>
    </row>
    <row r="6" spans="1:19" s="4138" customFormat="1" ht="16.5" customHeight="1">
      <c r="A6" s="4159"/>
      <c r="B6" s="4160" t="s">
        <v>68</v>
      </c>
      <c r="C6" s="4161"/>
      <c r="D6" s="4162">
        <f>+D7+D8</f>
        <v>38992820</v>
      </c>
      <c r="E6" s="4162">
        <f>+E7+E8</f>
        <v>0</v>
      </c>
      <c r="F6" s="4162">
        <f t="shared" ref="F6:L6" si="0">+F7+F8</f>
        <v>0</v>
      </c>
      <c r="G6" s="4162">
        <f t="shared" si="0"/>
        <v>5697680</v>
      </c>
      <c r="H6" s="4162">
        <f t="shared" si="0"/>
        <v>15526840</v>
      </c>
      <c r="I6" s="4162">
        <f t="shared" si="0"/>
        <v>15502869</v>
      </c>
      <c r="J6" s="4162">
        <f t="shared" si="0"/>
        <v>2265431</v>
      </c>
      <c r="K6" s="4162">
        <f t="shared" si="0"/>
        <v>0</v>
      </c>
      <c r="L6" s="4162">
        <f t="shared" si="0"/>
        <v>0</v>
      </c>
      <c r="M6" s="4163">
        <f>+M7+M8</f>
        <v>38992820</v>
      </c>
      <c r="N6" s="4163">
        <f>+N7+N8</f>
        <v>38992820</v>
      </c>
      <c r="O6" s="4164"/>
      <c r="P6" s="4148"/>
    </row>
    <row r="7" spans="1:19" s="4138" customFormat="1" ht="16.5" customHeight="1">
      <c r="A7" s="4165"/>
      <c r="B7" s="4166" t="s">
        <v>69</v>
      </c>
      <c r="C7" s="4167"/>
      <c r="D7" s="4168">
        <f>+D35</f>
        <v>1266343</v>
      </c>
      <c r="E7" s="4168">
        <f>+E438+E456+E374+E389</f>
        <v>0</v>
      </c>
      <c r="F7" s="4168">
        <f t="shared" ref="F7" si="1">+F438+F456+F374+F389</f>
        <v>0</v>
      </c>
      <c r="G7" s="4168">
        <f>+G35</f>
        <v>189594</v>
      </c>
      <c r="H7" s="4168">
        <f t="shared" ref="H7:J7" si="2">+H35</f>
        <v>514124</v>
      </c>
      <c r="I7" s="4168">
        <f t="shared" si="2"/>
        <v>490892</v>
      </c>
      <c r="J7" s="4168">
        <f t="shared" si="2"/>
        <v>71733</v>
      </c>
      <c r="K7" s="4168">
        <f t="shared" ref="K7:L7" si="3">+K438+K456+K374</f>
        <v>0</v>
      </c>
      <c r="L7" s="4168">
        <f t="shared" si="3"/>
        <v>0</v>
      </c>
      <c r="M7" s="4169">
        <f>SUM(F7:K7)</f>
        <v>1266343</v>
      </c>
      <c r="N7" s="4169">
        <f>SUM(G7:L7)</f>
        <v>1266343</v>
      </c>
      <c r="O7" s="4170"/>
    </row>
    <row r="8" spans="1:19" s="4138" customFormat="1" ht="16.5" customHeight="1" thickBot="1">
      <c r="A8" s="4165"/>
      <c r="B8" s="4171" t="s">
        <v>9</v>
      </c>
      <c r="C8" s="4172"/>
      <c r="D8" s="4173">
        <f>+D24+D26+D28</f>
        <v>37726477</v>
      </c>
      <c r="E8" s="4173">
        <f t="shared" ref="E8:L8" si="4">+E24+E26+E28</f>
        <v>0</v>
      </c>
      <c r="F8" s="4173">
        <f t="shared" si="4"/>
        <v>0</v>
      </c>
      <c r="G8" s="4173">
        <f t="shared" si="4"/>
        <v>5508086</v>
      </c>
      <c r="H8" s="4173">
        <f t="shared" si="4"/>
        <v>15012716</v>
      </c>
      <c r="I8" s="4173">
        <f t="shared" si="4"/>
        <v>15011977</v>
      </c>
      <c r="J8" s="4173">
        <f t="shared" si="4"/>
        <v>2193698</v>
      </c>
      <c r="K8" s="4173">
        <f t="shared" si="4"/>
        <v>0</v>
      </c>
      <c r="L8" s="4173">
        <f t="shared" si="4"/>
        <v>0</v>
      </c>
      <c r="M8" s="4174">
        <f>SUM(F8:K8)</f>
        <v>37726477</v>
      </c>
      <c r="N8" s="4174">
        <f>+J8+I8+H8+G8</f>
        <v>37726477</v>
      </c>
      <c r="O8" s="4170"/>
    </row>
    <row r="9" spans="1:19" s="4138" customFormat="1" ht="14.25" customHeight="1">
      <c r="A9" s="4165"/>
      <c r="B9" s="4175" t="s">
        <v>10</v>
      </c>
      <c r="C9" s="4176"/>
      <c r="D9" s="4177">
        <f t="shared" ref="D9:N9" si="5">+D10+D14</f>
        <v>39992442</v>
      </c>
      <c r="E9" s="4177">
        <f t="shared" si="5"/>
        <v>0</v>
      </c>
      <c r="F9" s="4177">
        <f t="shared" si="5"/>
        <v>0</v>
      </c>
      <c r="G9" s="4177">
        <f t="shared" si="5"/>
        <v>5987579</v>
      </c>
      <c r="H9" s="4177">
        <f t="shared" si="5"/>
        <v>16236563</v>
      </c>
      <c r="I9" s="4177">
        <f t="shared" si="5"/>
        <v>15502869</v>
      </c>
      <c r="J9" s="4177">
        <f t="shared" si="5"/>
        <v>2265431</v>
      </c>
      <c r="K9" s="4177">
        <f t="shared" si="5"/>
        <v>0</v>
      </c>
      <c r="L9" s="4177">
        <f t="shared" si="5"/>
        <v>0</v>
      </c>
      <c r="M9" s="4178">
        <f t="shared" si="5"/>
        <v>39992442</v>
      </c>
      <c r="N9" s="4178">
        <f t="shared" si="5"/>
        <v>39992442</v>
      </c>
      <c r="O9" s="4179"/>
      <c r="P9" s="4180"/>
      <c r="Q9" s="4148"/>
      <c r="S9" s="4148"/>
    </row>
    <row r="10" spans="1:19" s="4187" customFormat="1" ht="14.25" customHeight="1">
      <c r="A10" s="4165"/>
      <c r="B10" s="4181" t="s">
        <v>11</v>
      </c>
      <c r="C10" s="4182"/>
      <c r="D10" s="4183">
        <f>+D11+D12+D13</f>
        <v>5998866</v>
      </c>
      <c r="E10" s="4183">
        <f t="shared" ref="E10:L10" si="6">+E11+E12+E13</f>
        <v>0</v>
      </c>
      <c r="F10" s="4183">
        <f t="shared" si="6"/>
        <v>0</v>
      </c>
      <c r="G10" s="4183">
        <f t="shared" si="6"/>
        <v>898137</v>
      </c>
      <c r="H10" s="4183">
        <f t="shared" si="6"/>
        <v>2435485</v>
      </c>
      <c r="I10" s="4183">
        <f t="shared" si="6"/>
        <v>2325430</v>
      </c>
      <c r="J10" s="4183">
        <f t="shared" si="6"/>
        <v>339814</v>
      </c>
      <c r="K10" s="4183">
        <f t="shared" si="6"/>
        <v>0</v>
      </c>
      <c r="L10" s="4183">
        <f t="shared" si="6"/>
        <v>0</v>
      </c>
      <c r="M10" s="4184">
        <f>SUM(M11:M13)</f>
        <v>5998866</v>
      </c>
      <c r="N10" s="4184">
        <f>SUM(N11:N13)</f>
        <v>5998866</v>
      </c>
      <c r="O10" s="4185"/>
      <c r="P10" s="4186"/>
      <c r="Q10" s="4180"/>
    </row>
    <row r="11" spans="1:19" s="4138" customFormat="1" ht="14.25" customHeight="1">
      <c r="A11" s="4165"/>
      <c r="B11" s="4188" t="s">
        <v>119</v>
      </c>
      <c r="C11" s="4189"/>
      <c r="D11" s="4190">
        <f>+D24+D37</f>
        <v>1000000</v>
      </c>
      <c r="E11" s="4190">
        <f t="shared" ref="E11:L11" si="7">+E24</f>
        <v>0</v>
      </c>
      <c r="F11" s="4190">
        <f t="shared" si="7"/>
        <v>0</v>
      </c>
      <c r="G11" s="4190">
        <f>+G24+G37</f>
        <v>9480</v>
      </c>
      <c r="H11" s="4190">
        <f>+H24+H37</f>
        <v>102106</v>
      </c>
      <c r="I11" s="4190">
        <f>+I24+I37</f>
        <v>775143</v>
      </c>
      <c r="J11" s="4190">
        <f>+J24+J37</f>
        <v>113271</v>
      </c>
      <c r="K11" s="4190">
        <f t="shared" si="7"/>
        <v>0</v>
      </c>
      <c r="L11" s="4190">
        <f t="shared" si="7"/>
        <v>0</v>
      </c>
      <c r="M11" s="4191">
        <f>SUM(F11:K11)</f>
        <v>1000000</v>
      </c>
      <c r="N11" s="4191">
        <f>SUM(G11:L11)</f>
        <v>1000000</v>
      </c>
      <c r="O11" s="4179"/>
      <c r="P11" s="4148"/>
      <c r="Q11" s="4148"/>
      <c r="S11" s="4148"/>
    </row>
    <row r="12" spans="1:19" s="4138" customFormat="1" ht="14.25" customHeight="1">
      <c r="A12" s="4165"/>
      <c r="B12" s="4188" t="s">
        <v>31</v>
      </c>
      <c r="C12" s="4192"/>
      <c r="D12" s="4190">
        <f>+D25</f>
        <v>999622</v>
      </c>
      <c r="E12" s="4190">
        <f t="shared" ref="E12:L12" si="8">+E25</f>
        <v>0</v>
      </c>
      <c r="F12" s="4190">
        <f t="shared" si="8"/>
        <v>0</v>
      </c>
      <c r="G12" s="4190">
        <f t="shared" si="8"/>
        <v>289899</v>
      </c>
      <c r="H12" s="4190">
        <f t="shared" si="8"/>
        <v>709723</v>
      </c>
      <c r="I12" s="4190">
        <f t="shared" si="8"/>
        <v>0</v>
      </c>
      <c r="J12" s="4190">
        <f t="shared" si="8"/>
        <v>0</v>
      </c>
      <c r="K12" s="4190">
        <f t="shared" si="8"/>
        <v>0</v>
      </c>
      <c r="L12" s="4190">
        <f t="shared" si="8"/>
        <v>0</v>
      </c>
      <c r="M12" s="4191">
        <f>SUM(E12:K12)</f>
        <v>999622</v>
      </c>
      <c r="N12" s="4191">
        <f>SUM(F12:L12)</f>
        <v>999622</v>
      </c>
      <c r="O12" s="4193"/>
      <c r="P12" s="4148"/>
    </row>
    <row r="13" spans="1:19" s="4138" customFormat="1" ht="15.75" customHeight="1">
      <c r="A13" s="4165"/>
      <c r="B13" s="4188" t="s">
        <v>711</v>
      </c>
      <c r="C13" s="4189"/>
      <c r="D13" s="4190">
        <f>+D26+D38</f>
        <v>3999244</v>
      </c>
      <c r="E13" s="4190">
        <f t="shared" ref="E13:L13" si="9">+E26</f>
        <v>0</v>
      </c>
      <c r="F13" s="4190">
        <f t="shared" si="9"/>
        <v>0</v>
      </c>
      <c r="G13" s="4190">
        <f>+G26+G38</f>
        <v>598758</v>
      </c>
      <c r="H13" s="4190">
        <f t="shared" ref="H13:J13" si="10">+H26+H38</f>
        <v>1623656</v>
      </c>
      <c r="I13" s="4190">
        <f t="shared" si="10"/>
        <v>1550287</v>
      </c>
      <c r="J13" s="4190">
        <f t="shared" si="10"/>
        <v>226543</v>
      </c>
      <c r="K13" s="4190">
        <f t="shared" si="9"/>
        <v>0</v>
      </c>
      <c r="L13" s="4190">
        <f t="shared" si="9"/>
        <v>0</v>
      </c>
      <c r="M13" s="4194">
        <f>SUM(F13:K13)</f>
        <v>3999244</v>
      </c>
      <c r="N13" s="4194">
        <f>SUM(G13:L13)</f>
        <v>3999244</v>
      </c>
      <c r="O13" s="4193"/>
      <c r="P13" s="4148"/>
    </row>
    <row r="14" spans="1:19" s="4187" customFormat="1" ht="14.25" customHeight="1">
      <c r="A14" s="4165"/>
      <c r="B14" s="4181" t="s">
        <v>18</v>
      </c>
      <c r="C14" s="4195"/>
      <c r="D14" s="4183">
        <f>+D15</f>
        <v>33993576</v>
      </c>
      <c r="E14" s="4183">
        <f t="shared" ref="E14:K14" si="11">+E15</f>
        <v>0</v>
      </c>
      <c r="F14" s="4183">
        <f t="shared" si="11"/>
        <v>0</v>
      </c>
      <c r="G14" s="4183">
        <f t="shared" si="11"/>
        <v>5089442</v>
      </c>
      <c r="H14" s="4183">
        <f t="shared" si="11"/>
        <v>13801078</v>
      </c>
      <c r="I14" s="4183">
        <f t="shared" si="11"/>
        <v>13177439</v>
      </c>
      <c r="J14" s="4183">
        <f t="shared" si="11"/>
        <v>1925617</v>
      </c>
      <c r="K14" s="4183">
        <f t="shared" si="11"/>
        <v>0</v>
      </c>
      <c r="L14" s="4183">
        <f>+L15</f>
        <v>0</v>
      </c>
      <c r="M14" s="4196">
        <f>+M15</f>
        <v>33993576</v>
      </c>
      <c r="N14" s="4196">
        <f>+N15</f>
        <v>33993576</v>
      </c>
      <c r="O14" s="4197"/>
      <c r="P14" s="4186"/>
      <c r="Q14" s="4180"/>
    </row>
    <row r="15" spans="1:19" s="4138" customFormat="1" ht="14.25" customHeight="1">
      <c r="A15" s="4165"/>
      <c r="B15" s="4188" t="s">
        <v>20</v>
      </c>
      <c r="C15" s="4198"/>
      <c r="D15" s="4190">
        <f>+D28+D40</f>
        <v>33993576</v>
      </c>
      <c r="E15" s="4190">
        <f t="shared" ref="E15:L15" si="12">+E28</f>
        <v>0</v>
      </c>
      <c r="F15" s="4190">
        <f t="shared" si="12"/>
        <v>0</v>
      </c>
      <c r="G15" s="4190">
        <f>+G28+G40</f>
        <v>5089442</v>
      </c>
      <c r="H15" s="4190">
        <f t="shared" ref="H15:J15" si="13">+H28+H40</f>
        <v>13801078</v>
      </c>
      <c r="I15" s="4190">
        <f t="shared" si="13"/>
        <v>13177439</v>
      </c>
      <c r="J15" s="4190">
        <f t="shared" si="13"/>
        <v>1925617</v>
      </c>
      <c r="K15" s="4190">
        <f t="shared" si="12"/>
        <v>0</v>
      </c>
      <c r="L15" s="4190">
        <f t="shared" si="12"/>
        <v>0</v>
      </c>
      <c r="M15" s="4194">
        <f>SUM(F15:K15)</f>
        <v>33993576</v>
      </c>
      <c r="N15" s="4194">
        <f>SUM(G15:L15)</f>
        <v>33993576</v>
      </c>
      <c r="O15" s="4179"/>
      <c r="P15" s="4148"/>
      <c r="Q15" s="4148"/>
    </row>
    <row r="16" spans="1:19" s="4138" customFormat="1" ht="14.25" customHeight="1">
      <c r="A16" s="4165"/>
      <c r="B16" s="4199" t="s">
        <v>21</v>
      </c>
      <c r="C16" s="4200"/>
      <c r="D16" s="4201">
        <f>+D17+D19</f>
        <v>37992820</v>
      </c>
      <c r="E16" s="4201">
        <f t="shared" ref="E16:L16" si="14">+E17+E19</f>
        <v>0</v>
      </c>
      <c r="F16" s="4201">
        <f t="shared" si="14"/>
        <v>0</v>
      </c>
      <c r="G16" s="4201">
        <f t="shared" si="14"/>
        <v>5688200</v>
      </c>
      <c r="H16" s="4201">
        <f t="shared" si="14"/>
        <v>15424734</v>
      </c>
      <c r="I16" s="4201">
        <f t="shared" si="14"/>
        <v>14727726</v>
      </c>
      <c r="J16" s="4201">
        <f t="shared" si="14"/>
        <v>2152160</v>
      </c>
      <c r="K16" s="4201">
        <f t="shared" si="14"/>
        <v>0</v>
      </c>
      <c r="L16" s="4201">
        <f t="shared" si="14"/>
        <v>0</v>
      </c>
      <c r="M16" s="4202"/>
      <c r="N16" s="4202" t="s">
        <v>53</v>
      </c>
      <c r="O16" s="4179"/>
      <c r="P16" s="4148"/>
      <c r="S16" s="4180"/>
    </row>
    <row r="17" spans="1:17" s="4138" customFormat="1" ht="14.25" customHeight="1">
      <c r="A17" s="4165"/>
      <c r="B17" s="4203" t="s">
        <v>23</v>
      </c>
      <c r="C17" s="4204"/>
      <c r="D17" s="4205">
        <f>+D18</f>
        <v>3999244</v>
      </c>
      <c r="E17" s="4205">
        <f t="shared" ref="E17:L17" si="15">+E18</f>
        <v>0</v>
      </c>
      <c r="F17" s="4205">
        <f t="shared" si="15"/>
        <v>0</v>
      </c>
      <c r="G17" s="4205">
        <f t="shared" si="15"/>
        <v>598758</v>
      </c>
      <c r="H17" s="4205">
        <f t="shared" si="15"/>
        <v>1623656</v>
      </c>
      <c r="I17" s="4205">
        <f t="shared" si="15"/>
        <v>1550287</v>
      </c>
      <c r="J17" s="4205">
        <f t="shared" si="15"/>
        <v>226543</v>
      </c>
      <c r="K17" s="4205">
        <f t="shared" si="15"/>
        <v>0</v>
      </c>
      <c r="L17" s="4205">
        <f t="shared" si="15"/>
        <v>0</v>
      </c>
      <c r="M17" s="4206"/>
      <c r="N17" s="4206"/>
      <c r="O17" s="4179"/>
    </row>
    <row r="18" spans="1:17" s="4138" customFormat="1" ht="14.25" customHeight="1">
      <c r="A18" s="4165"/>
      <c r="B18" s="4207" t="s">
        <v>17</v>
      </c>
      <c r="C18" s="4208"/>
      <c r="D18" s="4190">
        <f>+D43+D31</f>
        <v>3999244</v>
      </c>
      <c r="E18" s="4190">
        <f t="shared" ref="E18:L18" si="16">+E31</f>
        <v>0</v>
      </c>
      <c r="F18" s="4190">
        <f t="shared" si="16"/>
        <v>0</v>
      </c>
      <c r="G18" s="4190">
        <f>+G31+G43</f>
        <v>598758</v>
      </c>
      <c r="H18" s="4190">
        <f t="shared" ref="H18:J18" si="17">+H31+H43</f>
        <v>1623656</v>
      </c>
      <c r="I18" s="4190">
        <f t="shared" si="17"/>
        <v>1550287</v>
      </c>
      <c r="J18" s="4190">
        <f t="shared" si="17"/>
        <v>226543</v>
      </c>
      <c r="K18" s="4190">
        <f t="shared" si="16"/>
        <v>0</v>
      </c>
      <c r="L18" s="4190">
        <f t="shared" si="16"/>
        <v>0</v>
      </c>
      <c r="M18" s="4206"/>
      <c r="N18" s="4206"/>
      <c r="O18" s="4193"/>
      <c r="P18" s="4148"/>
    </row>
    <row r="19" spans="1:17" s="4138" customFormat="1" ht="14.25" customHeight="1">
      <c r="A19" s="4165"/>
      <c r="B19" s="4209" t="s">
        <v>18</v>
      </c>
      <c r="C19" s="4210"/>
      <c r="D19" s="4205">
        <f>+D20</f>
        <v>33993576</v>
      </c>
      <c r="E19" s="4205">
        <f t="shared" ref="E19:L19" si="18">+E20</f>
        <v>0</v>
      </c>
      <c r="F19" s="4205">
        <f t="shared" si="18"/>
        <v>0</v>
      </c>
      <c r="G19" s="4205">
        <f t="shared" si="18"/>
        <v>5089442</v>
      </c>
      <c r="H19" s="4205">
        <f t="shared" si="18"/>
        <v>13801078</v>
      </c>
      <c r="I19" s="4205">
        <f t="shared" si="18"/>
        <v>13177439</v>
      </c>
      <c r="J19" s="4205">
        <f t="shared" si="18"/>
        <v>1925617</v>
      </c>
      <c r="K19" s="4205">
        <f t="shared" si="18"/>
        <v>0</v>
      </c>
      <c r="L19" s="4205">
        <f t="shared" si="18"/>
        <v>0</v>
      </c>
      <c r="M19" s="4206"/>
      <c r="N19" s="4206"/>
      <c r="O19" s="4193"/>
      <c r="P19" s="4148"/>
    </row>
    <row r="20" spans="1:17" s="4138" customFormat="1" ht="15" customHeight="1" thickBot="1">
      <c r="A20" s="4211"/>
      <c r="B20" s="4212" t="s">
        <v>20</v>
      </c>
      <c r="C20" s="4213"/>
      <c r="D20" s="4214">
        <f>+D33+D45</f>
        <v>33993576</v>
      </c>
      <c r="E20" s="4214">
        <f t="shared" ref="E20:L20" si="19">+E33</f>
        <v>0</v>
      </c>
      <c r="F20" s="4214">
        <f t="shared" si="19"/>
        <v>0</v>
      </c>
      <c r="G20" s="4214">
        <f>+G33+G45</f>
        <v>5089442</v>
      </c>
      <c r="H20" s="4214">
        <f t="shared" ref="H20:J20" si="20">+H33+H45</f>
        <v>13801078</v>
      </c>
      <c r="I20" s="4214">
        <f t="shared" si="20"/>
        <v>13177439</v>
      </c>
      <c r="J20" s="4214">
        <f t="shared" si="20"/>
        <v>1925617</v>
      </c>
      <c r="K20" s="4214">
        <f t="shared" si="19"/>
        <v>0</v>
      </c>
      <c r="L20" s="4214">
        <f t="shared" si="19"/>
        <v>0</v>
      </c>
      <c r="M20" s="4215"/>
      <c r="N20" s="4215"/>
      <c r="O20" s="4216"/>
    </row>
    <row r="21" spans="1:17" ht="27.75" customHeight="1">
      <c r="A21" s="4217" t="s">
        <v>55</v>
      </c>
      <c r="B21" s="4218" t="s">
        <v>722</v>
      </c>
      <c r="C21" s="4219" t="s">
        <v>74</v>
      </c>
      <c r="D21" s="4220"/>
      <c r="E21" s="4221"/>
      <c r="F21" s="4221"/>
      <c r="G21" s="4221"/>
      <c r="H21" s="4222"/>
      <c r="I21" s="4222"/>
      <c r="J21" s="4222"/>
      <c r="K21" s="4221"/>
      <c r="L21" s="4223"/>
      <c r="M21" s="4224"/>
      <c r="N21" s="4225"/>
      <c r="O21" s="4226" t="s">
        <v>712</v>
      </c>
    </row>
    <row r="22" spans="1:17" ht="12" customHeight="1">
      <c r="A22" s="4227"/>
      <c r="B22" s="4228" t="s">
        <v>10</v>
      </c>
      <c r="C22" s="4229"/>
      <c r="D22" s="4230">
        <f>+D23+D27</f>
        <v>38726099</v>
      </c>
      <c r="E22" s="4231">
        <v>0</v>
      </c>
      <c r="F22" s="4231">
        <v>0</v>
      </c>
      <c r="G22" s="4230">
        <f>+G23+G27</f>
        <v>5797985</v>
      </c>
      <c r="H22" s="4230">
        <f>+H23+H27</f>
        <v>15722439</v>
      </c>
      <c r="I22" s="4230">
        <f>+I23+I27</f>
        <v>15011977</v>
      </c>
      <c r="J22" s="4230">
        <f>+J23+J27</f>
        <v>2193698</v>
      </c>
      <c r="K22" s="4231">
        <v>0</v>
      </c>
      <c r="L22" s="4231">
        <v>0</v>
      </c>
      <c r="M22" s="4232">
        <f>+M23+M27</f>
        <v>3872611</v>
      </c>
      <c r="N22" s="4233">
        <f>+N23+N27</f>
        <v>37726477</v>
      </c>
      <c r="O22" s="4234"/>
      <c r="P22" s="4235"/>
    </row>
    <row r="23" spans="1:17" ht="12" customHeight="1">
      <c r="A23" s="4227"/>
      <c r="B23" s="4236" t="s">
        <v>23</v>
      </c>
      <c r="C23" s="4237" t="s">
        <v>710</v>
      </c>
      <c r="D23" s="4238">
        <f>+D24+D25+D26</f>
        <v>5808915</v>
      </c>
      <c r="E23" s="4239">
        <v>0</v>
      </c>
      <c r="F23" s="4239">
        <v>0</v>
      </c>
      <c r="G23" s="4240">
        <f>+G24+G25+G26</f>
        <v>869698</v>
      </c>
      <c r="H23" s="4240">
        <f>+H24+H25+H26</f>
        <v>2358366</v>
      </c>
      <c r="I23" s="4240">
        <f>+I24+I25+I26</f>
        <v>2251796</v>
      </c>
      <c r="J23" s="4240">
        <f>+J24+J25+J26</f>
        <v>329055</v>
      </c>
      <c r="K23" s="4239">
        <v>0</v>
      </c>
      <c r="L23" s="4239">
        <v>0</v>
      </c>
      <c r="M23" s="4241">
        <f>+M26</f>
        <v>3872611</v>
      </c>
      <c r="N23" s="4242">
        <f>+N24+N26</f>
        <v>4809293</v>
      </c>
      <c r="O23" s="4234"/>
    </row>
    <row r="24" spans="1:17" ht="12" customHeight="1">
      <c r="A24" s="4227"/>
      <c r="B24" s="4243" t="s">
        <v>119</v>
      </c>
      <c r="C24" s="4244"/>
      <c r="D24" s="4245">
        <f>+G24+H24+I24+J24</f>
        <v>936682</v>
      </c>
      <c r="E24" s="4239">
        <v>0</v>
      </c>
      <c r="F24" s="4239">
        <v>0</v>
      </c>
      <c r="G24" s="4246">
        <v>0</v>
      </c>
      <c r="H24" s="4246">
        <v>76399</v>
      </c>
      <c r="I24" s="4246">
        <v>750598</v>
      </c>
      <c r="J24" s="4246">
        <v>109685</v>
      </c>
      <c r="K24" s="4239">
        <v>0</v>
      </c>
      <c r="L24" s="4239">
        <v>0</v>
      </c>
      <c r="M24" s="4241"/>
      <c r="N24" s="4247">
        <f>+J24+I24+H24+G24</f>
        <v>936682</v>
      </c>
      <c r="O24" s="4234"/>
    </row>
    <row r="25" spans="1:17" ht="12" customHeight="1">
      <c r="A25" s="4227"/>
      <c r="B25" s="4248" t="s">
        <v>31</v>
      </c>
      <c r="C25" s="4244"/>
      <c r="D25" s="4245">
        <f>+G25+H25+I25+J25</f>
        <v>999622</v>
      </c>
      <c r="E25" s="4249">
        <v>0</v>
      </c>
      <c r="F25" s="4250">
        <v>0</v>
      </c>
      <c r="G25" s="4246">
        <v>289899</v>
      </c>
      <c r="H25" s="4246">
        <v>709723</v>
      </c>
      <c r="I25" s="4246">
        <v>0</v>
      </c>
      <c r="J25" s="4246">
        <v>0</v>
      </c>
      <c r="K25" s="4250">
        <v>0</v>
      </c>
      <c r="L25" s="4250">
        <v>0</v>
      </c>
      <c r="M25" s="4251" t="s">
        <v>53</v>
      </c>
      <c r="N25" s="4252" t="s">
        <v>53</v>
      </c>
      <c r="O25" s="4234"/>
      <c r="Q25" s="4235"/>
    </row>
    <row r="26" spans="1:17" ht="12" customHeight="1">
      <c r="A26" s="4227"/>
      <c r="B26" s="4253" t="s">
        <v>711</v>
      </c>
      <c r="C26" s="4244"/>
      <c r="D26" s="4245">
        <f>E26+F26+G26+H26+I26+J26+K26+L26</f>
        <v>3872611</v>
      </c>
      <c r="E26" s="4249">
        <v>0</v>
      </c>
      <c r="F26" s="4250">
        <v>0</v>
      </c>
      <c r="G26" s="4246">
        <v>579799</v>
      </c>
      <c r="H26" s="4246">
        <v>1572244</v>
      </c>
      <c r="I26" s="4246">
        <v>1501198</v>
      </c>
      <c r="J26" s="4246">
        <v>219370</v>
      </c>
      <c r="K26" s="4250">
        <v>0</v>
      </c>
      <c r="L26" s="4250">
        <v>0</v>
      </c>
      <c r="M26" s="4254">
        <f>SUM(F26:K26)</f>
        <v>3872611</v>
      </c>
      <c r="N26" s="4255">
        <f t="shared" ref="N26" si="21">SUM(G26:L26)</f>
        <v>3872611</v>
      </c>
      <c r="O26" s="4234"/>
    </row>
    <row r="27" spans="1:17" ht="12" customHeight="1">
      <c r="A27" s="4227"/>
      <c r="B27" s="4236" t="s">
        <v>18</v>
      </c>
      <c r="C27" s="4244"/>
      <c r="D27" s="4240">
        <f>+D28</f>
        <v>32917184</v>
      </c>
      <c r="E27" s="4249">
        <v>0</v>
      </c>
      <c r="F27" s="4250">
        <v>0</v>
      </c>
      <c r="G27" s="4240">
        <f>+G28</f>
        <v>4928287</v>
      </c>
      <c r="H27" s="4240">
        <f t="shared" ref="H27:J27" si="22">+H28</f>
        <v>13364073</v>
      </c>
      <c r="I27" s="4240">
        <f t="shared" si="22"/>
        <v>12760181</v>
      </c>
      <c r="J27" s="4240">
        <f t="shared" si="22"/>
        <v>1864643</v>
      </c>
      <c r="K27" s="4256">
        <v>0</v>
      </c>
      <c r="L27" s="4256">
        <v>0</v>
      </c>
      <c r="M27" s="4257"/>
      <c r="N27" s="4258">
        <f>+N28</f>
        <v>32917184</v>
      </c>
      <c r="O27" s="4234"/>
    </row>
    <row r="28" spans="1:17" ht="12" customHeight="1">
      <c r="A28" s="4227"/>
      <c r="B28" s="4253" t="s">
        <v>713</v>
      </c>
      <c r="C28" s="4259"/>
      <c r="D28" s="4245">
        <f>+E28+F28+G28+H28+I28+J28</f>
        <v>32917184</v>
      </c>
      <c r="E28" s="4249">
        <v>0</v>
      </c>
      <c r="F28" s="4250">
        <v>0</v>
      </c>
      <c r="G28" s="4246">
        <v>4928287</v>
      </c>
      <c r="H28" s="4246">
        <v>13364073</v>
      </c>
      <c r="I28" s="4246">
        <v>12760181</v>
      </c>
      <c r="J28" s="4246">
        <v>1864643</v>
      </c>
      <c r="K28" s="4256">
        <v>0</v>
      </c>
      <c r="L28" s="4256">
        <v>0</v>
      </c>
      <c r="M28" s="4260"/>
      <c r="N28" s="4261">
        <f>+J28+I28+H28+G28</f>
        <v>32917184</v>
      </c>
      <c r="O28" s="4262"/>
    </row>
    <row r="29" spans="1:17" ht="12" customHeight="1">
      <c r="A29" s="4227"/>
      <c r="B29" s="4228" t="s">
        <v>21</v>
      </c>
      <c r="C29" s="4229"/>
      <c r="D29" s="4230">
        <f>+D30+D32</f>
        <v>36789795</v>
      </c>
      <c r="E29" s="4231">
        <f>+E30+E32</f>
        <v>0</v>
      </c>
      <c r="F29" s="4231">
        <f>+F30+F32</f>
        <v>0</v>
      </c>
      <c r="G29" s="4263">
        <f>+G30+G32</f>
        <v>5508086</v>
      </c>
      <c r="H29" s="4263">
        <f t="shared" ref="H29:J29" si="23">+H30+H32</f>
        <v>14936317</v>
      </c>
      <c r="I29" s="4263">
        <f t="shared" si="23"/>
        <v>14261379</v>
      </c>
      <c r="J29" s="4263">
        <f t="shared" si="23"/>
        <v>2084013</v>
      </c>
      <c r="K29" s="4231">
        <v>0</v>
      </c>
      <c r="L29" s="4231">
        <v>0</v>
      </c>
      <c r="M29" s="4264" t="s">
        <v>53</v>
      </c>
      <c r="N29" s="4265" t="s">
        <v>53</v>
      </c>
      <c r="O29" s="4234" t="s">
        <v>718</v>
      </c>
    </row>
    <row r="30" spans="1:17" ht="12" customHeight="1">
      <c r="A30" s="4227"/>
      <c r="B30" s="4266" t="s">
        <v>23</v>
      </c>
      <c r="C30" s="4267" t="s">
        <v>214</v>
      </c>
      <c r="D30" s="4268">
        <f>+D31</f>
        <v>3872611</v>
      </c>
      <c r="E30" s="4269">
        <f>+E31</f>
        <v>0</v>
      </c>
      <c r="F30" s="4269">
        <f>+F31</f>
        <v>0</v>
      </c>
      <c r="G30" s="4240">
        <f>+G31</f>
        <v>579799</v>
      </c>
      <c r="H30" s="4240">
        <f t="shared" ref="H30:J30" si="24">+H31</f>
        <v>1572244</v>
      </c>
      <c r="I30" s="4240">
        <f t="shared" si="24"/>
        <v>1501198</v>
      </c>
      <c r="J30" s="4240">
        <f t="shared" si="24"/>
        <v>219370</v>
      </c>
      <c r="K30" s="4269">
        <v>0</v>
      </c>
      <c r="L30" s="4269">
        <v>0</v>
      </c>
      <c r="M30" s="4264"/>
      <c r="N30" s="4265"/>
      <c r="O30" s="4234"/>
    </row>
    <row r="31" spans="1:17" ht="12" customHeight="1">
      <c r="A31" s="4227"/>
      <c r="B31" s="4253" t="s">
        <v>711</v>
      </c>
      <c r="C31" s="4270"/>
      <c r="D31" s="4245">
        <f>+G31+H31+I31+J31</f>
        <v>3872611</v>
      </c>
      <c r="E31" s="4249">
        <v>0</v>
      </c>
      <c r="F31" s="4249">
        <v>0</v>
      </c>
      <c r="G31" s="4246">
        <v>579799</v>
      </c>
      <c r="H31" s="4246">
        <v>1572244</v>
      </c>
      <c r="I31" s="4246">
        <v>1501198</v>
      </c>
      <c r="J31" s="4246">
        <v>219370</v>
      </c>
      <c r="K31" s="4250">
        <v>0</v>
      </c>
      <c r="L31" s="4250">
        <v>0</v>
      </c>
      <c r="M31" s="4264"/>
      <c r="N31" s="4265"/>
      <c r="O31" s="4234"/>
      <c r="Q31" s="4235">
        <f>+D26+D38</f>
        <v>3999244</v>
      </c>
    </row>
    <row r="32" spans="1:17" ht="12" customHeight="1">
      <c r="A32" s="4227"/>
      <c r="B32" s="4271" t="s">
        <v>18</v>
      </c>
      <c r="C32" s="4270"/>
      <c r="D32" s="4240">
        <f t="shared" ref="D32:J32" si="25">+D33</f>
        <v>32917184</v>
      </c>
      <c r="E32" s="4249">
        <f t="shared" si="25"/>
        <v>0</v>
      </c>
      <c r="F32" s="4272">
        <f t="shared" si="25"/>
        <v>0</v>
      </c>
      <c r="G32" s="4240">
        <f t="shared" si="25"/>
        <v>4928287</v>
      </c>
      <c r="H32" s="4240">
        <f t="shared" si="25"/>
        <v>13364073</v>
      </c>
      <c r="I32" s="4240">
        <f t="shared" si="25"/>
        <v>12760181</v>
      </c>
      <c r="J32" s="4240">
        <f t="shared" si="25"/>
        <v>1864643</v>
      </c>
      <c r="K32" s="4269">
        <v>0</v>
      </c>
      <c r="L32" s="4269">
        <v>0</v>
      </c>
      <c r="M32" s="4254"/>
      <c r="N32" s="4255"/>
      <c r="O32" s="4234"/>
      <c r="Q32" s="4235">
        <f>+D33+D45</f>
        <v>33993576</v>
      </c>
    </row>
    <row r="33" spans="1:17" ht="12" customHeight="1" thickBot="1">
      <c r="A33" s="4273"/>
      <c r="B33" s="4274" t="s">
        <v>20</v>
      </c>
      <c r="C33" s="4275"/>
      <c r="D33" s="4276">
        <f>+E33+F33+G33+H33+I33+J33</f>
        <v>32917184</v>
      </c>
      <c r="E33" s="4277"/>
      <c r="F33" s="4278"/>
      <c r="G33" s="4279">
        <v>4928287</v>
      </c>
      <c r="H33" s="4279">
        <v>13364073</v>
      </c>
      <c r="I33" s="4279">
        <v>12760181</v>
      </c>
      <c r="J33" s="4279">
        <v>1864643</v>
      </c>
      <c r="K33" s="4278">
        <v>0</v>
      </c>
      <c r="L33" s="4278">
        <v>0</v>
      </c>
      <c r="M33" s="4280"/>
      <c r="N33" s="4281"/>
      <c r="O33" s="4282"/>
      <c r="Q33" s="4235">
        <f>+Q31+Q32</f>
        <v>37992820</v>
      </c>
    </row>
    <row r="34" spans="1:17" ht="31.5" customHeight="1">
      <c r="A34" s="4217" t="s">
        <v>56</v>
      </c>
      <c r="B34" s="4218" t="s">
        <v>723</v>
      </c>
      <c r="C34" s="4219" t="s">
        <v>101</v>
      </c>
      <c r="D34" s="4220"/>
      <c r="E34" s="4221"/>
      <c r="F34" s="4221"/>
      <c r="G34" s="4221"/>
      <c r="H34" s="4221"/>
      <c r="I34" s="4221"/>
      <c r="J34" s="4221"/>
      <c r="K34" s="4221"/>
      <c r="L34" s="4223"/>
      <c r="M34" s="4224"/>
      <c r="N34" s="4225"/>
      <c r="O34" s="4226" t="s">
        <v>719</v>
      </c>
    </row>
    <row r="35" spans="1:17" ht="12" customHeight="1">
      <c r="A35" s="4227"/>
      <c r="B35" s="4228" t="s">
        <v>10</v>
      </c>
      <c r="C35" s="4229"/>
      <c r="D35" s="4230">
        <f>+D36+D39</f>
        <v>1266343</v>
      </c>
      <c r="E35" s="4231">
        <v>0</v>
      </c>
      <c r="F35" s="4231">
        <v>0</v>
      </c>
      <c r="G35" s="4230">
        <f>+G36+G39</f>
        <v>189594</v>
      </c>
      <c r="H35" s="4230">
        <f>+H36+H39</f>
        <v>514124</v>
      </c>
      <c r="I35" s="4230">
        <f>+I36+I39</f>
        <v>490892</v>
      </c>
      <c r="J35" s="4230">
        <f>+J36+J39</f>
        <v>71733</v>
      </c>
      <c r="K35" s="4231">
        <v>0</v>
      </c>
      <c r="L35" s="4231">
        <v>0</v>
      </c>
      <c r="M35" s="4232" t="e">
        <f>+M36+M39</f>
        <v>#REF!</v>
      </c>
      <c r="N35" s="4233">
        <f>+N36+N39</f>
        <v>1266343</v>
      </c>
      <c r="O35" s="4234"/>
    </row>
    <row r="36" spans="1:17" ht="12" customHeight="1">
      <c r="A36" s="4227"/>
      <c r="B36" s="4236" t="s">
        <v>23</v>
      </c>
      <c r="C36" s="4237" t="s">
        <v>140</v>
      </c>
      <c r="D36" s="4238">
        <f>+D37+D38</f>
        <v>189951</v>
      </c>
      <c r="E36" s="4239">
        <v>0</v>
      </c>
      <c r="F36" s="4239">
        <v>0</v>
      </c>
      <c r="G36" s="4240">
        <f>+G37+G38</f>
        <v>28439</v>
      </c>
      <c r="H36" s="4240">
        <f t="shared" ref="H36:J36" si="26">+H37+H38</f>
        <v>77119</v>
      </c>
      <c r="I36" s="4240">
        <f t="shared" si="26"/>
        <v>73634</v>
      </c>
      <c r="J36" s="4240">
        <f t="shared" si="26"/>
        <v>10759</v>
      </c>
      <c r="K36" s="4239">
        <v>0</v>
      </c>
      <c r="L36" s="4239">
        <v>0</v>
      </c>
      <c r="M36" s="4241" t="e">
        <f>+#REF!+M38+#REF!</f>
        <v>#REF!</v>
      </c>
      <c r="N36" s="4242">
        <f>+N37+N38</f>
        <v>189951</v>
      </c>
      <c r="O36" s="4234"/>
    </row>
    <row r="37" spans="1:17" ht="12" customHeight="1">
      <c r="A37" s="4227"/>
      <c r="B37" s="4243" t="s">
        <v>119</v>
      </c>
      <c r="C37" s="4244"/>
      <c r="D37" s="4245">
        <f>+G37+H37+I37+J37</f>
        <v>63318</v>
      </c>
      <c r="E37" s="4239">
        <v>0</v>
      </c>
      <c r="F37" s="4239">
        <v>0</v>
      </c>
      <c r="G37" s="4246">
        <v>9480</v>
      </c>
      <c r="H37" s="4246">
        <v>25707</v>
      </c>
      <c r="I37" s="4246">
        <v>24545</v>
      </c>
      <c r="J37" s="4246">
        <v>3586</v>
      </c>
      <c r="K37" s="4239">
        <v>0</v>
      </c>
      <c r="L37" s="4239">
        <v>0</v>
      </c>
      <c r="M37" s="4241"/>
      <c r="N37" s="4247">
        <f>+J37+I37+H37+G37</f>
        <v>63318</v>
      </c>
      <c r="O37" s="4234"/>
      <c r="Q37" s="4235"/>
    </row>
    <row r="38" spans="1:17" ht="12" customHeight="1">
      <c r="A38" s="4227"/>
      <c r="B38" s="4253" t="s">
        <v>711</v>
      </c>
      <c r="C38" s="4244"/>
      <c r="D38" s="4245">
        <f>E38+F38+G38+H38+I38+J38+K38+L38</f>
        <v>126633</v>
      </c>
      <c r="E38" s="4249">
        <v>0</v>
      </c>
      <c r="F38" s="4250">
        <v>0</v>
      </c>
      <c r="G38" s="4246">
        <v>18959</v>
      </c>
      <c r="H38" s="4246">
        <v>51412</v>
      </c>
      <c r="I38" s="4246">
        <v>49089</v>
      </c>
      <c r="J38" s="4246">
        <v>7173</v>
      </c>
      <c r="K38" s="4250">
        <v>0</v>
      </c>
      <c r="L38" s="4250">
        <v>0</v>
      </c>
      <c r="M38" s="4254">
        <f>SUM(F38:K38)</f>
        <v>126633</v>
      </c>
      <c r="N38" s="4255">
        <f t="shared" ref="N38" si="27">SUM(G38:L38)</f>
        <v>126633</v>
      </c>
      <c r="O38" s="4234"/>
    </row>
    <row r="39" spans="1:17" ht="12" customHeight="1">
      <c r="A39" s="4227"/>
      <c r="B39" s="4236" t="s">
        <v>18</v>
      </c>
      <c r="C39" s="4244"/>
      <c r="D39" s="4240">
        <f>+D40</f>
        <v>1076392</v>
      </c>
      <c r="E39" s="4249">
        <v>0</v>
      </c>
      <c r="F39" s="4250">
        <v>0</v>
      </c>
      <c r="G39" s="4240">
        <f>+G40</f>
        <v>161155</v>
      </c>
      <c r="H39" s="4240">
        <f t="shared" ref="H39:J39" si="28">+H40</f>
        <v>437005</v>
      </c>
      <c r="I39" s="4240">
        <f t="shared" si="28"/>
        <v>417258</v>
      </c>
      <c r="J39" s="4240">
        <f t="shared" si="28"/>
        <v>60974</v>
      </c>
      <c r="K39" s="4256">
        <v>0</v>
      </c>
      <c r="L39" s="4256">
        <v>0</v>
      </c>
      <c r="M39" s="4257"/>
      <c r="N39" s="4258">
        <f>+N40</f>
        <v>1076392</v>
      </c>
      <c r="O39" s="4234"/>
    </row>
    <row r="40" spans="1:17" ht="12" customHeight="1">
      <c r="A40" s="4227"/>
      <c r="B40" s="4253" t="s">
        <v>713</v>
      </c>
      <c r="C40" s="4259"/>
      <c r="D40" s="4245">
        <f>+E40+F40+G40+H40+I40+J40</f>
        <v>1076392</v>
      </c>
      <c r="E40" s="4249">
        <v>0</v>
      </c>
      <c r="F40" s="4250">
        <v>0</v>
      </c>
      <c r="G40" s="4246">
        <v>161155</v>
      </c>
      <c r="H40" s="4246">
        <v>437005</v>
      </c>
      <c r="I40" s="4246">
        <v>417258</v>
      </c>
      <c r="J40" s="4246">
        <v>60974</v>
      </c>
      <c r="K40" s="4256">
        <v>0</v>
      </c>
      <c r="L40" s="4256">
        <v>0</v>
      </c>
      <c r="M40" s="4260"/>
      <c r="N40" s="4261">
        <f>+J40+I40+H40+G40</f>
        <v>1076392</v>
      </c>
      <c r="O40" s="4262"/>
    </row>
    <row r="41" spans="1:17" ht="12" customHeight="1">
      <c r="A41" s="4227"/>
      <c r="B41" s="4228" t="s">
        <v>21</v>
      </c>
      <c r="C41" s="4229"/>
      <c r="D41" s="4230">
        <f>+D42+D44</f>
        <v>1203025</v>
      </c>
      <c r="E41" s="4231">
        <f>+E42+E44</f>
        <v>0</v>
      </c>
      <c r="F41" s="4231">
        <f>+F42+F44</f>
        <v>0</v>
      </c>
      <c r="G41" s="4230">
        <f>+G42+G44</f>
        <v>180114</v>
      </c>
      <c r="H41" s="4230">
        <f t="shared" ref="H41:J41" si="29">+H42+H44</f>
        <v>488417</v>
      </c>
      <c r="I41" s="4230">
        <f t="shared" si="29"/>
        <v>466347</v>
      </c>
      <c r="J41" s="4230">
        <f t="shared" si="29"/>
        <v>68147</v>
      </c>
      <c r="K41" s="4231">
        <v>0</v>
      </c>
      <c r="L41" s="4231">
        <v>0</v>
      </c>
      <c r="M41" s="4264" t="s">
        <v>53</v>
      </c>
      <c r="N41" s="4265" t="s">
        <v>53</v>
      </c>
      <c r="O41" s="4234" t="s">
        <v>718</v>
      </c>
    </row>
    <row r="42" spans="1:17" ht="12" customHeight="1">
      <c r="A42" s="4227"/>
      <c r="B42" s="4266" t="s">
        <v>23</v>
      </c>
      <c r="C42" s="4267" t="s">
        <v>214</v>
      </c>
      <c r="D42" s="4268">
        <f>+D43</f>
        <v>126633</v>
      </c>
      <c r="E42" s="4269">
        <f>+E43</f>
        <v>0</v>
      </c>
      <c r="F42" s="4269">
        <f>+F43</f>
        <v>0</v>
      </c>
      <c r="G42" s="4240">
        <f>+G43</f>
        <v>18959</v>
      </c>
      <c r="H42" s="4240">
        <f t="shared" ref="H42:J42" si="30">+H43</f>
        <v>51412</v>
      </c>
      <c r="I42" s="4240">
        <f t="shared" si="30"/>
        <v>49089</v>
      </c>
      <c r="J42" s="4240">
        <f t="shared" si="30"/>
        <v>7173</v>
      </c>
      <c r="K42" s="4269">
        <v>0</v>
      </c>
      <c r="L42" s="4269">
        <v>0</v>
      </c>
      <c r="M42" s="4264"/>
      <c r="N42" s="4265"/>
      <c r="O42" s="4234"/>
    </row>
    <row r="43" spans="1:17" ht="12" customHeight="1">
      <c r="A43" s="4227"/>
      <c r="B43" s="4253" t="s">
        <v>711</v>
      </c>
      <c r="C43" s="4270"/>
      <c r="D43" s="4245">
        <f>+G43+H43+I43+J43</f>
        <v>126633</v>
      </c>
      <c r="E43" s="4249">
        <v>0</v>
      </c>
      <c r="F43" s="4249">
        <v>0</v>
      </c>
      <c r="G43" s="4246">
        <v>18959</v>
      </c>
      <c r="H43" s="4246">
        <v>51412</v>
      </c>
      <c r="I43" s="4246">
        <v>49089</v>
      </c>
      <c r="J43" s="4246">
        <v>7173</v>
      </c>
      <c r="K43" s="4250">
        <v>0</v>
      </c>
      <c r="L43" s="4250">
        <v>0</v>
      </c>
      <c r="M43" s="4264"/>
      <c r="N43" s="4265"/>
      <c r="O43" s="4234"/>
    </row>
    <row r="44" spans="1:17" ht="12" customHeight="1">
      <c r="A44" s="4227"/>
      <c r="B44" s="4271" t="s">
        <v>18</v>
      </c>
      <c r="C44" s="4270"/>
      <c r="D44" s="4240">
        <f t="shared" ref="D44:J44" si="31">+D45</f>
        <v>1076392</v>
      </c>
      <c r="E44" s="4249">
        <f t="shared" si="31"/>
        <v>0</v>
      </c>
      <c r="F44" s="4272">
        <f t="shared" si="31"/>
        <v>0</v>
      </c>
      <c r="G44" s="4240">
        <f t="shared" si="31"/>
        <v>161155</v>
      </c>
      <c r="H44" s="4240">
        <f t="shared" si="31"/>
        <v>437005</v>
      </c>
      <c r="I44" s="4240">
        <f t="shared" si="31"/>
        <v>417258</v>
      </c>
      <c r="J44" s="4240">
        <f t="shared" si="31"/>
        <v>60974</v>
      </c>
      <c r="K44" s="4269">
        <v>0</v>
      </c>
      <c r="L44" s="4269">
        <v>0</v>
      </c>
      <c r="M44" s="4254"/>
      <c r="N44" s="4255"/>
      <c r="O44" s="4234"/>
    </row>
    <row r="45" spans="1:17" ht="12" customHeight="1" thickBot="1">
      <c r="A45" s="4273"/>
      <c r="B45" s="4274" t="s">
        <v>20</v>
      </c>
      <c r="C45" s="4275"/>
      <c r="D45" s="4276">
        <f>+E45+F45+G45+H45+I45+J45</f>
        <v>1076392</v>
      </c>
      <c r="E45" s="4249">
        <v>0</v>
      </c>
      <c r="F45" s="4249">
        <v>0</v>
      </c>
      <c r="G45" s="4279">
        <v>161155</v>
      </c>
      <c r="H45" s="4279">
        <v>437005</v>
      </c>
      <c r="I45" s="4279">
        <v>417258</v>
      </c>
      <c r="J45" s="4279">
        <v>60974</v>
      </c>
      <c r="K45" s="4278">
        <v>0</v>
      </c>
      <c r="L45" s="4278">
        <v>0</v>
      </c>
      <c r="M45" s="4280"/>
      <c r="N45" s="4281"/>
      <c r="O45" s="4282"/>
    </row>
    <row r="46" spans="1:17" s="4286" customFormat="1" ht="24" customHeight="1" thickBot="1">
      <c r="A46" s="4283" t="s">
        <v>222</v>
      </c>
      <c r="B46" s="4283"/>
      <c r="C46" s="4283"/>
      <c r="D46" s="4283"/>
      <c r="E46" s="4283"/>
      <c r="F46" s="4284"/>
      <c r="G46" s="4284"/>
      <c r="H46" s="4285"/>
      <c r="I46" s="4285"/>
      <c r="J46" s="4285"/>
      <c r="K46" s="4285"/>
      <c r="L46" s="4285"/>
      <c r="M46" s="4285"/>
      <c r="N46" s="4285"/>
      <c r="O46" s="4285"/>
    </row>
    <row r="47" spans="1:17" ht="36.75" customHeight="1">
      <c r="A47" s="4287"/>
      <c r="B47" s="4287"/>
      <c r="C47" s="4129" t="s">
        <v>63</v>
      </c>
      <c r="D47" s="4288" t="s">
        <v>64</v>
      </c>
      <c r="E47" s="4289" t="s">
        <v>516</v>
      </c>
      <c r="F47" s="4132" t="s">
        <v>573</v>
      </c>
      <c r="G47" s="4133" t="s">
        <v>513</v>
      </c>
      <c r="H47" s="4134"/>
      <c r="I47" s="4134"/>
      <c r="J47" s="4134"/>
      <c r="K47" s="4134"/>
      <c r="L47" s="4135"/>
      <c r="M47" s="4136" t="s">
        <v>528</v>
      </c>
      <c r="N47" s="4136" t="s">
        <v>514</v>
      </c>
      <c r="O47" s="4290" t="s">
        <v>65</v>
      </c>
    </row>
    <row r="48" spans="1:17" ht="45.75" customHeight="1">
      <c r="A48" s="4291" t="s">
        <v>66</v>
      </c>
      <c r="B48" s="4292" t="s">
        <v>67</v>
      </c>
      <c r="C48" s="4293"/>
      <c r="D48" s="4294"/>
      <c r="E48" s="4295"/>
      <c r="F48" s="4296"/>
      <c r="G48" s="4297" t="s">
        <v>6</v>
      </c>
      <c r="H48" s="4297" t="s">
        <v>202</v>
      </c>
      <c r="I48" s="4297" t="s">
        <v>204</v>
      </c>
      <c r="J48" s="4297" t="s">
        <v>246</v>
      </c>
      <c r="K48" s="4297" t="s">
        <v>247</v>
      </c>
      <c r="L48" s="4297" t="s">
        <v>245</v>
      </c>
      <c r="M48" s="4298"/>
      <c r="N48" s="4298"/>
      <c r="O48" s="4299"/>
    </row>
    <row r="49" spans="1:18" ht="15.75" customHeight="1" thickBot="1">
      <c r="A49" s="4300"/>
      <c r="B49" s="4301"/>
      <c r="C49" s="4302"/>
      <c r="D49" s="4303"/>
      <c r="E49" s="4304"/>
      <c r="F49" s="4305"/>
      <c r="G49" s="4144"/>
      <c r="H49" s="4144"/>
      <c r="I49" s="4144"/>
      <c r="J49" s="4144"/>
      <c r="K49" s="4144"/>
      <c r="L49" s="4144"/>
      <c r="M49" s="4306"/>
      <c r="N49" s="4306"/>
      <c r="O49" s="4307"/>
    </row>
    <row r="50" spans="1:18" s="4313" customFormat="1" ht="12" customHeight="1" thickBot="1">
      <c r="A50" s="4308">
        <v>1</v>
      </c>
      <c r="B50" s="4309">
        <v>2</v>
      </c>
      <c r="C50" s="4310" t="s">
        <v>110</v>
      </c>
      <c r="D50" s="4310" t="s">
        <v>111</v>
      </c>
      <c r="E50" s="4310">
        <v>5</v>
      </c>
      <c r="F50" s="4310">
        <v>6</v>
      </c>
      <c r="G50" s="4310">
        <v>7</v>
      </c>
      <c r="H50" s="4310">
        <v>8</v>
      </c>
      <c r="I50" s="4310">
        <v>9</v>
      </c>
      <c r="J50" s="4310">
        <v>10</v>
      </c>
      <c r="K50" s="4310">
        <v>11</v>
      </c>
      <c r="L50" s="4310">
        <v>12</v>
      </c>
      <c r="M50" s="4311">
        <v>13</v>
      </c>
      <c r="N50" s="4311">
        <v>13</v>
      </c>
      <c r="O50" s="4312">
        <v>14</v>
      </c>
      <c r="Q50" s="4314"/>
    </row>
    <row r="51" spans="1:18" s="4071" customFormat="1" ht="15.75" customHeight="1">
      <c r="A51" s="4315"/>
      <c r="B51" s="4160" t="s">
        <v>68</v>
      </c>
      <c r="C51" s="4161"/>
      <c r="D51" s="4162">
        <f>+D52+D53</f>
        <v>74006029</v>
      </c>
      <c r="E51" s="4162">
        <f t="shared" ref="E51" si="32">+E52+E53</f>
        <v>0</v>
      </c>
      <c r="F51" s="4162">
        <f t="shared" ref="F51" si="33">+F52+F53</f>
        <v>0</v>
      </c>
      <c r="G51" s="4162">
        <f t="shared" ref="G51:N51" si="34">+G52+G53</f>
        <v>2354619</v>
      </c>
      <c r="H51" s="4162">
        <f t="shared" si="34"/>
        <v>9647017</v>
      </c>
      <c r="I51" s="4162">
        <f t="shared" si="34"/>
        <v>9647017</v>
      </c>
      <c r="J51" s="4162">
        <f t="shared" si="34"/>
        <v>9647017</v>
      </c>
      <c r="K51" s="4162">
        <f t="shared" si="34"/>
        <v>5007017</v>
      </c>
      <c r="L51" s="4316">
        <f t="shared" si="34"/>
        <v>4067017</v>
      </c>
      <c r="M51" s="4317">
        <f t="shared" ref="M51" si="35">+M52+M53</f>
        <v>60506029</v>
      </c>
      <c r="N51" s="4318">
        <f t="shared" si="34"/>
        <v>74006029</v>
      </c>
      <c r="O51" s="4319"/>
      <c r="Q51" s="4116"/>
      <c r="R51" s="4116"/>
    </row>
    <row r="52" spans="1:18" s="4071" customFormat="1" ht="15.75" customHeight="1">
      <c r="A52" s="4320"/>
      <c r="B52" s="4166" t="s">
        <v>69</v>
      </c>
      <c r="C52" s="4167"/>
      <c r="D52" s="4168">
        <f>+D87+D92+D97</f>
        <v>60506029</v>
      </c>
      <c r="E52" s="4321">
        <f t="shared" ref="E52:N52" si="36">+E87+E92+E97</f>
        <v>0</v>
      </c>
      <c r="F52" s="4322">
        <f t="shared" si="36"/>
        <v>0</v>
      </c>
      <c r="G52" s="4322">
        <f t="shared" si="36"/>
        <v>2354619</v>
      </c>
      <c r="H52" s="4322">
        <f t="shared" si="36"/>
        <v>5147017</v>
      </c>
      <c r="I52" s="4322">
        <f t="shared" si="36"/>
        <v>5147017</v>
      </c>
      <c r="J52" s="4322">
        <f t="shared" si="36"/>
        <v>5147017</v>
      </c>
      <c r="K52" s="4322">
        <f t="shared" si="36"/>
        <v>5007017</v>
      </c>
      <c r="L52" s="4322">
        <f t="shared" si="36"/>
        <v>4067017</v>
      </c>
      <c r="M52" s="4323">
        <f t="shared" si="36"/>
        <v>60506029</v>
      </c>
      <c r="N52" s="4323">
        <f t="shared" si="36"/>
        <v>60506029</v>
      </c>
      <c r="O52" s="4324"/>
    </row>
    <row r="53" spans="1:18" s="4071" customFormat="1" ht="15.75" customHeight="1" thickBot="1">
      <c r="A53" s="4320"/>
      <c r="B53" s="4325" t="s">
        <v>9</v>
      </c>
      <c r="C53" s="4326"/>
      <c r="D53" s="4327">
        <f>+D101</f>
        <v>13500000</v>
      </c>
      <c r="E53" s="4328">
        <f t="shared" ref="E53:M53" si="37">+E74+E75+E76</f>
        <v>0</v>
      </c>
      <c r="F53" s="4327">
        <f t="shared" si="37"/>
        <v>0</v>
      </c>
      <c r="G53" s="4327">
        <f t="shared" si="37"/>
        <v>0</v>
      </c>
      <c r="H53" s="4327">
        <f>+H101</f>
        <v>4500000</v>
      </c>
      <c r="I53" s="4327">
        <f t="shared" ref="I53:J53" si="38">+I101</f>
        <v>4500000</v>
      </c>
      <c r="J53" s="4327">
        <f t="shared" si="38"/>
        <v>4500000</v>
      </c>
      <c r="K53" s="4327">
        <f t="shared" si="37"/>
        <v>0</v>
      </c>
      <c r="L53" s="4327">
        <f t="shared" si="37"/>
        <v>0</v>
      </c>
      <c r="M53" s="4329">
        <f t="shared" si="37"/>
        <v>0</v>
      </c>
      <c r="N53" s="4329">
        <f>+N101</f>
        <v>13500000</v>
      </c>
      <c r="O53" s="4324"/>
    </row>
    <row r="54" spans="1:18" s="4313" customFormat="1" ht="15" customHeight="1">
      <c r="A54" s="4320"/>
      <c r="B54" s="4330" t="s">
        <v>10</v>
      </c>
      <c r="C54" s="4331"/>
      <c r="D54" s="4332">
        <f>+D55+D62</f>
        <v>78989222.640000001</v>
      </c>
      <c r="E54" s="4263">
        <f t="shared" ref="E54:L54" si="39">+E55+E62</f>
        <v>1776666.64</v>
      </c>
      <c r="F54" s="4263">
        <f t="shared" si="39"/>
        <v>1313333</v>
      </c>
      <c r="G54" s="4263">
        <f t="shared" si="39"/>
        <v>4247813</v>
      </c>
      <c r="H54" s="4263">
        <f t="shared" si="39"/>
        <v>9647017</v>
      </c>
      <c r="I54" s="4263">
        <f t="shared" si="39"/>
        <v>9647017</v>
      </c>
      <c r="J54" s="4263">
        <f t="shared" si="39"/>
        <v>9647017</v>
      </c>
      <c r="K54" s="4263">
        <f t="shared" si="39"/>
        <v>5007017</v>
      </c>
      <c r="L54" s="4263">
        <f t="shared" si="39"/>
        <v>4067017</v>
      </c>
      <c r="M54" s="4333">
        <f>SUM(M55,M62)</f>
        <v>60506029</v>
      </c>
      <c r="N54" s="4334">
        <f>SUM(N55,N62)</f>
        <v>74006029</v>
      </c>
      <c r="O54" s="4335"/>
      <c r="R54" s="4336"/>
    </row>
    <row r="55" spans="1:18" s="4343" customFormat="1" ht="14.25" customHeight="1">
      <c r="A55" s="4320"/>
      <c r="B55" s="4337" t="s">
        <v>11</v>
      </c>
      <c r="C55" s="4338"/>
      <c r="D55" s="4339">
        <f>SUM(D56:D61)</f>
        <v>78989222.640000001</v>
      </c>
      <c r="E55" s="4339">
        <f t="shared" ref="E55:L55" si="40">SUM(E56:E61)</f>
        <v>1776666.64</v>
      </c>
      <c r="F55" s="4339">
        <f t="shared" si="40"/>
        <v>1313333</v>
      </c>
      <c r="G55" s="4339">
        <f t="shared" si="40"/>
        <v>4247813</v>
      </c>
      <c r="H55" s="4339">
        <f t="shared" si="40"/>
        <v>9647017</v>
      </c>
      <c r="I55" s="4339">
        <f t="shared" si="40"/>
        <v>9647017</v>
      </c>
      <c r="J55" s="4339">
        <f t="shared" si="40"/>
        <v>9647017</v>
      </c>
      <c r="K55" s="4339">
        <f t="shared" si="40"/>
        <v>5007017</v>
      </c>
      <c r="L55" s="4339">
        <f t="shared" si="40"/>
        <v>4067017</v>
      </c>
      <c r="M55" s="4340">
        <f>SUM(M56:M61)</f>
        <v>60506029</v>
      </c>
      <c r="N55" s="4341">
        <f>SUM(N56:N61)</f>
        <v>74006029</v>
      </c>
      <c r="O55" s="4342"/>
      <c r="Q55" s="4344"/>
    </row>
    <row r="56" spans="1:18" s="4343" customFormat="1" ht="14.25" customHeight="1">
      <c r="A56" s="4320"/>
      <c r="B56" s="4345" t="s">
        <v>12</v>
      </c>
      <c r="C56" s="4338"/>
      <c r="D56" s="4346">
        <f>+D87+D92+D97+D101</f>
        <v>74006029</v>
      </c>
      <c r="E56" s="4346">
        <f t="shared" ref="E56:K56" si="41">+E87+E92+E97</f>
        <v>0</v>
      </c>
      <c r="F56" s="4346">
        <f t="shared" si="41"/>
        <v>0</v>
      </c>
      <c r="G56" s="4346">
        <f t="shared" si="41"/>
        <v>2354619</v>
      </c>
      <c r="H56" s="4346">
        <f>+H87+H92+H97+H101</f>
        <v>9647017</v>
      </c>
      <c r="I56" s="4346">
        <f t="shared" ref="I56:J56" si="42">+I87+I92+I97+I101</f>
        <v>9647017</v>
      </c>
      <c r="J56" s="4346">
        <f t="shared" si="42"/>
        <v>9647017</v>
      </c>
      <c r="K56" s="4346">
        <f t="shared" si="41"/>
        <v>5007017</v>
      </c>
      <c r="L56" s="4346">
        <f>+L87+L92+L97</f>
        <v>4067017</v>
      </c>
      <c r="M56" s="4347">
        <f>+M87+M92+M97</f>
        <v>60506029</v>
      </c>
      <c r="N56" s="4348">
        <f>+N87+N92+N97+N101</f>
        <v>74006029</v>
      </c>
      <c r="O56" s="4342"/>
      <c r="Q56" s="4344"/>
      <c r="R56" s="4344"/>
    </row>
    <row r="57" spans="1:18" s="4313" customFormat="1" ht="14.25" customHeight="1" thickBot="1">
      <c r="A57" s="4320"/>
      <c r="B57" s="4345" t="s">
        <v>31</v>
      </c>
      <c r="C57" s="4349"/>
      <c r="D57" s="4350">
        <f t="shared" ref="D57:L57" si="43">+D73+D86+D91+D96</f>
        <v>4983193.6400000006</v>
      </c>
      <c r="E57" s="4350">
        <f t="shared" si="43"/>
        <v>1776666.64</v>
      </c>
      <c r="F57" s="4350">
        <f t="shared" si="43"/>
        <v>1313333</v>
      </c>
      <c r="G57" s="4350">
        <f t="shared" si="43"/>
        <v>1893194</v>
      </c>
      <c r="H57" s="4350">
        <f t="shared" si="43"/>
        <v>0</v>
      </c>
      <c r="I57" s="4350">
        <f t="shared" si="43"/>
        <v>0</v>
      </c>
      <c r="J57" s="4350">
        <f t="shared" si="43"/>
        <v>0</v>
      </c>
      <c r="K57" s="4350">
        <f t="shared" si="43"/>
        <v>0</v>
      </c>
      <c r="L57" s="4350">
        <f t="shared" si="43"/>
        <v>0</v>
      </c>
      <c r="M57" s="4251" t="s">
        <v>53</v>
      </c>
      <c r="N57" s="4252" t="s">
        <v>53</v>
      </c>
      <c r="O57" s="4335"/>
      <c r="Q57" s="4336"/>
      <c r="R57" s="4336"/>
    </row>
    <row r="58" spans="1:18" s="4313" customFormat="1" ht="14.25" hidden="1" customHeight="1">
      <c r="A58" s="4320"/>
      <c r="B58" s="4345" t="s">
        <v>113</v>
      </c>
      <c r="C58" s="4351"/>
      <c r="D58" s="4350">
        <f>+D74</f>
        <v>0</v>
      </c>
      <c r="E58" s="4350">
        <f t="shared" ref="E58:L58" si="44">+E74</f>
        <v>0</v>
      </c>
      <c r="F58" s="4350">
        <f t="shared" si="44"/>
        <v>0</v>
      </c>
      <c r="G58" s="4350">
        <f t="shared" si="44"/>
        <v>0</v>
      </c>
      <c r="H58" s="4350">
        <f t="shared" si="44"/>
        <v>0</v>
      </c>
      <c r="I58" s="4350">
        <f t="shared" si="44"/>
        <v>0</v>
      </c>
      <c r="J58" s="4350">
        <f t="shared" si="44"/>
        <v>0</v>
      </c>
      <c r="K58" s="4350">
        <f t="shared" si="44"/>
        <v>0</v>
      </c>
      <c r="L58" s="4350">
        <f t="shared" si="44"/>
        <v>0</v>
      </c>
      <c r="M58" s="4352"/>
      <c r="N58" s="4352"/>
      <c r="O58" s="4353"/>
      <c r="Q58" s="4336"/>
      <c r="R58" s="4336"/>
    </row>
    <row r="59" spans="1:18" s="4343" customFormat="1" ht="14.25" hidden="1" customHeight="1">
      <c r="A59" s="4354"/>
      <c r="B59" s="4355" t="s">
        <v>13</v>
      </c>
      <c r="C59" s="4349"/>
      <c r="D59" s="4351">
        <f>D75</f>
        <v>0</v>
      </c>
      <c r="E59" s="4351">
        <f t="shared" ref="E59:O59" si="45">E75</f>
        <v>0</v>
      </c>
      <c r="F59" s="4351">
        <f t="shared" si="45"/>
        <v>0</v>
      </c>
      <c r="G59" s="4351">
        <f t="shared" si="45"/>
        <v>0</v>
      </c>
      <c r="H59" s="4351">
        <f t="shared" si="45"/>
        <v>0</v>
      </c>
      <c r="I59" s="4351">
        <f t="shared" si="45"/>
        <v>0</v>
      </c>
      <c r="J59" s="4351">
        <f t="shared" si="45"/>
        <v>0</v>
      </c>
      <c r="K59" s="4351">
        <f t="shared" si="45"/>
        <v>0</v>
      </c>
      <c r="L59" s="4351">
        <f t="shared" si="45"/>
        <v>0</v>
      </c>
      <c r="M59" s="4347">
        <f t="shared" si="45"/>
        <v>0</v>
      </c>
      <c r="N59" s="4352">
        <f t="shared" si="45"/>
        <v>0</v>
      </c>
      <c r="O59" s="4351">
        <f t="shared" si="45"/>
        <v>0</v>
      </c>
      <c r="Q59" s="4344"/>
    </row>
    <row r="60" spans="1:18" s="4358" customFormat="1" ht="14.25" hidden="1" customHeight="1">
      <c r="A60" s="4354"/>
      <c r="B60" s="4355" t="s">
        <v>33</v>
      </c>
      <c r="C60" s="4349"/>
      <c r="D60" s="4351"/>
      <c r="E60" s="4351"/>
      <c r="F60" s="4351"/>
      <c r="G60" s="4351"/>
      <c r="H60" s="4351"/>
      <c r="I60" s="4351"/>
      <c r="J60" s="4351"/>
      <c r="K60" s="4351"/>
      <c r="L60" s="4351"/>
      <c r="M60" s="4356"/>
      <c r="N60" s="4356"/>
      <c r="O60" s="4357"/>
      <c r="Q60" s="4359"/>
    </row>
    <row r="61" spans="1:18" s="4313" customFormat="1" ht="14.25" hidden="1" customHeight="1">
      <c r="A61" s="4320"/>
      <c r="B61" s="4355" t="s">
        <v>114</v>
      </c>
      <c r="C61" s="4349"/>
      <c r="D61" s="4351">
        <f t="shared" ref="D61" si="46">D76</f>
        <v>0</v>
      </c>
      <c r="E61" s="4351">
        <f t="shared" ref="E61:L61" si="47">E76</f>
        <v>0</v>
      </c>
      <c r="F61" s="4351">
        <f t="shared" si="47"/>
        <v>0</v>
      </c>
      <c r="G61" s="4351">
        <f t="shared" si="47"/>
        <v>0</v>
      </c>
      <c r="H61" s="4351">
        <f t="shared" si="47"/>
        <v>0</v>
      </c>
      <c r="I61" s="4351">
        <f t="shared" si="47"/>
        <v>0</v>
      </c>
      <c r="J61" s="4351">
        <f t="shared" si="47"/>
        <v>0</v>
      </c>
      <c r="K61" s="4351">
        <f t="shared" si="47"/>
        <v>0</v>
      </c>
      <c r="L61" s="4351">
        <f t="shared" si="47"/>
        <v>0</v>
      </c>
      <c r="M61" s="4352">
        <f>M76</f>
        <v>0</v>
      </c>
      <c r="N61" s="4352">
        <f>N76</f>
        <v>0</v>
      </c>
      <c r="O61" s="4353"/>
      <c r="Q61" s="4336"/>
    </row>
    <row r="62" spans="1:18" s="4343" customFormat="1" ht="14.25" hidden="1" customHeight="1">
      <c r="A62" s="4360"/>
      <c r="B62" s="4361" t="s">
        <v>18</v>
      </c>
      <c r="C62" s="4362"/>
      <c r="D62" s="4363">
        <f t="shared" ref="D62:L62" si="48">SUM(D63:D63)</f>
        <v>0</v>
      </c>
      <c r="E62" s="4363">
        <f t="shared" si="48"/>
        <v>0</v>
      </c>
      <c r="F62" s="4363">
        <f t="shared" si="48"/>
        <v>0</v>
      </c>
      <c r="G62" s="4363">
        <f t="shared" si="48"/>
        <v>0</v>
      </c>
      <c r="H62" s="4363">
        <f t="shared" si="48"/>
        <v>0</v>
      </c>
      <c r="I62" s="4363">
        <f t="shared" si="48"/>
        <v>0</v>
      </c>
      <c r="J62" s="4363">
        <f t="shared" si="48"/>
        <v>0</v>
      </c>
      <c r="K62" s="4363">
        <f t="shared" si="48"/>
        <v>0</v>
      </c>
      <c r="L62" s="4363">
        <f t="shared" si="48"/>
        <v>0</v>
      </c>
      <c r="M62" s="4251" t="s">
        <v>53</v>
      </c>
      <c r="N62" s="4251" t="s">
        <v>53</v>
      </c>
      <c r="O62" s="4364"/>
    </row>
    <row r="63" spans="1:18" s="4313" customFormat="1" ht="14.25" hidden="1" customHeight="1">
      <c r="A63" s="4365"/>
      <c r="B63" s="4366" t="s">
        <v>34</v>
      </c>
      <c r="C63" s="4367"/>
      <c r="D63" s="4368"/>
      <c r="E63" s="4368"/>
      <c r="F63" s="4368"/>
      <c r="G63" s="4368"/>
      <c r="H63" s="4368"/>
      <c r="I63" s="4368"/>
      <c r="J63" s="4368"/>
      <c r="K63" s="4368"/>
      <c r="L63" s="4368"/>
      <c r="M63" s="4251" t="s">
        <v>53</v>
      </c>
      <c r="N63" s="4251" t="s">
        <v>53</v>
      </c>
      <c r="O63" s="4369"/>
    </row>
    <row r="64" spans="1:18" s="4343" customFormat="1" ht="14.25" hidden="1" customHeight="1">
      <c r="A64" s="4360"/>
      <c r="B64" s="4199" t="s">
        <v>21</v>
      </c>
      <c r="C64" s="4370"/>
      <c r="D64" s="4371">
        <f>+D65+D68</f>
        <v>0</v>
      </c>
      <c r="E64" s="4371">
        <f t="shared" ref="E64:L64" si="49">+E65+E68</f>
        <v>0</v>
      </c>
      <c r="F64" s="4371">
        <f t="shared" si="49"/>
        <v>0</v>
      </c>
      <c r="G64" s="4371">
        <f t="shared" si="49"/>
        <v>0</v>
      </c>
      <c r="H64" s="4371">
        <f t="shared" si="49"/>
        <v>0</v>
      </c>
      <c r="I64" s="4371">
        <f t="shared" si="49"/>
        <v>0</v>
      </c>
      <c r="J64" s="4371">
        <f t="shared" si="49"/>
        <v>0</v>
      </c>
      <c r="K64" s="4371">
        <f t="shared" si="49"/>
        <v>0</v>
      </c>
      <c r="L64" s="4371">
        <f t="shared" si="49"/>
        <v>0</v>
      </c>
      <c r="M64" s="4372" t="s">
        <v>22</v>
      </c>
      <c r="N64" s="4372" t="s">
        <v>22</v>
      </c>
      <c r="O64" s="4373"/>
    </row>
    <row r="65" spans="1:19" s="4313" customFormat="1" ht="14.25" hidden="1" customHeight="1">
      <c r="A65" s="4365"/>
      <c r="B65" s="4361" t="s">
        <v>11</v>
      </c>
      <c r="C65" s="4362"/>
      <c r="D65" s="4363">
        <f>+D66+D67</f>
        <v>0</v>
      </c>
      <c r="E65" s="4363">
        <f t="shared" ref="E65:L65" si="50">+E66+E67</f>
        <v>0</v>
      </c>
      <c r="F65" s="4363">
        <f t="shared" si="50"/>
        <v>0</v>
      </c>
      <c r="G65" s="4363">
        <f t="shared" si="50"/>
        <v>0</v>
      </c>
      <c r="H65" s="4363">
        <f t="shared" si="50"/>
        <v>0</v>
      </c>
      <c r="I65" s="4363">
        <f t="shared" si="50"/>
        <v>0</v>
      </c>
      <c r="J65" s="4363">
        <f t="shared" si="50"/>
        <v>0</v>
      </c>
      <c r="K65" s="4363">
        <f t="shared" si="50"/>
        <v>0</v>
      </c>
      <c r="L65" s="4363">
        <f t="shared" si="50"/>
        <v>0</v>
      </c>
      <c r="M65" s="4374"/>
      <c r="N65" s="4374"/>
      <c r="O65" s="4369"/>
    </row>
    <row r="66" spans="1:19" s="4313" customFormat="1" ht="14.25" hidden="1" customHeight="1">
      <c r="A66" s="4365"/>
      <c r="B66" s="4355" t="s">
        <v>13</v>
      </c>
      <c r="C66" s="4349"/>
      <c r="D66" s="4351">
        <f>D81</f>
        <v>0</v>
      </c>
      <c r="E66" s="4351">
        <f t="shared" ref="E66:L66" si="51">E81</f>
        <v>0</v>
      </c>
      <c r="F66" s="4351">
        <f t="shared" si="51"/>
        <v>0</v>
      </c>
      <c r="G66" s="4351">
        <f t="shared" si="51"/>
        <v>0</v>
      </c>
      <c r="H66" s="4351">
        <f t="shared" si="51"/>
        <v>0</v>
      </c>
      <c r="I66" s="4351">
        <f t="shared" si="51"/>
        <v>0</v>
      </c>
      <c r="J66" s="4351">
        <f t="shared" si="51"/>
        <v>0</v>
      </c>
      <c r="K66" s="4351">
        <f t="shared" si="51"/>
        <v>0</v>
      </c>
      <c r="L66" s="4351">
        <f t="shared" si="51"/>
        <v>0</v>
      </c>
      <c r="M66" s="4374"/>
      <c r="N66" s="4374"/>
      <c r="O66" s="4369"/>
      <c r="Q66" s="4336"/>
    </row>
    <row r="67" spans="1:19" s="4313" customFormat="1" ht="14.25" hidden="1" customHeight="1">
      <c r="A67" s="4365"/>
      <c r="B67" s="4355" t="s">
        <v>489</v>
      </c>
      <c r="C67" s="4349"/>
      <c r="D67" s="4351">
        <f t="shared" ref="D67" si="52">D82</f>
        <v>0</v>
      </c>
      <c r="E67" s="4351">
        <f t="shared" ref="E67:L67" si="53">E82</f>
        <v>0</v>
      </c>
      <c r="F67" s="4351">
        <f t="shared" si="53"/>
        <v>0</v>
      </c>
      <c r="G67" s="4351">
        <f t="shared" si="53"/>
        <v>0</v>
      </c>
      <c r="H67" s="4351">
        <f t="shared" si="53"/>
        <v>0</v>
      </c>
      <c r="I67" s="4351">
        <f t="shared" si="53"/>
        <v>0</v>
      </c>
      <c r="J67" s="4351">
        <f t="shared" si="53"/>
        <v>0</v>
      </c>
      <c r="K67" s="4351">
        <f t="shared" si="53"/>
        <v>0</v>
      </c>
      <c r="L67" s="4351">
        <f t="shared" si="53"/>
        <v>0</v>
      </c>
      <c r="M67" s="4374"/>
      <c r="N67" s="4374"/>
      <c r="O67" s="4369"/>
      <c r="Q67" s="4336"/>
    </row>
    <row r="68" spans="1:19" s="4313" customFormat="1" ht="14.25" hidden="1" customHeight="1">
      <c r="A68" s="4365"/>
      <c r="B68" s="4361" t="s">
        <v>18</v>
      </c>
      <c r="C68" s="4362"/>
      <c r="D68" s="4363">
        <f t="shared" ref="D68:L68" si="54">SUM(D69:D69)</f>
        <v>0</v>
      </c>
      <c r="E68" s="4363">
        <f t="shared" si="54"/>
        <v>0</v>
      </c>
      <c r="F68" s="4363">
        <f t="shared" si="54"/>
        <v>0</v>
      </c>
      <c r="G68" s="4363">
        <f t="shared" si="54"/>
        <v>0</v>
      </c>
      <c r="H68" s="4363">
        <f t="shared" si="54"/>
        <v>0</v>
      </c>
      <c r="I68" s="4363">
        <f t="shared" si="54"/>
        <v>0</v>
      </c>
      <c r="J68" s="4363">
        <f t="shared" si="54"/>
        <v>0</v>
      </c>
      <c r="K68" s="4363">
        <f t="shared" si="54"/>
        <v>0</v>
      </c>
      <c r="L68" s="4363">
        <f t="shared" si="54"/>
        <v>0</v>
      </c>
      <c r="M68" s="4374"/>
      <c r="N68" s="4374"/>
      <c r="O68" s="4369"/>
      <c r="Q68" s="4336"/>
    </row>
    <row r="69" spans="1:19" s="4313" customFormat="1" ht="14.25" hidden="1" customHeight="1" thickBot="1">
      <c r="A69" s="4365"/>
      <c r="B69" s="4366" t="s">
        <v>34</v>
      </c>
      <c r="C69" s="4375"/>
      <c r="D69" s="4376"/>
      <c r="E69" s="4376"/>
      <c r="F69" s="4376"/>
      <c r="G69" s="4376"/>
      <c r="H69" s="4376"/>
      <c r="I69" s="4376"/>
      <c r="J69" s="4376"/>
      <c r="K69" s="4376"/>
      <c r="L69" s="4376"/>
      <c r="M69" s="4377"/>
      <c r="N69" s="4377"/>
      <c r="O69" s="4369"/>
      <c r="Q69" s="4336"/>
    </row>
    <row r="70" spans="1:19" s="4385" customFormat="1" ht="38.25" hidden="1" customHeight="1">
      <c r="A70" s="4378" t="s">
        <v>55</v>
      </c>
      <c r="B70" s="4379"/>
      <c r="C70" s="4219" t="s">
        <v>74</v>
      </c>
      <c r="D70" s="4380"/>
      <c r="E70" s="4381"/>
      <c r="F70" s="4381"/>
      <c r="G70" s="4381"/>
      <c r="H70" s="4381"/>
      <c r="I70" s="4381"/>
      <c r="J70" s="4382"/>
      <c r="K70" s="4381"/>
      <c r="L70" s="4380"/>
      <c r="M70" s="4383"/>
      <c r="N70" s="4383"/>
      <c r="O70" s="4384"/>
      <c r="Q70" s="4386"/>
      <c r="R70" s="4386"/>
      <c r="S70" s="4386"/>
    </row>
    <row r="71" spans="1:19" s="4385" customFormat="1" ht="13.5" hidden="1" customHeight="1">
      <c r="A71" s="4387"/>
      <c r="B71" s="4228" t="s">
        <v>10</v>
      </c>
      <c r="C71" s="4229"/>
      <c r="D71" s="4230">
        <f>+D72+D77</f>
        <v>0</v>
      </c>
      <c r="E71" s="4230">
        <f t="shared" ref="E71" si="55">+E72+E77</f>
        <v>0</v>
      </c>
      <c r="F71" s="4230">
        <f t="shared" ref="F71:L71" si="56">+F72</f>
        <v>0</v>
      </c>
      <c r="G71" s="4231">
        <f t="shared" si="56"/>
        <v>0</v>
      </c>
      <c r="H71" s="4231">
        <f t="shared" si="56"/>
        <v>0</v>
      </c>
      <c r="I71" s="4231">
        <f t="shared" si="56"/>
        <v>0</v>
      </c>
      <c r="J71" s="4231">
        <f t="shared" si="56"/>
        <v>0</v>
      </c>
      <c r="K71" s="4231">
        <f t="shared" si="56"/>
        <v>0</v>
      </c>
      <c r="L71" s="4388">
        <f t="shared" si="56"/>
        <v>0</v>
      </c>
      <c r="M71" s="4232">
        <f>+M72+M77</f>
        <v>0</v>
      </c>
      <c r="N71" s="4232">
        <f>+N72+N77</f>
        <v>0</v>
      </c>
      <c r="O71" s="4389"/>
      <c r="P71" s="4390"/>
      <c r="Q71" s="4386"/>
      <c r="R71" s="4386"/>
      <c r="S71" s="4386"/>
    </row>
    <row r="72" spans="1:19" s="4385" customFormat="1" ht="13.5" hidden="1" customHeight="1">
      <c r="A72" s="4387"/>
      <c r="B72" s="4236" t="s">
        <v>23</v>
      </c>
      <c r="C72" s="4237" t="s">
        <v>115</v>
      </c>
      <c r="D72" s="4238">
        <f>SUM(D73:D76)</f>
        <v>0</v>
      </c>
      <c r="E72" s="4238">
        <f>+E73+E74+E75+E76</f>
        <v>0</v>
      </c>
      <c r="F72" s="4238">
        <f t="shared" ref="F72:L72" si="57">+F73+F74+F75+F76</f>
        <v>0</v>
      </c>
      <c r="G72" s="4239">
        <f t="shared" si="57"/>
        <v>0</v>
      </c>
      <c r="H72" s="4239">
        <f t="shared" si="57"/>
        <v>0</v>
      </c>
      <c r="I72" s="4239">
        <f t="shared" si="57"/>
        <v>0</v>
      </c>
      <c r="J72" s="4239">
        <f t="shared" si="57"/>
        <v>0</v>
      </c>
      <c r="K72" s="4239">
        <f t="shared" si="57"/>
        <v>0</v>
      </c>
      <c r="L72" s="4391">
        <f t="shared" si="57"/>
        <v>0</v>
      </c>
      <c r="M72" s="4241">
        <f>+M74+M75+M76</f>
        <v>0</v>
      </c>
      <c r="N72" s="4241">
        <f>+N74+N75+N76</f>
        <v>0</v>
      </c>
      <c r="O72" s="4389"/>
      <c r="Q72" s="4386"/>
      <c r="R72" s="4386"/>
      <c r="S72" s="4386"/>
    </row>
    <row r="73" spans="1:19" s="4385" customFormat="1" ht="13.5" hidden="1" customHeight="1">
      <c r="A73" s="4387"/>
      <c r="B73" s="4392" t="s">
        <v>116</v>
      </c>
      <c r="C73" s="4393"/>
      <c r="D73" s="4394">
        <f>E73+F73+G73+H73+I73+J73+K73+L73</f>
        <v>0</v>
      </c>
      <c r="E73" s="4395">
        <v>0</v>
      </c>
      <c r="F73" s="4396">
        <v>0</v>
      </c>
      <c r="G73" s="4250">
        <v>0</v>
      </c>
      <c r="H73" s="4250">
        <v>0</v>
      </c>
      <c r="I73" s="4250">
        <v>0</v>
      </c>
      <c r="J73" s="4250">
        <v>0</v>
      </c>
      <c r="K73" s="4250">
        <v>0</v>
      </c>
      <c r="L73" s="4397">
        <v>0</v>
      </c>
      <c r="M73" s="4251" t="s">
        <v>53</v>
      </c>
      <c r="N73" s="4251" t="s">
        <v>53</v>
      </c>
      <c r="O73" s="4398"/>
      <c r="Q73" s="4386"/>
      <c r="R73" s="4386"/>
      <c r="S73" s="4386"/>
    </row>
    <row r="74" spans="1:19" s="4385" customFormat="1" ht="13.5" hidden="1" customHeight="1">
      <c r="A74" s="4387"/>
      <c r="B74" s="4399" t="s">
        <v>117</v>
      </c>
      <c r="C74" s="4393"/>
      <c r="D74" s="4394">
        <f>E74+F74+G74+H74+I74+J74+K74+L74</f>
        <v>0</v>
      </c>
      <c r="E74" s="4395">
        <v>0</v>
      </c>
      <c r="F74" s="4250">
        <v>0</v>
      </c>
      <c r="G74" s="4250">
        <v>0</v>
      </c>
      <c r="H74" s="4250">
        <v>0</v>
      </c>
      <c r="I74" s="4250">
        <v>0</v>
      </c>
      <c r="J74" s="4250">
        <v>0</v>
      </c>
      <c r="K74" s="4250">
        <v>0</v>
      </c>
      <c r="L74" s="4397">
        <v>0</v>
      </c>
      <c r="M74" s="4254">
        <f t="shared" ref="M74:N76" si="58">SUM(F74:K74)</f>
        <v>0</v>
      </c>
      <c r="N74" s="4254">
        <f t="shared" si="58"/>
        <v>0</v>
      </c>
      <c r="O74" s="4398"/>
      <c r="Q74" s="4386"/>
      <c r="R74" s="4386"/>
      <c r="S74" s="4386"/>
    </row>
    <row r="75" spans="1:19" s="4385" customFormat="1" ht="12" hidden="1" customHeight="1">
      <c r="A75" s="4387"/>
      <c r="B75" s="4400" t="s">
        <v>13</v>
      </c>
      <c r="C75" s="4393"/>
      <c r="D75" s="4394">
        <f>E75+F75+G75+H75+I75+J75+K75+L75</f>
        <v>0</v>
      </c>
      <c r="E75" s="4395">
        <v>0</v>
      </c>
      <c r="F75" s="4396">
        <v>0</v>
      </c>
      <c r="G75" s="4401">
        <v>0</v>
      </c>
      <c r="H75" s="4401">
        <v>0</v>
      </c>
      <c r="I75" s="4401">
        <v>0</v>
      </c>
      <c r="J75" s="4401">
        <v>0</v>
      </c>
      <c r="K75" s="4401">
        <v>0</v>
      </c>
      <c r="L75" s="4402">
        <v>0</v>
      </c>
      <c r="M75" s="4254">
        <f>SUM(F75:K75)</f>
        <v>0</v>
      </c>
      <c r="N75" s="4254">
        <f t="shared" si="58"/>
        <v>0</v>
      </c>
      <c r="O75" s="4398"/>
      <c r="Q75" s="4386"/>
      <c r="R75" s="4386"/>
      <c r="S75" s="4386"/>
    </row>
    <row r="76" spans="1:19" s="4385" customFormat="1" ht="13.5" hidden="1" customHeight="1">
      <c r="A76" s="4387"/>
      <c r="B76" s="4400" t="s">
        <v>114</v>
      </c>
      <c r="C76" s="4393"/>
      <c r="D76" s="4394">
        <f>E76+F76+G76+H76+I76+J76+K76+L76</f>
        <v>0</v>
      </c>
      <c r="E76" s="4395">
        <v>0</v>
      </c>
      <c r="F76" s="4250">
        <v>0</v>
      </c>
      <c r="G76" s="4403">
        <v>0</v>
      </c>
      <c r="H76" s="4401">
        <v>0</v>
      </c>
      <c r="I76" s="4401">
        <v>0</v>
      </c>
      <c r="J76" s="4401">
        <v>0</v>
      </c>
      <c r="K76" s="4401">
        <v>0</v>
      </c>
      <c r="L76" s="4402">
        <v>0</v>
      </c>
      <c r="M76" s="4254">
        <f t="shared" si="58"/>
        <v>0</v>
      </c>
      <c r="N76" s="4254">
        <f t="shared" si="58"/>
        <v>0</v>
      </c>
      <c r="O76" s="4398"/>
      <c r="Q76" s="4386"/>
      <c r="R76" s="4386"/>
      <c r="S76" s="4386"/>
    </row>
    <row r="77" spans="1:19" s="4385" customFormat="1" ht="18.75" hidden="1" customHeight="1">
      <c r="A77" s="4387"/>
      <c r="B77" s="4399" t="s">
        <v>18</v>
      </c>
      <c r="C77" s="4404"/>
      <c r="D77" s="4394">
        <f>+D78</f>
        <v>0</v>
      </c>
      <c r="E77" s="4395"/>
      <c r="F77" s="4396"/>
      <c r="G77" s="4394"/>
      <c r="H77" s="4405"/>
      <c r="I77" s="4406"/>
      <c r="J77" s="4406"/>
      <c r="K77" s="4407"/>
      <c r="L77" s="4406"/>
      <c r="M77" s="4408"/>
      <c r="N77" s="4408"/>
      <c r="O77" s="4398"/>
      <c r="Q77" s="4386"/>
      <c r="R77" s="4386"/>
      <c r="S77" s="4386"/>
    </row>
    <row r="78" spans="1:19" s="4385" customFormat="1" ht="16.5" hidden="1" customHeight="1">
      <c r="A78" s="4387"/>
      <c r="B78" s="4400" t="s">
        <v>34</v>
      </c>
      <c r="C78" s="4409"/>
      <c r="D78" s="4394">
        <v>0</v>
      </c>
      <c r="E78" s="4395"/>
      <c r="F78" s="4250"/>
      <c r="G78" s="4394"/>
      <c r="H78" s="4405"/>
      <c r="I78" s="4405"/>
      <c r="J78" s="4406"/>
      <c r="K78" s="4407"/>
      <c r="L78" s="4405"/>
      <c r="M78" s="4410"/>
      <c r="N78" s="4410"/>
      <c r="O78" s="4398"/>
      <c r="Q78" s="4386"/>
      <c r="R78" s="4386"/>
      <c r="S78" s="4386"/>
    </row>
    <row r="79" spans="1:19" s="4385" customFormat="1" ht="13.5" hidden="1" customHeight="1">
      <c r="A79" s="4387"/>
      <c r="B79" s="4228" t="s">
        <v>21</v>
      </c>
      <c r="C79" s="4229"/>
      <c r="D79" s="4230">
        <f>D81+D82</f>
        <v>0</v>
      </c>
      <c r="E79" s="4230">
        <f t="shared" ref="E79" si="59">E81+E82</f>
        <v>0</v>
      </c>
      <c r="F79" s="4230">
        <f t="shared" ref="F79:L79" si="60">+F80</f>
        <v>0</v>
      </c>
      <c r="G79" s="4231">
        <f t="shared" si="60"/>
        <v>0</v>
      </c>
      <c r="H79" s="4231">
        <f t="shared" si="60"/>
        <v>0</v>
      </c>
      <c r="I79" s="4231">
        <f t="shared" si="60"/>
        <v>0</v>
      </c>
      <c r="J79" s="4231">
        <f t="shared" si="60"/>
        <v>0</v>
      </c>
      <c r="K79" s="4231">
        <f t="shared" si="60"/>
        <v>0</v>
      </c>
      <c r="L79" s="4388">
        <f t="shared" si="60"/>
        <v>0</v>
      </c>
      <c r="M79" s="4411" t="s">
        <v>53</v>
      </c>
      <c r="N79" s="4411" t="s">
        <v>53</v>
      </c>
      <c r="O79" s="4398"/>
      <c r="Q79" s="4386"/>
      <c r="R79" s="4386"/>
      <c r="S79" s="4386"/>
    </row>
    <row r="80" spans="1:19" s="4358" customFormat="1" ht="13.5" hidden="1" customHeight="1">
      <c r="A80" s="4387"/>
      <c r="B80" s="4266" t="s">
        <v>23</v>
      </c>
      <c r="C80" s="4267" t="s">
        <v>115</v>
      </c>
      <c r="D80" s="4268">
        <f>+D81+D82</f>
        <v>0</v>
      </c>
      <c r="E80" s="4268">
        <f t="shared" ref="E80" si="61">+E81+E82</f>
        <v>0</v>
      </c>
      <c r="F80" s="4268">
        <f t="shared" ref="F80:L80" si="62">+F81+F82</f>
        <v>0</v>
      </c>
      <c r="G80" s="4269">
        <f t="shared" si="62"/>
        <v>0</v>
      </c>
      <c r="H80" s="4269">
        <f t="shared" si="62"/>
        <v>0</v>
      </c>
      <c r="I80" s="4269">
        <f t="shared" si="62"/>
        <v>0</v>
      </c>
      <c r="J80" s="4269">
        <f t="shared" si="62"/>
        <v>0</v>
      </c>
      <c r="K80" s="4269">
        <f t="shared" si="62"/>
        <v>0</v>
      </c>
      <c r="L80" s="4412">
        <f t="shared" si="62"/>
        <v>0</v>
      </c>
      <c r="M80" s="4413"/>
      <c r="N80" s="4413"/>
      <c r="O80" s="4398"/>
      <c r="Q80" s="4386"/>
      <c r="R80" s="4386"/>
      <c r="S80" s="4386"/>
    </row>
    <row r="81" spans="1:17" s="4385" customFormat="1" ht="13.5" hidden="1" customHeight="1">
      <c r="A81" s="4387"/>
      <c r="B81" s="4400" t="s">
        <v>13</v>
      </c>
      <c r="C81" s="4270"/>
      <c r="D81" s="4394">
        <v>0</v>
      </c>
      <c r="E81" s="4395">
        <v>0</v>
      </c>
      <c r="F81" s="4395">
        <v>0</v>
      </c>
      <c r="G81" s="4401">
        <v>0</v>
      </c>
      <c r="H81" s="4401">
        <v>0</v>
      </c>
      <c r="I81" s="4401">
        <v>0</v>
      </c>
      <c r="J81" s="4401">
        <v>0</v>
      </c>
      <c r="K81" s="4401">
        <v>0</v>
      </c>
      <c r="L81" s="4402">
        <v>0</v>
      </c>
      <c r="M81" s="4413"/>
      <c r="N81" s="4413"/>
      <c r="O81" s="4398"/>
    </row>
    <row r="82" spans="1:17" s="4385" customFormat="1" ht="15" hidden="1" customHeight="1" thickBot="1">
      <c r="A82" s="4414"/>
      <c r="B82" s="4415" t="s">
        <v>114</v>
      </c>
      <c r="C82" s="4275"/>
      <c r="D82" s="4276">
        <v>0</v>
      </c>
      <c r="E82" s="4416">
        <v>0</v>
      </c>
      <c r="F82" s="4417">
        <v>0</v>
      </c>
      <c r="G82" s="4417">
        <v>0</v>
      </c>
      <c r="H82" s="4417">
        <v>0</v>
      </c>
      <c r="I82" s="4417">
        <v>0</v>
      </c>
      <c r="J82" s="4417">
        <v>0</v>
      </c>
      <c r="K82" s="4417">
        <v>0</v>
      </c>
      <c r="L82" s="4418">
        <v>0</v>
      </c>
      <c r="M82" s="4419"/>
      <c r="N82" s="4419"/>
      <c r="O82" s="4398"/>
    </row>
    <row r="83" spans="1:17" s="4385" customFormat="1" ht="28.5" customHeight="1">
      <c r="A83" s="4378" t="s">
        <v>55</v>
      </c>
      <c r="B83" s="4379" t="s">
        <v>495</v>
      </c>
      <c r="C83" s="4219" t="s">
        <v>101</v>
      </c>
      <c r="D83" s="4220"/>
      <c r="E83" s="4221"/>
      <c r="F83" s="4221"/>
      <c r="G83" s="4221"/>
      <c r="H83" s="4221"/>
      <c r="I83" s="4221"/>
      <c r="J83" s="4221"/>
      <c r="K83" s="4221"/>
      <c r="L83" s="4223"/>
      <c r="M83" s="4383"/>
      <c r="N83" s="4420"/>
      <c r="O83" s="4421" t="s">
        <v>523</v>
      </c>
    </row>
    <row r="84" spans="1:17" s="4385" customFormat="1" ht="13.5" customHeight="1">
      <c r="A84" s="4422"/>
      <c r="B84" s="4228" t="s">
        <v>10</v>
      </c>
      <c r="C84" s="4423"/>
      <c r="D84" s="4230">
        <f>+D85</f>
        <v>8000000</v>
      </c>
      <c r="E84" s="4230">
        <f t="shared" ref="E84:N84" si="63">+E85</f>
        <v>1660000</v>
      </c>
      <c r="F84" s="4230">
        <f t="shared" si="63"/>
        <v>1080000</v>
      </c>
      <c r="G84" s="4230">
        <f t="shared" si="63"/>
        <v>1080000</v>
      </c>
      <c r="H84" s="4230">
        <f t="shared" si="63"/>
        <v>1080000</v>
      </c>
      <c r="I84" s="4230">
        <f t="shared" si="63"/>
        <v>1080000</v>
      </c>
      <c r="J84" s="4230">
        <f t="shared" si="63"/>
        <v>1080000</v>
      </c>
      <c r="K84" s="4230">
        <f t="shared" si="63"/>
        <v>940000</v>
      </c>
      <c r="L84" s="4424">
        <f t="shared" si="63"/>
        <v>0</v>
      </c>
      <c r="M84" s="4232">
        <f t="shared" si="63"/>
        <v>4540000</v>
      </c>
      <c r="N84" s="4233">
        <f t="shared" si="63"/>
        <v>4540000</v>
      </c>
      <c r="O84" s="4425"/>
    </row>
    <row r="85" spans="1:17" s="4358" customFormat="1" ht="16.5" customHeight="1">
      <c r="A85" s="4422"/>
      <c r="B85" s="4426" t="s">
        <v>23</v>
      </c>
      <c r="C85" s="4427" t="s">
        <v>118</v>
      </c>
      <c r="D85" s="4268">
        <f>+D86+D87</f>
        <v>8000000</v>
      </c>
      <c r="E85" s="4268">
        <f t="shared" ref="E85" si="64">+E86+E87</f>
        <v>1660000</v>
      </c>
      <c r="F85" s="4268">
        <f t="shared" ref="F85:L85" si="65">+F86+F87</f>
        <v>1080000</v>
      </c>
      <c r="G85" s="4268">
        <f t="shared" si="65"/>
        <v>1080000</v>
      </c>
      <c r="H85" s="4268">
        <f t="shared" si="65"/>
        <v>1080000</v>
      </c>
      <c r="I85" s="4268">
        <f t="shared" si="65"/>
        <v>1080000</v>
      </c>
      <c r="J85" s="4268">
        <f t="shared" si="65"/>
        <v>1080000</v>
      </c>
      <c r="K85" s="4268">
        <f t="shared" si="65"/>
        <v>940000</v>
      </c>
      <c r="L85" s="4428">
        <f t="shared" si="65"/>
        <v>0</v>
      </c>
      <c r="M85" s="4257">
        <f>+M87</f>
        <v>4540000</v>
      </c>
      <c r="N85" s="4258">
        <f>+N87</f>
        <v>4540000</v>
      </c>
      <c r="O85" s="4425"/>
    </row>
    <row r="86" spans="1:17" s="4358" customFormat="1" ht="13.5" customHeight="1">
      <c r="A86" s="4422"/>
      <c r="B86" s="4392" t="s">
        <v>116</v>
      </c>
      <c r="C86" s="4429"/>
      <c r="D86" s="4394">
        <f>E86+F86+G86+H86+I86+J86+K86+L86</f>
        <v>3460000</v>
      </c>
      <c r="E86" s="4395">
        <v>1660000</v>
      </c>
      <c r="F86" s="4246">
        <v>1080000</v>
      </c>
      <c r="G86" s="4246">
        <v>720000</v>
      </c>
      <c r="H86" s="4246">
        <v>0</v>
      </c>
      <c r="I86" s="4246">
        <v>0</v>
      </c>
      <c r="J86" s="4246">
        <v>0</v>
      </c>
      <c r="K86" s="4246">
        <v>0</v>
      </c>
      <c r="L86" s="4430">
        <v>0</v>
      </c>
      <c r="M86" s="4254">
        <f>SUM(F86:K86)</f>
        <v>1800000</v>
      </c>
      <c r="N86" s="4431">
        <v>0</v>
      </c>
      <c r="O86" s="4425"/>
    </row>
    <row r="87" spans="1:17" s="4358" customFormat="1" ht="13.5" customHeight="1" thickBot="1">
      <c r="A87" s="4432"/>
      <c r="B87" s="4433" t="s">
        <v>119</v>
      </c>
      <c r="C87" s="4434"/>
      <c r="D87" s="4435">
        <f>E87+F87+G87+H87+I87+J87+K87+L87</f>
        <v>4540000</v>
      </c>
      <c r="E87" s="4416">
        <v>0</v>
      </c>
      <c r="F87" s="4436">
        <v>0</v>
      </c>
      <c r="G87" s="4279">
        <f>1080000-720000</f>
        <v>360000</v>
      </c>
      <c r="H87" s="4279">
        <v>1080000</v>
      </c>
      <c r="I87" s="4279">
        <v>1080000</v>
      </c>
      <c r="J87" s="4279">
        <v>1080000</v>
      </c>
      <c r="K87" s="4279">
        <v>940000</v>
      </c>
      <c r="L87" s="4437">
        <v>0</v>
      </c>
      <c r="M87" s="4280">
        <f>SUM(F87:L87)</f>
        <v>4540000</v>
      </c>
      <c r="N87" s="4281">
        <f>SUM(G87:L87)</f>
        <v>4540000</v>
      </c>
      <c r="O87" s="4438"/>
    </row>
    <row r="88" spans="1:17" s="4358" customFormat="1" ht="48.75" customHeight="1">
      <c r="A88" s="4378" t="s">
        <v>56</v>
      </c>
      <c r="B88" s="4439" t="s">
        <v>490</v>
      </c>
      <c r="C88" s="4219" t="s">
        <v>101</v>
      </c>
      <c r="D88" s="4220"/>
      <c r="E88" s="4221"/>
      <c r="F88" s="4221"/>
      <c r="G88" s="4221"/>
      <c r="H88" s="4221"/>
      <c r="I88" s="4221"/>
      <c r="J88" s="4221"/>
      <c r="K88" s="4221"/>
      <c r="L88" s="4223"/>
      <c r="M88" s="4440"/>
      <c r="N88" s="4441"/>
      <c r="O88" s="4442" t="s">
        <v>311</v>
      </c>
      <c r="P88" s="4359">
        <f>+H97+I97+J97+K97+L97+H97+I97+J97+1916851-59217</f>
        <v>32527106</v>
      </c>
    </row>
    <row r="89" spans="1:17" s="4358" customFormat="1" ht="13.5" customHeight="1" thickBot="1">
      <c r="A89" s="4422"/>
      <c r="B89" s="4228" t="s">
        <v>10</v>
      </c>
      <c r="C89" s="4423"/>
      <c r="D89" s="4230">
        <f>+D90</f>
        <v>2799999.64</v>
      </c>
      <c r="E89" s="4230">
        <f t="shared" ref="E89" si="66">+E90</f>
        <v>116666.64</v>
      </c>
      <c r="F89" s="4230">
        <f t="shared" ref="F89:L89" si="67">+F90</f>
        <v>233333</v>
      </c>
      <c r="G89" s="4230">
        <f t="shared" si="67"/>
        <v>233333</v>
      </c>
      <c r="H89" s="4230">
        <f t="shared" si="67"/>
        <v>233333</v>
      </c>
      <c r="I89" s="4230">
        <f t="shared" si="67"/>
        <v>233333</v>
      </c>
      <c r="J89" s="4230">
        <f t="shared" si="67"/>
        <v>233333</v>
      </c>
      <c r="K89" s="4230">
        <f t="shared" si="67"/>
        <v>233333</v>
      </c>
      <c r="L89" s="4230">
        <f t="shared" si="67"/>
        <v>233333</v>
      </c>
      <c r="M89" s="4443">
        <f>+M90</f>
        <v>2294444</v>
      </c>
      <c r="N89" s="4444">
        <f>+N90</f>
        <v>2294444</v>
      </c>
      <c r="O89" s="4445"/>
    </row>
    <row r="90" spans="1:17" s="4358" customFormat="1" ht="13.5" customHeight="1" thickBot="1">
      <c r="A90" s="4422"/>
      <c r="B90" s="4426" t="s">
        <v>23</v>
      </c>
      <c r="C90" s="4427" t="s">
        <v>118</v>
      </c>
      <c r="D90" s="4268">
        <f>+D92+D91</f>
        <v>2799999.64</v>
      </c>
      <c r="E90" s="4268">
        <f>+E91</f>
        <v>116666.64</v>
      </c>
      <c r="F90" s="4268">
        <f t="shared" ref="F90:L90" si="68">+F91+F92</f>
        <v>233333</v>
      </c>
      <c r="G90" s="4268">
        <f t="shared" si="68"/>
        <v>233333</v>
      </c>
      <c r="H90" s="4268">
        <f t="shared" si="68"/>
        <v>233333</v>
      </c>
      <c r="I90" s="4268">
        <f t="shared" si="68"/>
        <v>233333</v>
      </c>
      <c r="J90" s="4268">
        <f t="shared" si="68"/>
        <v>233333</v>
      </c>
      <c r="K90" s="4268">
        <f t="shared" si="68"/>
        <v>233333</v>
      </c>
      <c r="L90" s="4268">
        <f t="shared" si="68"/>
        <v>233333</v>
      </c>
      <c r="M90" s="4257">
        <f>+M92</f>
        <v>2294444</v>
      </c>
      <c r="N90" s="4258">
        <f>+N92</f>
        <v>2294444</v>
      </c>
      <c r="O90" s="4446"/>
    </row>
    <row r="91" spans="1:17" s="4358" customFormat="1" ht="12.75" customHeight="1" thickBot="1">
      <c r="A91" s="4422"/>
      <c r="B91" s="4392" t="s">
        <v>116</v>
      </c>
      <c r="C91" s="4429"/>
      <c r="D91" s="4394">
        <f>E91+F91+G91+H91+I91+J91+K91+L91</f>
        <v>505555.64</v>
      </c>
      <c r="E91" s="4395">
        <v>116666.64</v>
      </c>
      <c r="F91" s="4246">
        <v>233333</v>
      </c>
      <c r="G91" s="4246">
        <v>155556</v>
      </c>
      <c r="H91" s="4246">
        <v>0</v>
      </c>
      <c r="I91" s="4246">
        <v>0</v>
      </c>
      <c r="J91" s="4246"/>
      <c r="K91" s="4246"/>
      <c r="L91" s="4246"/>
      <c r="M91" s="4254">
        <f>SUM(F91:K91)</f>
        <v>388889</v>
      </c>
      <c r="N91" s="4431">
        <v>0</v>
      </c>
      <c r="O91" s="4446"/>
    </row>
    <row r="92" spans="1:17" s="4358" customFormat="1" ht="13.5" customHeight="1" thickBot="1">
      <c r="A92" s="4422"/>
      <c r="B92" s="4433" t="s">
        <v>119</v>
      </c>
      <c r="C92" s="4434"/>
      <c r="D92" s="4276">
        <f>E92+F92+G92+H92+I92+J92+K92+L92+P92</f>
        <v>2294444</v>
      </c>
      <c r="E92" s="4447">
        <v>0</v>
      </c>
      <c r="F92" s="4279">
        <v>0</v>
      </c>
      <c r="G92" s="4279">
        <f>233333-155556</f>
        <v>77777</v>
      </c>
      <c r="H92" s="4279">
        <v>233333</v>
      </c>
      <c r="I92" s="4279">
        <v>233333</v>
      </c>
      <c r="J92" s="4279">
        <v>233333</v>
      </c>
      <c r="K92" s="4279">
        <v>233333</v>
      </c>
      <c r="L92" s="4279">
        <v>233333</v>
      </c>
      <c r="M92" s="4254">
        <f>SUM(F92:L92)+1050002</f>
        <v>2294444</v>
      </c>
      <c r="N92" s="4255">
        <f>SUM(G92:L92)+1050002</f>
        <v>2294444</v>
      </c>
      <c r="O92" s="4448"/>
      <c r="P92" s="4449">
        <v>1050002</v>
      </c>
      <c r="Q92" s="4359">
        <f>+P92+P97</f>
        <v>33636325</v>
      </c>
    </row>
    <row r="93" spans="1:17" s="4385" customFormat="1" ht="42" customHeight="1" thickBot="1">
      <c r="A93" s="4432" t="s">
        <v>57</v>
      </c>
      <c r="B93" s="4379" t="s">
        <v>492</v>
      </c>
      <c r="C93" s="4219" t="s">
        <v>101</v>
      </c>
      <c r="D93" s="4220"/>
      <c r="E93" s="4221"/>
      <c r="F93" s="4221"/>
      <c r="G93" s="4221"/>
      <c r="H93" s="4221"/>
      <c r="I93" s="4221"/>
      <c r="J93" s="4221"/>
      <c r="K93" s="4221"/>
      <c r="L93" s="4223"/>
      <c r="M93" s="4383"/>
      <c r="N93" s="4420"/>
      <c r="O93" s="4450" t="s">
        <v>427</v>
      </c>
    </row>
    <row r="94" spans="1:17" s="4385" customFormat="1" ht="13.5" customHeight="1" thickBot="1">
      <c r="A94" s="4451"/>
      <c r="B94" s="4228" t="s">
        <v>10</v>
      </c>
      <c r="C94" s="4423"/>
      <c r="D94" s="4230">
        <f>+D95</f>
        <v>54689223</v>
      </c>
      <c r="E94" s="4231">
        <f t="shared" ref="E94:L94" si="69">+E95</f>
        <v>0</v>
      </c>
      <c r="F94" s="4231">
        <f t="shared" si="69"/>
        <v>0</v>
      </c>
      <c r="G94" s="4230">
        <f t="shared" si="69"/>
        <v>2934480</v>
      </c>
      <c r="H94" s="4230">
        <f t="shared" si="69"/>
        <v>3833684</v>
      </c>
      <c r="I94" s="4230">
        <f t="shared" si="69"/>
        <v>3833684</v>
      </c>
      <c r="J94" s="4230">
        <f t="shared" si="69"/>
        <v>3833684</v>
      </c>
      <c r="K94" s="4230">
        <f t="shared" si="69"/>
        <v>3833684</v>
      </c>
      <c r="L94" s="4230">
        <f t="shared" si="69"/>
        <v>3833684</v>
      </c>
      <c r="M94" s="4232">
        <f>+M95</f>
        <v>54689223</v>
      </c>
      <c r="N94" s="4233">
        <f>+N95</f>
        <v>53671585</v>
      </c>
      <c r="O94" s="4446"/>
    </row>
    <row r="95" spans="1:17" s="4358" customFormat="1" ht="13.5" customHeight="1" thickBot="1">
      <c r="A95" s="4451"/>
      <c r="B95" s="4426" t="s">
        <v>23</v>
      </c>
      <c r="C95" s="4427" t="s">
        <v>118</v>
      </c>
      <c r="D95" s="4268">
        <f>+D96+D97</f>
        <v>54689223</v>
      </c>
      <c r="E95" s="4269">
        <f t="shared" ref="E95" si="70">+E96+E97</f>
        <v>0</v>
      </c>
      <c r="F95" s="4269">
        <f t="shared" ref="F95:L95" si="71">+F96+F97</f>
        <v>0</v>
      </c>
      <c r="G95" s="4268">
        <f t="shared" si="71"/>
        <v>2934480</v>
      </c>
      <c r="H95" s="4268">
        <f t="shared" si="71"/>
        <v>3833684</v>
      </c>
      <c r="I95" s="4268">
        <f t="shared" si="71"/>
        <v>3833684</v>
      </c>
      <c r="J95" s="4268">
        <f t="shared" si="71"/>
        <v>3833684</v>
      </c>
      <c r="K95" s="4268">
        <f t="shared" si="71"/>
        <v>3833684</v>
      </c>
      <c r="L95" s="4268">
        <f t="shared" si="71"/>
        <v>3833684</v>
      </c>
      <c r="M95" s="4257">
        <f>+M96+M97</f>
        <v>54689223</v>
      </c>
      <c r="N95" s="4258">
        <f>+N96+N97</f>
        <v>53671585</v>
      </c>
      <c r="O95" s="4446"/>
      <c r="Q95" s="4359"/>
    </row>
    <row r="96" spans="1:17" s="4358" customFormat="1" ht="13.5" customHeight="1" thickBot="1">
      <c r="A96" s="4451"/>
      <c r="B96" s="4392" t="s">
        <v>116</v>
      </c>
      <c r="C96" s="4429"/>
      <c r="D96" s="4394">
        <f>E96+F96+G96+H96+I96+J96+K96+L96</f>
        <v>1017638</v>
      </c>
      <c r="E96" s="4452">
        <v>0</v>
      </c>
      <c r="F96" s="4272">
        <v>0</v>
      </c>
      <c r="G96" s="4246">
        <v>1017638</v>
      </c>
      <c r="H96" s="4272">
        <v>0</v>
      </c>
      <c r="I96" s="4272">
        <v>0</v>
      </c>
      <c r="J96" s="4272">
        <v>0</v>
      </c>
      <c r="K96" s="4453">
        <v>0</v>
      </c>
      <c r="L96" s="4453">
        <v>0</v>
      </c>
      <c r="M96" s="4254">
        <f>SUM(F96:K96)</f>
        <v>1017638</v>
      </c>
      <c r="N96" s="4431">
        <v>0</v>
      </c>
      <c r="O96" s="4448"/>
    </row>
    <row r="97" spans="1:23" s="4358" customFormat="1" ht="13.5" customHeight="1" thickBot="1">
      <c r="A97" s="4451"/>
      <c r="B97" s="4433" t="s">
        <v>119</v>
      </c>
      <c r="C97" s="4434"/>
      <c r="D97" s="4276">
        <f>+G97+H97+I97+J97+K97+L97+P97</f>
        <v>53671585</v>
      </c>
      <c r="E97" s="4277">
        <v>0</v>
      </c>
      <c r="F97" s="4278">
        <v>0</v>
      </c>
      <c r="G97" s="4279">
        <f>2934480-1017638</f>
        <v>1916842</v>
      </c>
      <c r="H97" s="4279">
        <f>3912640-78956</f>
        <v>3833684</v>
      </c>
      <c r="I97" s="4279">
        <f>3912640-78956</f>
        <v>3833684</v>
      </c>
      <c r="J97" s="4279">
        <f>3912640-78956</f>
        <v>3833684</v>
      </c>
      <c r="K97" s="4279">
        <f>3912640-78956</f>
        <v>3833684</v>
      </c>
      <c r="L97" s="4279">
        <f>3912640-78956</f>
        <v>3833684</v>
      </c>
      <c r="M97" s="4454">
        <f>+K97+J97+I97+H97+G97+F97+L97+3833684+3833684+3833684+3833684+3833684+3833684+3833684+3833684+1916851</f>
        <v>53671585</v>
      </c>
      <c r="N97" s="4455">
        <f>+L97+K97+J97+I97+H97+G97+3833684+3833684+3833684+3833684+3833684+3833684+3833684+3833684+1916851</f>
        <v>53671585</v>
      </c>
      <c r="O97" s="4450"/>
      <c r="P97" s="4449">
        <v>32586323</v>
      </c>
    </row>
    <row r="98" spans="1:23" s="4358" customFormat="1" ht="27.75" customHeight="1">
      <c r="A98" s="4456" t="s">
        <v>58</v>
      </c>
      <c r="B98" s="4379" t="s">
        <v>709</v>
      </c>
      <c r="C98" s="4219" t="s">
        <v>74</v>
      </c>
      <c r="D98" s="4220"/>
      <c r="E98" s="4221"/>
      <c r="F98" s="4221"/>
      <c r="G98" s="4221"/>
      <c r="H98" s="4221"/>
      <c r="I98" s="4221"/>
      <c r="J98" s="4221"/>
      <c r="K98" s="4221"/>
      <c r="L98" s="4223"/>
      <c r="M98" s="4420"/>
      <c r="N98" s="4457"/>
      <c r="O98" s="4442" t="s">
        <v>708</v>
      </c>
      <c r="P98" s="4458"/>
    </row>
    <row r="99" spans="1:23" s="4358" customFormat="1" ht="13.5" customHeight="1" thickBot="1">
      <c r="A99" s="4432"/>
      <c r="B99" s="4228" t="s">
        <v>10</v>
      </c>
      <c r="C99" s="4423"/>
      <c r="D99" s="4230">
        <f>+D100</f>
        <v>13500000</v>
      </c>
      <c r="E99" s="4231">
        <v>0</v>
      </c>
      <c r="F99" s="4231">
        <v>0</v>
      </c>
      <c r="G99" s="4230">
        <v>0</v>
      </c>
      <c r="H99" s="4230">
        <f>+H100</f>
        <v>4500000</v>
      </c>
      <c r="I99" s="4230">
        <f t="shared" ref="I99:J99" si="72">+I100</f>
        <v>4500000</v>
      </c>
      <c r="J99" s="4230">
        <f t="shared" si="72"/>
        <v>4500000</v>
      </c>
      <c r="K99" s="4231">
        <v>0</v>
      </c>
      <c r="L99" s="4231">
        <v>0</v>
      </c>
      <c r="M99" s="4232"/>
      <c r="N99" s="4334">
        <f>+N100</f>
        <v>13500000</v>
      </c>
      <c r="O99" s="4445"/>
      <c r="P99" s="4458"/>
    </row>
    <row r="100" spans="1:23" s="4358" customFormat="1" ht="13.5" customHeight="1" thickBot="1">
      <c r="A100" s="4451"/>
      <c r="B100" s="4426" t="s">
        <v>23</v>
      </c>
      <c r="C100" s="4459" t="s">
        <v>707</v>
      </c>
      <c r="D100" s="4268">
        <f>+D101</f>
        <v>13500000</v>
      </c>
      <c r="E100" s="4269">
        <v>0</v>
      </c>
      <c r="F100" s="4269">
        <v>0</v>
      </c>
      <c r="G100" s="4268">
        <v>0</v>
      </c>
      <c r="H100" s="4268">
        <f>+H101</f>
        <v>4500000</v>
      </c>
      <c r="I100" s="4268">
        <f t="shared" ref="I100:J100" si="73">+I101</f>
        <v>4500000</v>
      </c>
      <c r="J100" s="4268">
        <f t="shared" si="73"/>
        <v>4500000</v>
      </c>
      <c r="K100" s="4269">
        <v>0</v>
      </c>
      <c r="L100" s="4269">
        <v>0</v>
      </c>
      <c r="M100" s="4257"/>
      <c r="N100" s="4460">
        <f>+N101</f>
        <v>13500000</v>
      </c>
      <c r="O100" s="4448"/>
      <c r="P100" s="4458"/>
    </row>
    <row r="101" spans="1:23" s="4358" customFormat="1" ht="13.5" customHeight="1" thickBot="1">
      <c r="A101" s="4451"/>
      <c r="B101" s="4433" t="s">
        <v>119</v>
      </c>
      <c r="C101" s="4461"/>
      <c r="D101" s="4462">
        <f>+E101+F101+G101+H101+I101+J101</f>
        <v>13500000</v>
      </c>
      <c r="E101" s="4463">
        <v>0</v>
      </c>
      <c r="F101" s="4464">
        <v>0</v>
      </c>
      <c r="G101" s="4436">
        <v>0</v>
      </c>
      <c r="H101" s="4436">
        <v>4500000</v>
      </c>
      <c r="I101" s="4436">
        <v>4500000</v>
      </c>
      <c r="J101" s="4436">
        <v>4500000</v>
      </c>
      <c r="K101" s="4465">
        <v>0</v>
      </c>
      <c r="L101" s="4465">
        <v>0</v>
      </c>
      <c r="M101" s="4466"/>
      <c r="N101" s="4467">
        <f>+J101+I101+H101</f>
        <v>13500000</v>
      </c>
      <c r="O101" s="4468"/>
      <c r="P101" s="4458"/>
    </row>
    <row r="102" spans="1:23" s="4471" customFormat="1" ht="13.5" customHeight="1">
      <c r="A102" s="4469"/>
      <c r="B102" s="4469"/>
      <c r="C102" s="4469"/>
      <c r="D102" s="4469"/>
      <c r="E102" s="4469"/>
      <c r="F102" s="4469"/>
      <c r="G102" s="4469"/>
      <c r="H102" s="4469"/>
      <c r="I102" s="4469"/>
      <c r="J102" s="4469"/>
      <c r="K102" s="4469"/>
      <c r="L102" s="4469"/>
      <c r="M102" s="4469"/>
      <c r="N102" s="4469"/>
      <c r="O102" s="4470"/>
    </row>
    <row r="103" spans="1:23" s="4313" customFormat="1" ht="12.75" customHeight="1">
      <c r="A103" s="4472" t="s">
        <v>491</v>
      </c>
      <c r="B103" s="4472"/>
      <c r="C103" s="4472"/>
      <c r="D103" s="4472"/>
      <c r="E103" s="4472"/>
      <c r="F103" s="4472"/>
      <c r="G103" s="4472"/>
      <c r="H103" s="4472"/>
      <c r="I103" s="4472"/>
      <c r="J103" s="4472"/>
      <c r="K103" s="4472"/>
      <c r="L103" s="4472"/>
      <c r="O103" s="4336"/>
    </row>
    <row r="104" spans="1:23" s="4313" customFormat="1" ht="12.75" customHeight="1">
      <c r="A104" s="4472" t="s">
        <v>720</v>
      </c>
      <c r="B104" s="4472"/>
      <c r="C104" s="4472"/>
      <c r="D104" s="4472"/>
      <c r="E104" s="4472"/>
      <c r="F104" s="4472"/>
      <c r="G104" s="4472"/>
      <c r="H104" s="4472"/>
      <c r="I104" s="4472"/>
      <c r="J104" s="4473"/>
      <c r="K104" s="4473"/>
      <c r="L104" s="4473"/>
    </row>
    <row r="105" spans="1:23" s="4471" customFormat="1" ht="13.5" customHeight="1">
      <c r="A105" s="4469"/>
      <c r="B105" s="4469"/>
      <c r="C105" s="4469"/>
      <c r="D105" s="4469"/>
      <c r="E105" s="4469"/>
      <c r="F105" s="4469"/>
      <c r="G105" s="4469"/>
      <c r="H105" s="4469"/>
      <c r="I105" s="4469"/>
      <c r="J105" s="4469"/>
      <c r="K105" s="4469"/>
      <c r="L105" s="4469"/>
      <c r="M105" s="4469"/>
      <c r="N105" s="4469"/>
      <c r="O105" s="4469"/>
    </row>
    <row r="106" spans="1:23" s="4475" customFormat="1" ht="12.75" customHeight="1" thickBot="1">
      <c r="A106" s="4474"/>
      <c r="E106" s="4476"/>
      <c r="F106" s="4477"/>
      <c r="G106" s="4477"/>
      <c r="H106" s="4477"/>
      <c r="I106" s="4477"/>
      <c r="J106" s="4477"/>
      <c r="K106" s="4477"/>
      <c r="L106" s="4477"/>
      <c r="M106" s="4477"/>
      <c r="N106" s="4477"/>
      <c r="O106" s="4478"/>
    </row>
    <row r="107" spans="1:23" s="4385" customFormat="1" ht="10.5" customHeight="1" thickBot="1">
      <c r="A107" s="4479"/>
      <c r="B107" s="4477"/>
      <c r="C107" s="4480"/>
      <c r="D107" s="4480"/>
      <c r="E107" s="4477"/>
      <c r="F107" s="4477"/>
      <c r="G107" s="4477"/>
      <c r="H107" s="4477"/>
      <c r="I107" s="4477"/>
      <c r="J107" s="4477"/>
      <c r="K107" s="4477"/>
      <c r="L107" s="4477"/>
      <c r="M107" s="4477"/>
      <c r="N107" s="4477"/>
      <c r="O107" s="4481"/>
    </row>
    <row r="108" spans="1:23" s="4471" customFormat="1" ht="15.75" customHeight="1" thickBot="1">
      <c r="A108" s="4482"/>
      <c r="B108" s="4477"/>
      <c r="C108" s="4477"/>
      <c r="D108" s="4477"/>
      <c r="E108" s="4477"/>
      <c r="F108" s="4483">
        <v>2017</v>
      </c>
      <c r="G108" s="4483">
        <v>2018</v>
      </c>
      <c r="H108" s="4483">
        <v>2019</v>
      </c>
      <c r="I108" s="4483">
        <v>2020</v>
      </c>
      <c r="J108" s="4483">
        <v>2021</v>
      </c>
      <c r="K108" s="4483">
        <v>2022</v>
      </c>
      <c r="L108" s="4483">
        <v>2023</v>
      </c>
      <c r="M108" s="4483">
        <v>2024</v>
      </c>
      <c r="N108" s="4484">
        <v>2024</v>
      </c>
      <c r="O108" s="4485">
        <v>2025</v>
      </c>
      <c r="P108" s="4483">
        <v>2026</v>
      </c>
      <c r="Q108" s="4483">
        <v>2027</v>
      </c>
      <c r="R108" s="4486">
        <v>2028</v>
      </c>
      <c r="S108" s="4486">
        <v>2029</v>
      </c>
      <c r="T108" s="4486">
        <v>2030</v>
      </c>
      <c r="U108" s="4486">
        <v>2031</v>
      </c>
      <c r="V108" s="4486">
        <v>2032</v>
      </c>
    </row>
    <row r="109" spans="1:23" s="4471" customFormat="1" ht="15.75" customHeight="1" thickBot="1">
      <c r="A109" s="4479"/>
      <c r="B109" s="4487" t="s">
        <v>234</v>
      </c>
      <c r="C109" s="4487"/>
      <c r="D109" s="4488"/>
      <c r="E109" s="4487"/>
      <c r="F109" s="4489">
        <f>+F87+F92+F97</f>
        <v>0</v>
      </c>
      <c r="G109" s="4489">
        <f>+G87+G92+G97</f>
        <v>2354619</v>
      </c>
      <c r="H109" s="4489">
        <f>+H87+H92+H97</f>
        <v>5147017</v>
      </c>
      <c r="I109" s="4489">
        <f>+I87+I92+I97</f>
        <v>5147017</v>
      </c>
      <c r="J109" s="4489">
        <f>+J87+J92+J97</f>
        <v>5147017</v>
      </c>
      <c r="K109" s="4489">
        <f t="shared" ref="K109" si="74">+K87+K92+K97</f>
        <v>5007017</v>
      </c>
      <c r="L109" s="4489">
        <f>+L87+L92+L97</f>
        <v>4067017</v>
      </c>
      <c r="M109" s="4489"/>
      <c r="N109" s="4490">
        <f>4145973-78956</f>
        <v>4067017</v>
      </c>
      <c r="O109" s="4491">
        <f>4145973-78956</f>
        <v>4067017</v>
      </c>
      <c r="P109" s="4489">
        <f>4145973-78956</f>
        <v>4067017</v>
      </c>
      <c r="Q109" s="4489">
        <f>4145973-78956</f>
        <v>4067017</v>
      </c>
      <c r="R109" s="4489">
        <f>4029310-78956</f>
        <v>3950354</v>
      </c>
      <c r="S109" s="4489">
        <f>3912640-78956</f>
        <v>3833684</v>
      </c>
      <c r="T109" s="4489">
        <f>3912640-78956</f>
        <v>3833684</v>
      </c>
      <c r="U109" s="4489">
        <f>3912640-78956</f>
        <v>3833684</v>
      </c>
      <c r="V109" s="4489">
        <v>1916851</v>
      </c>
      <c r="W109" s="4489">
        <f>+N87+N92+N97</f>
        <v>60506029</v>
      </c>
    </row>
    <row r="110" spans="1:23" s="4471" customFormat="1" ht="15.75" customHeight="1" thickBot="1">
      <c r="A110" s="4479"/>
      <c r="B110" s="4477"/>
      <c r="C110" s="4477"/>
      <c r="D110" s="4480"/>
      <c r="E110" s="4477"/>
      <c r="F110" s="4477"/>
      <c r="G110" s="4477"/>
      <c r="H110" s="4477"/>
      <c r="I110" s="4477"/>
      <c r="J110" s="4477"/>
      <c r="K110" s="4477"/>
      <c r="L110" s="4477"/>
      <c r="M110" s="4477"/>
      <c r="N110" s="4477"/>
      <c r="O110" s="4481"/>
      <c r="V110" s="4492">
        <f>SUM(F109:V109)</f>
        <v>60506029</v>
      </c>
    </row>
    <row r="111" spans="1:23" s="4471" customFormat="1" ht="12" customHeight="1" thickBot="1">
      <c r="A111" s="4479"/>
      <c r="B111" s="4477"/>
      <c r="C111" s="4477"/>
      <c r="D111" s="4480"/>
      <c r="E111" s="4477"/>
      <c r="F111" s="4477"/>
      <c r="G111" s="4477"/>
      <c r="H111" s="4477"/>
      <c r="I111" s="4477"/>
      <c r="J111" s="4477"/>
      <c r="K111" s="4477"/>
      <c r="L111" s="4477"/>
      <c r="M111" s="4477"/>
      <c r="N111" s="4477"/>
      <c r="O111" s="4481"/>
      <c r="R111" s="4492"/>
      <c r="V111" s="4492"/>
    </row>
    <row r="112" spans="1:23" s="4495" customFormat="1" ht="22.5" customHeight="1" thickBot="1">
      <c r="A112" s="4479"/>
      <c r="B112" s="4493" t="s">
        <v>448</v>
      </c>
      <c r="C112" s="4494"/>
      <c r="D112" s="4494"/>
      <c r="E112" s="4494"/>
      <c r="F112" s="4494"/>
      <c r="G112" s="4494"/>
      <c r="H112" s="4494"/>
      <c r="I112" s="4494"/>
      <c r="J112" s="4494"/>
      <c r="K112" s="4494"/>
      <c r="L112" s="4494"/>
      <c r="M112" s="4477"/>
      <c r="N112" s="4477"/>
      <c r="O112" s="4481"/>
      <c r="V112" s="4496">
        <f>+V110-W109</f>
        <v>0</v>
      </c>
    </row>
    <row r="113" spans="1:15" s="4385" customFormat="1" ht="12.75" customHeight="1" thickBot="1">
      <c r="A113" s="4479"/>
      <c r="B113" s="4493" t="s">
        <v>449</v>
      </c>
      <c r="C113" s="4494"/>
      <c r="D113" s="4497">
        <f>D41</f>
        <v>1203025</v>
      </c>
      <c r="E113" s="4497">
        <f t="shared" ref="E113:L113" si="75">E41</f>
        <v>0</v>
      </c>
      <c r="F113" s="4497">
        <f t="shared" si="75"/>
        <v>0</v>
      </c>
      <c r="G113" s="4497">
        <f t="shared" si="75"/>
        <v>180114</v>
      </c>
      <c r="H113" s="4497">
        <f t="shared" si="75"/>
        <v>488417</v>
      </c>
      <c r="I113" s="4497">
        <f t="shared" si="75"/>
        <v>466347</v>
      </c>
      <c r="J113" s="4497">
        <f t="shared" si="75"/>
        <v>68147</v>
      </c>
      <c r="K113" s="4497">
        <f t="shared" si="75"/>
        <v>0</v>
      </c>
      <c r="L113" s="4497">
        <f t="shared" si="75"/>
        <v>0</v>
      </c>
      <c r="M113" s="4477"/>
      <c r="N113" s="4477"/>
      <c r="O113" s="4481"/>
    </row>
    <row r="114" spans="1:15" s="4385" customFormat="1" ht="12.75" customHeight="1">
      <c r="A114" s="4498"/>
      <c r="B114" s="4493" t="s">
        <v>450</v>
      </c>
      <c r="C114" s="4494"/>
      <c r="D114" s="4497">
        <f>D29</f>
        <v>36789795</v>
      </c>
      <c r="E114" s="4497">
        <f t="shared" ref="E114:L114" si="76">E29</f>
        <v>0</v>
      </c>
      <c r="F114" s="4497">
        <f t="shared" si="76"/>
        <v>0</v>
      </c>
      <c r="G114" s="4497">
        <f t="shared" si="76"/>
        <v>5508086</v>
      </c>
      <c r="H114" s="4497">
        <f>H29</f>
        <v>14936317</v>
      </c>
      <c r="I114" s="4497">
        <f t="shared" si="76"/>
        <v>14261379</v>
      </c>
      <c r="J114" s="4497">
        <f t="shared" si="76"/>
        <v>2084013</v>
      </c>
      <c r="K114" s="4497">
        <f t="shared" si="76"/>
        <v>0</v>
      </c>
      <c r="L114" s="4497">
        <f t="shared" si="76"/>
        <v>0</v>
      </c>
      <c r="M114" s="4477"/>
      <c r="N114" s="4477"/>
      <c r="O114" s="4499"/>
    </row>
    <row r="115" spans="1:15" s="4385" customFormat="1">
      <c r="A115" s="4117"/>
      <c r="B115" s="4493" t="s">
        <v>451</v>
      </c>
      <c r="C115" s="4494"/>
      <c r="D115" s="4500">
        <f>D113+D114</f>
        <v>37992820</v>
      </c>
      <c r="E115" s="4500">
        <f t="shared" ref="E115:L115" si="77">E113+E114</f>
        <v>0</v>
      </c>
      <c r="F115" s="4500">
        <f t="shared" si="77"/>
        <v>0</v>
      </c>
      <c r="G115" s="4500">
        <f t="shared" si="77"/>
        <v>5688200</v>
      </c>
      <c r="H115" s="4500">
        <f t="shared" si="77"/>
        <v>15424734</v>
      </c>
      <c r="I115" s="4500">
        <f t="shared" si="77"/>
        <v>14727726</v>
      </c>
      <c r="J115" s="4500">
        <f t="shared" si="77"/>
        <v>2152160</v>
      </c>
      <c r="K115" s="4500">
        <f t="shared" si="77"/>
        <v>0</v>
      </c>
      <c r="L115" s="4500">
        <f t="shared" si="77"/>
        <v>0</v>
      </c>
      <c r="M115" s="4477"/>
      <c r="N115" s="4477"/>
      <c r="O115" s="4501"/>
    </row>
    <row r="116" spans="1:15" s="4495" customFormat="1" ht="14.25" customHeight="1">
      <c r="A116" s="4117"/>
      <c r="B116" s="4502" t="s">
        <v>41</v>
      </c>
      <c r="C116" s="4503"/>
      <c r="D116" s="4504">
        <f>D115-D16</f>
        <v>0</v>
      </c>
      <c r="E116" s="4504">
        <f t="shared" ref="E116:L116" si="78">E115-E16</f>
        <v>0</v>
      </c>
      <c r="F116" s="4504">
        <f t="shared" si="78"/>
        <v>0</v>
      </c>
      <c r="G116" s="4504">
        <f t="shared" si="78"/>
        <v>0</v>
      </c>
      <c r="H116" s="4504">
        <f t="shared" si="78"/>
        <v>0</v>
      </c>
      <c r="I116" s="4504">
        <f t="shared" si="78"/>
        <v>0</v>
      </c>
      <c r="J116" s="4504">
        <f t="shared" si="78"/>
        <v>0</v>
      </c>
      <c r="K116" s="4504">
        <f t="shared" si="78"/>
        <v>0</v>
      </c>
      <c r="L116" s="4504">
        <f t="shared" si="78"/>
        <v>0</v>
      </c>
      <c r="M116" s="4477"/>
      <c r="N116" s="4477"/>
      <c r="O116" s="4501"/>
    </row>
    <row r="117" spans="1:15" s="4385" customFormat="1" ht="12.75" customHeight="1">
      <c r="A117" s="4117"/>
      <c r="B117" s="4477"/>
      <c r="C117" s="4477"/>
      <c r="D117" s="4477"/>
      <c r="E117" s="4477"/>
      <c r="F117" s="4477"/>
      <c r="G117" s="4477"/>
      <c r="H117" s="4477"/>
      <c r="I117" s="4477"/>
      <c r="J117" s="4477"/>
      <c r="K117" s="4477"/>
      <c r="L117" s="4477"/>
      <c r="M117" s="4477"/>
      <c r="N117" s="4477"/>
      <c r="O117" s="4501"/>
    </row>
    <row r="118" spans="1:15" s="4385" customFormat="1" ht="12.75" customHeight="1">
      <c r="A118" s="4117"/>
      <c r="B118" s="4477"/>
      <c r="C118" s="4477"/>
      <c r="D118" s="4477"/>
      <c r="E118" s="4477"/>
      <c r="F118" s="4477"/>
      <c r="G118" s="4477"/>
      <c r="H118" s="4477"/>
      <c r="I118" s="4477"/>
      <c r="J118" s="4477"/>
      <c r="K118" s="4477"/>
      <c r="L118" s="4477"/>
      <c r="M118" s="4477"/>
      <c r="N118" s="4477"/>
      <c r="O118" s="4501"/>
    </row>
    <row r="119" spans="1:15" s="4385" customFormat="1">
      <c r="A119" s="4117"/>
      <c r="B119" s="4477"/>
      <c r="C119" s="4477"/>
      <c r="D119" s="4477"/>
      <c r="E119" s="4477"/>
      <c r="F119" s="4477"/>
      <c r="G119" s="4477"/>
      <c r="H119" s="4477"/>
      <c r="I119" s="4477"/>
      <c r="J119" s="4477"/>
      <c r="K119" s="4477"/>
      <c r="L119" s="4477"/>
      <c r="M119" s="4477"/>
      <c r="N119" s="4477"/>
      <c r="O119" s="4501"/>
    </row>
    <row r="120" spans="1:15" s="4385" customFormat="1">
      <c r="A120" s="4117"/>
      <c r="B120" s="4477"/>
      <c r="C120" s="4477"/>
      <c r="D120" s="4477"/>
      <c r="E120" s="4477"/>
      <c r="F120" s="4477"/>
      <c r="G120" s="4477"/>
      <c r="H120" s="4477"/>
      <c r="I120" s="4477"/>
      <c r="J120" s="4477"/>
      <c r="K120" s="4477"/>
      <c r="L120" s="4477"/>
      <c r="M120" s="4477"/>
      <c r="N120" s="4477"/>
      <c r="O120" s="4501"/>
    </row>
    <row r="121" spans="1:15" s="4495" customFormat="1" ht="33.75" customHeight="1">
      <c r="A121" s="4117"/>
      <c r="B121" s="4477"/>
      <c r="C121" s="4477"/>
      <c r="D121" s="4477"/>
      <c r="E121" s="4477"/>
      <c r="F121" s="4477"/>
      <c r="G121" s="4477"/>
      <c r="H121" s="4477"/>
      <c r="I121" s="4477"/>
      <c r="J121" s="4477"/>
      <c r="K121" s="4477"/>
      <c r="L121" s="4477"/>
      <c r="M121" s="4477"/>
      <c r="N121" s="4477"/>
      <c r="O121" s="4501"/>
    </row>
    <row r="122" spans="1:15" s="4385" customFormat="1" ht="12.75" customHeight="1">
      <c r="A122" s="4117"/>
      <c r="B122" s="4477"/>
      <c r="C122" s="4477"/>
      <c r="D122" s="4477"/>
      <c r="E122" s="4477"/>
      <c r="F122" s="4477"/>
      <c r="G122" s="4477"/>
      <c r="H122" s="4477"/>
      <c r="I122" s="4477"/>
      <c r="J122" s="4477"/>
      <c r="K122" s="4477"/>
      <c r="L122" s="4477"/>
      <c r="M122" s="4477"/>
      <c r="N122" s="4477"/>
      <c r="O122" s="4501"/>
    </row>
    <row r="123" spans="1:15" s="4385" customFormat="1" ht="12.75" customHeight="1">
      <c r="A123" s="4117"/>
      <c r="B123" s="4477"/>
      <c r="C123" s="4477"/>
      <c r="D123" s="4477"/>
      <c r="E123" s="4477"/>
      <c r="F123" s="4477"/>
      <c r="G123" s="4477"/>
      <c r="H123" s="4477"/>
      <c r="I123" s="4477"/>
      <c r="J123" s="4477"/>
      <c r="K123" s="4477"/>
      <c r="L123" s="4477"/>
      <c r="M123" s="4477"/>
      <c r="N123" s="4477"/>
      <c r="O123" s="4501"/>
    </row>
    <row r="124" spans="1:15" s="4385" customFormat="1" ht="12.75" customHeight="1">
      <c r="A124" s="4117"/>
      <c r="B124" s="4477"/>
      <c r="C124" s="4477"/>
      <c r="D124" s="4477"/>
      <c r="E124" s="4477"/>
      <c r="F124" s="4477"/>
      <c r="G124" s="4477"/>
      <c r="H124" s="4477"/>
      <c r="I124" s="4477"/>
      <c r="J124" s="4477"/>
      <c r="K124" s="4477"/>
      <c r="L124" s="4477"/>
      <c r="M124" s="4477"/>
      <c r="N124" s="4477"/>
      <c r="O124" s="4501"/>
    </row>
    <row r="125" spans="1:15" s="4385" customFormat="1" ht="12.75" customHeight="1">
      <c r="A125" s="4117"/>
      <c r="B125" s="4477"/>
      <c r="C125" s="4477"/>
      <c r="D125" s="4477"/>
      <c r="E125" s="4477"/>
      <c r="F125" s="4477"/>
      <c r="G125" s="4477"/>
      <c r="H125" s="4477"/>
      <c r="I125" s="4477"/>
      <c r="J125" s="4477"/>
      <c r="K125" s="4477"/>
      <c r="L125" s="4477"/>
      <c r="M125" s="4477"/>
      <c r="N125" s="4477"/>
      <c r="O125" s="4501"/>
    </row>
    <row r="126" spans="1:15" s="4385" customFormat="1">
      <c r="A126" s="4117"/>
      <c r="B126" s="4477"/>
      <c r="C126" s="4477"/>
      <c r="D126" s="4477"/>
      <c r="E126" s="4477"/>
      <c r="F126" s="4477"/>
      <c r="G126" s="4477"/>
      <c r="H126" s="4477"/>
      <c r="I126" s="4477"/>
      <c r="J126" s="4477"/>
      <c r="K126" s="4477"/>
      <c r="L126" s="4477"/>
      <c r="M126" s="4477"/>
      <c r="N126" s="4477"/>
      <c r="O126" s="4501"/>
    </row>
    <row r="127" spans="1:15" s="4495" customFormat="1" ht="12" customHeight="1">
      <c r="A127" s="4117"/>
      <c r="B127" s="4477"/>
      <c r="C127" s="4477"/>
      <c r="D127" s="4477"/>
      <c r="E127" s="4477"/>
      <c r="F127" s="4477"/>
      <c r="G127" s="4477"/>
      <c r="H127" s="4477"/>
      <c r="I127" s="4477"/>
      <c r="J127" s="4477"/>
      <c r="K127" s="4477"/>
      <c r="L127" s="4477"/>
      <c r="M127" s="4477"/>
      <c r="N127" s="4477"/>
      <c r="O127" s="4501"/>
    </row>
    <row r="128" spans="1:15" s="4385" customFormat="1" ht="12.75" customHeight="1">
      <c r="A128" s="4117"/>
      <c r="B128" s="4477"/>
      <c r="C128" s="4477"/>
      <c r="D128" s="4477"/>
      <c r="E128" s="4477"/>
      <c r="F128" s="4477"/>
      <c r="G128" s="4477"/>
      <c r="H128" s="4477"/>
      <c r="I128" s="4477"/>
      <c r="J128" s="4477"/>
      <c r="K128" s="4477"/>
      <c r="L128" s="4477"/>
      <c r="M128" s="4477"/>
      <c r="N128" s="4477"/>
      <c r="O128" s="4501"/>
    </row>
    <row r="129" spans="1:15" s="4385" customFormat="1" ht="12.75" customHeight="1">
      <c r="A129" s="4117"/>
      <c r="B129" s="4477"/>
      <c r="C129" s="4477"/>
      <c r="D129" s="4477"/>
      <c r="E129" s="4477"/>
      <c r="F129" s="4477"/>
      <c r="G129" s="4477"/>
      <c r="H129" s="4477"/>
      <c r="I129" s="4477"/>
      <c r="J129" s="4477"/>
      <c r="K129" s="4477"/>
      <c r="L129" s="4477"/>
      <c r="M129" s="4477"/>
      <c r="N129" s="4477"/>
      <c r="O129" s="4501"/>
    </row>
    <row r="130" spans="1:15" s="4385" customFormat="1">
      <c r="A130" s="4117"/>
      <c r="B130" s="4477"/>
      <c r="C130" s="4477"/>
      <c r="D130" s="4477"/>
      <c r="E130" s="4477"/>
      <c r="F130" s="4477"/>
      <c r="G130" s="4477"/>
      <c r="H130" s="4477"/>
      <c r="I130" s="4477"/>
      <c r="J130" s="4477"/>
      <c r="K130" s="4477"/>
      <c r="L130" s="4477"/>
      <c r="M130" s="4477"/>
      <c r="N130" s="4477"/>
      <c r="O130" s="4501"/>
    </row>
    <row r="131" spans="1:15" s="4385" customFormat="1">
      <c r="A131" s="4117"/>
      <c r="B131" s="4477"/>
      <c r="C131" s="4477"/>
      <c r="D131" s="4477"/>
      <c r="E131" s="4477"/>
      <c r="F131" s="4477"/>
      <c r="G131" s="4477"/>
      <c r="H131" s="4477"/>
      <c r="I131" s="4477"/>
      <c r="J131" s="4477"/>
      <c r="K131" s="4477"/>
      <c r="L131" s="4477"/>
      <c r="M131" s="4477"/>
      <c r="N131" s="4477"/>
      <c r="O131" s="4501"/>
    </row>
    <row r="132" spans="1:15" s="4495" customFormat="1" ht="22.5" customHeight="1">
      <c r="A132" s="4117"/>
      <c r="B132" s="4477"/>
      <c r="C132" s="4477"/>
      <c r="D132" s="4477"/>
      <c r="E132" s="4477"/>
      <c r="F132" s="4477"/>
      <c r="G132" s="4477"/>
      <c r="H132" s="4477"/>
      <c r="I132" s="4477"/>
      <c r="J132" s="4477"/>
      <c r="K132" s="4477"/>
      <c r="L132" s="4477"/>
      <c r="M132" s="4477"/>
      <c r="N132" s="4477"/>
      <c r="O132" s="4501"/>
    </row>
    <row r="133" spans="1:15" s="4385" customFormat="1" ht="12.75" customHeight="1">
      <c r="A133" s="4117"/>
      <c r="B133" s="4477"/>
      <c r="C133" s="4477"/>
      <c r="D133" s="4477"/>
      <c r="E133" s="4477"/>
      <c r="F133" s="4477"/>
      <c r="G133" s="4477"/>
      <c r="H133" s="4477"/>
      <c r="I133" s="4477"/>
      <c r="J133" s="4477"/>
      <c r="K133" s="4477"/>
      <c r="L133" s="4477"/>
      <c r="M133" s="4477"/>
      <c r="N133" s="4477"/>
      <c r="O133" s="4501"/>
    </row>
    <row r="134" spans="1:15" s="4385" customFormat="1" ht="12.75" customHeight="1">
      <c r="A134" s="4117"/>
      <c r="B134" s="4477"/>
      <c r="C134" s="4477"/>
      <c r="D134" s="4477"/>
      <c r="E134" s="4477"/>
      <c r="F134" s="4477"/>
      <c r="G134" s="4477"/>
      <c r="H134" s="4477"/>
      <c r="I134" s="4477"/>
      <c r="J134" s="4477"/>
      <c r="K134" s="4477"/>
      <c r="L134" s="4477"/>
      <c r="M134" s="4477"/>
      <c r="N134" s="4477"/>
      <c r="O134" s="4501"/>
    </row>
    <row r="135" spans="1:15" s="4385" customFormat="1">
      <c r="A135" s="4117"/>
      <c r="B135" s="4477"/>
      <c r="C135" s="4477"/>
      <c r="D135" s="4477"/>
      <c r="E135" s="4477"/>
      <c r="F135" s="4477"/>
      <c r="G135" s="4477"/>
      <c r="H135" s="4477"/>
      <c r="I135" s="4477"/>
      <c r="J135" s="4477"/>
      <c r="K135" s="4477"/>
      <c r="L135" s="4477"/>
      <c r="M135" s="4477"/>
      <c r="N135" s="4477"/>
      <c r="O135" s="4501"/>
    </row>
    <row r="136" spans="1:15" s="4385" customFormat="1">
      <c r="A136" s="4117"/>
      <c r="B136" s="4477"/>
      <c r="C136" s="4477"/>
      <c r="D136" s="4477"/>
      <c r="E136" s="4477"/>
      <c r="F136" s="4477"/>
      <c r="G136" s="4477"/>
      <c r="H136" s="4477"/>
      <c r="I136" s="4477"/>
      <c r="J136" s="4477"/>
      <c r="K136" s="4477"/>
      <c r="L136" s="4477"/>
      <c r="M136" s="4477"/>
      <c r="N136" s="4477"/>
      <c r="O136" s="4501"/>
    </row>
    <row r="137" spans="1:15" s="4495" customFormat="1" ht="15" customHeight="1">
      <c r="A137" s="4117"/>
      <c r="B137" s="4477"/>
      <c r="C137" s="4477"/>
      <c r="D137" s="4477"/>
      <c r="E137" s="4477"/>
      <c r="F137" s="4477"/>
      <c r="G137" s="4477"/>
      <c r="H137" s="4477"/>
      <c r="I137" s="4477"/>
      <c r="J137" s="4477"/>
      <c r="K137" s="4477"/>
      <c r="L137" s="4477"/>
      <c r="M137" s="4477"/>
      <c r="N137" s="4477"/>
      <c r="O137" s="4501"/>
    </row>
    <row r="138" spans="1:15" s="4385" customFormat="1" ht="12.75" customHeight="1">
      <c r="A138" s="4117"/>
      <c r="B138" s="4477"/>
      <c r="C138" s="4477"/>
      <c r="D138" s="4477"/>
      <c r="E138" s="4477"/>
      <c r="F138" s="4477"/>
      <c r="G138" s="4477"/>
      <c r="H138" s="4477"/>
      <c r="I138" s="4477"/>
      <c r="J138" s="4477"/>
      <c r="K138" s="4477"/>
      <c r="L138" s="4477"/>
      <c r="M138" s="4477"/>
      <c r="N138" s="4477"/>
      <c r="O138" s="4501"/>
    </row>
    <row r="139" spans="1:15" s="4385" customFormat="1" ht="12.75" customHeight="1">
      <c r="A139" s="4117"/>
      <c r="B139" s="4477"/>
      <c r="C139" s="4477"/>
      <c r="D139" s="4477"/>
      <c r="E139" s="4477"/>
      <c r="F139" s="4477"/>
      <c r="G139" s="4477"/>
      <c r="H139" s="4477"/>
      <c r="I139" s="4477"/>
      <c r="J139" s="4477"/>
      <c r="K139" s="4477"/>
      <c r="L139" s="4477"/>
      <c r="M139" s="4477"/>
      <c r="N139" s="4477"/>
      <c r="O139" s="4501"/>
    </row>
    <row r="140" spans="1:15" s="4385" customFormat="1">
      <c r="A140" s="4117"/>
      <c r="B140" s="4477"/>
      <c r="C140" s="4477"/>
      <c r="D140" s="4477"/>
      <c r="E140" s="4477"/>
      <c r="F140" s="4477"/>
      <c r="G140" s="4477"/>
      <c r="H140" s="4477"/>
      <c r="I140" s="4477"/>
      <c r="J140" s="4477"/>
      <c r="K140" s="4477"/>
      <c r="L140" s="4477"/>
      <c r="M140" s="4477"/>
      <c r="N140" s="4477"/>
      <c r="O140" s="4501"/>
    </row>
    <row r="141" spans="1:15" s="4385" customFormat="1">
      <c r="A141" s="4117"/>
      <c r="B141" s="4477"/>
      <c r="C141" s="4477"/>
      <c r="D141" s="4477"/>
      <c r="E141" s="4477"/>
      <c r="F141" s="4477"/>
      <c r="G141" s="4477"/>
      <c r="H141" s="4477"/>
      <c r="I141" s="4477"/>
      <c r="J141" s="4477"/>
      <c r="K141" s="4477"/>
      <c r="L141" s="4477"/>
      <c r="M141" s="4477"/>
      <c r="N141" s="4477"/>
      <c r="O141" s="4501"/>
    </row>
    <row r="142" spans="1:15" s="4495" customFormat="1" ht="13.5" customHeight="1">
      <c r="A142" s="4117"/>
      <c r="B142" s="4477"/>
      <c r="C142" s="4477"/>
      <c r="D142" s="4477"/>
      <c r="E142" s="4477"/>
      <c r="F142" s="4477"/>
      <c r="G142" s="4477"/>
      <c r="H142" s="4477"/>
      <c r="I142" s="4477"/>
      <c r="J142" s="4477"/>
      <c r="K142" s="4477"/>
      <c r="L142" s="4477"/>
      <c r="M142" s="4477"/>
      <c r="N142" s="4477"/>
      <c r="O142" s="4501"/>
    </row>
    <row r="143" spans="1:15" s="4385" customFormat="1" ht="12.75" customHeight="1">
      <c r="A143" s="4117"/>
      <c r="B143" s="4477"/>
      <c r="C143" s="4477"/>
      <c r="D143" s="4477"/>
      <c r="E143" s="4477"/>
      <c r="F143" s="4477"/>
      <c r="G143" s="4477"/>
      <c r="H143" s="4477"/>
      <c r="I143" s="4477"/>
      <c r="J143" s="4477"/>
      <c r="K143" s="4477"/>
      <c r="L143" s="4477"/>
      <c r="M143" s="4477"/>
      <c r="N143" s="4477"/>
      <c r="O143" s="4501"/>
    </row>
    <row r="144" spans="1:15" s="4385" customFormat="1" ht="12.75" customHeight="1">
      <c r="A144" s="4117"/>
      <c r="B144" s="4477"/>
      <c r="C144" s="4477"/>
      <c r="D144" s="4477"/>
      <c r="E144" s="4477"/>
      <c r="F144" s="4477"/>
      <c r="G144" s="4477"/>
      <c r="H144" s="4477"/>
      <c r="I144" s="4477"/>
      <c r="J144" s="4477"/>
      <c r="K144" s="4477"/>
      <c r="L144" s="4477"/>
      <c r="M144" s="4477"/>
      <c r="N144" s="4477"/>
      <c r="O144" s="4501"/>
    </row>
    <row r="145" spans="1:15" s="4385" customFormat="1">
      <c r="A145" s="4117"/>
      <c r="B145" s="4477"/>
      <c r="C145" s="4477"/>
      <c r="D145" s="4477"/>
      <c r="E145" s="4477"/>
      <c r="F145" s="4477"/>
      <c r="G145" s="4477"/>
      <c r="H145" s="4477"/>
      <c r="I145" s="4477"/>
      <c r="J145" s="4477"/>
      <c r="K145" s="4477"/>
      <c r="L145" s="4477"/>
      <c r="M145" s="4477"/>
      <c r="N145" s="4477"/>
      <c r="O145" s="4501"/>
    </row>
    <row r="146" spans="1:15" s="4385" customFormat="1">
      <c r="A146" s="4117"/>
      <c r="B146" s="4477"/>
      <c r="C146" s="4477"/>
      <c r="D146" s="4477"/>
      <c r="E146" s="4477"/>
      <c r="F146" s="4477"/>
      <c r="G146" s="4477"/>
      <c r="H146" s="4477"/>
      <c r="I146" s="4477"/>
      <c r="J146" s="4477"/>
      <c r="K146" s="4477"/>
      <c r="L146" s="4477"/>
      <c r="M146" s="4477"/>
      <c r="N146" s="4477"/>
      <c r="O146" s="4501"/>
    </row>
    <row r="147" spans="1:15" s="4385" customFormat="1">
      <c r="A147" s="4117"/>
      <c r="B147" s="4477"/>
      <c r="C147" s="4477"/>
      <c r="D147" s="4477"/>
      <c r="E147" s="4477"/>
      <c r="F147" s="4477"/>
      <c r="G147" s="4477"/>
      <c r="H147" s="4477"/>
      <c r="I147" s="4477"/>
      <c r="J147" s="4477"/>
      <c r="K147" s="4477"/>
      <c r="L147" s="4477"/>
      <c r="M147" s="4477"/>
      <c r="N147" s="4477"/>
      <c r="O147" s="4501"/>
    </row>
    <row r="148" spans="1:15" s="4495" customFormat="1" ht="22.5" customHeight="1">
      <c r="A148" s="4117"/>
      <c r="B148" s="4477"/>
      <c r="C148" s="4477"/>
      <c r="D148" s="4477"/>
      <c r="E148" s="4477"/>
      <c r="F148" s="4477"/>
      <c r="G148" s="4477"/>
      <c r="H148" s="4477"/>
      <c r="I148" s="4477"/>
      <c r="J148" s="4477"/>
      <c r="K148" s="4477"/>
      <c r="L148" s="4477"/>
      <c r="M148" s="4477"/>
      <c r="N148" s="4477"/>
      <c r="O148" s="4501"/>
    </row>
    <row r="149" spans="1:15" s="4385" customFormat="1" ht="12.75" customHeight="1">
      <c r="A149" s="4117"/>
      <c r="B149" s="4477"/>
      <c r="C149" s="4477"/>
      <c r="D149" s="4477"/>
      <c r="E149" s="4477"/>
      <c r="F149" s="4477"/>
      <c r="G149" s="4477"/>
      <c r="H149" s="4477"/>
      <c r="I149" s="4477"/>
      <c r="J149" s="4477"/>
      <c r="K149" s="4477"/>
      <c r="L149" s="4477"/>
      <c r="M149" s="4477"/>
      <c r="N149" s="4477"/>
      <c r="O149" s="4501"/>
    </row>
    <row r="150" spans="1:15" s="4385" customFormat="1" ht="12.75" customHeight="1">
      <c r="A150" s="4117"/>
      <c r="B150" s="4477"/>
      <c r="C150" s="4477"/>
      <c r="D150" s="4477"/>
      <c r="E150" s="4477"/>
      <c r="F150" s="4477"/>
      <c r="G150" s="4477"/>
      <c r="H150" s="4477"/>
      <c r="I150" s="4477"/>
      <c r="J150" s="4477"/>
      <c r="K150" s="4477"/>
      <c r="L150" s="4477"/>
      <c r="M150" s="4477"/>
      <c r="N150" s="4477"/>
      <c r="O150" s="4501"/>
    </row>
    <row r="151" spans="1:15" s="4385" customFormat="1">
      <c r="A151" s="4117"/>
      <c r="B151" s="4477"/>
      <c r="C151" s="4477"/>
      <c r="D151" s="4477"/>
      <c r="E151" s="4477"/>
      <c r="F151" s="4477"/>
      <c r="G151" s="4477"/>
      <c r="H151" s="4477"/>
      <c r="I151" s="4477"/>
      <c r="J151" s="4477"/>
      <c r="K151" s="4477"/>
      <c r="L151" s="4477"/>
      <c r="M151" s="4477"/>
      <c r="N151" s="4477"/>
      <c r="O151" s="4501"/>
    </row>
    <row r="152" spans="1:15" s="4385" customFormat="1">
      <c r="A152" s="4117"/>
      <c r="B152" s="4477"/>
      <c r="C152" s="4477"/>
      <c r="D152" s="4477"/>
      <c r="E152" s="4477"/>
      <c r="F152" s="4477"/>
      <c r="G152" s="4477"/>
      <c r="H152" s="4477"/>
      <c r="I152" s="4477"/>
      <c r="J152" s="4477"/>
      <c r="K152" s="4477"/>
      <c r="L152" s="4477"/>
      <c r="M152" s="4477"/>
      <c r="N152" s="4477"/>
      <c r="O152" s="4501"/>
    </row>
    <row r="153" spans="1:15" s="4495" customFormat="1" ht="12.75" customHeight="1">
      <c r="A153" s="4117"/>
      <c r="B153" s="4477"/>
      <c r="C153" s="4477"/>
      <c r="D153" s="4477"/>
      <c r="E153" s="4477"/>
      <c r="F153" s="4477"/>
      <c r="G153" s="4477"/>
      <c r="H153" s="4477"/>
      <c r="I153" s="4477"/>
      <c r="J153" s="4477"/>
      <c r="K153" s="4477"/>
      <c r="L153" s="4477"/>
      <c r="M153" s="4477"/>
      <c r="N153" s="4477"/>
      <c r="O153" s="4501"/>
    </row>
    <row r="154" spans="1:15" s="4385" customFormat="1" ht="9.75" customHeight="1">
      <c r="A154" s="4117"/>
      <c r="B154" s="4477"/>
      <c r="C154" s="4477"/>
      <c r="D154" s="4477"/>
      <c r="E154" s="4477"/>
      <c r="F154" s="4477"/>
      <c r="G154" s="4477"/>
      <c r="H154" s="4477"/>
      <c r="I154" s="4477"/>
      <c r="J154" s="4477"/>
      <c r="K154" s="4477"/>
      <c r="L154" s="4477"/>
      <c r="M154" s="4477"/>
      <c r="N154" s="4477"/>
      <c r="O154" s="4501"/>
    </row>
    <row r="155" spans="1:15" s="4385" customFormat="1" ht="12.75" customHeight="1">
      <c r="A155" s="4117"/>
      <c r="B155" s="4477"/>
      <c r="C155" s="4477"/>
      <c r="D155" s="4477"/>
      <c r="E155" s="4477"/>
      <c r="F155" s="4477"/>
      <c r="G155" s="4477"/>
      <c r="H155" s="4477"/>
      <c r="I155" s="4477"/>
      <c r="J155" s="4477"/>
      <c r="K155" s="4477"/>
      <c r="L155" s="4477"/>
      <c r="M155" s="4477"/>
      <c r="N155" s="4477"/>
      <c r="O155" s="4501"/>
    </row>
    <row r="156" spans="1:15" s="4385" customFormat="1">
      <c r="A156" s="4117"/>
      <c r="B156" s="4477"/>
      <c r="C156" s="4477"/>
      <c r="D156" s="4477"/>
      <c r="E156" s="4477"/>
      <c r="F156" s="4477"/>
      <c r="G156" s="4477"/>
      <c r="H156" s="4477"/>
      <c r="I156" s="4477"/>
      <c r="J156" s="4477"/>
      <c r="K156" s="4477"/>
      <c r="L156" s="4477"/>
      <c r="M156" s="4477"/>
      <c r="N156" s="4477"/>
      <c r="O156" s="4501"/>
    </row>
    <row r="157" spans="1:15" s="4385" customFormat="1">
      <c r="A157" s="4117"/>
      <c r="B157" s="4477"/>
      <c r="C157" s="4477"/>
      <c r="D157" s="4477"/>
      <c r="E157" s="4477"/>
      <c r="F157" s="4477"/>
      <c r="G157" s="4477"/>
      <c r="H157" s="4477"/>
      <c r="I157" s="4477"/>
      <c r="J157" s="4477"/>
      <c r="K157" s="4477"/>
      <c r="L157" s="4477"/>
      <c r="M157" s="4477"/>
      <c r="N157" s="4477"/>
      <c r="O157" s="4501"/>
    </row>
    <row r="158" spans="1:15" s="4495" customFormat="1" ht="13.5" customHeight="1">
      <c r="A158" s="4117"/>
      <c r="B158" s="4477"/>
      <c r="C158" s="4477"/>
      <c r="D158" s="4477"/>
      <c r="E158" s="4477"/>
      <c r="F158" s="4477"/>
      <c r="G158" s="4477"/>
      <c r="H158" s="4477"/>
      <c r="I158" s="4477"/>
      <c r="J158" s="4477"/>
      <c r="K158" s="4477"/>
      <c r="L158" s="4477"/>
      <c r="M158" s="4477"/>
      <c r="N158" s="4477"/>
      <c r="O158" s="4501"/>
    </row>
    <row r="159" spans="1:15" s="4385" customFormat="1" ht="9.75" customHeight="1">
      <c r="A159" s="4117"/>
      <c r="B159" s="4477"/>
      <c r="C159" s="4477"/>
      <c r="D159" s="4477"/>
      <c r="E159" s="4477"/>
      <c r="F159" s="4477"/>
      <c r="G159" s="4477"/>
      <c r="H159" s="4477"/>
      <c r="I159" s="4477"/>
      <c r="J159" s="4477"/>
      <c r="K159" s="4477"/>
      <c r="L159" s="4477"/>
      <c r="M159" s="4477"/>
      <c r="N159" s="4477"/>
      <c r="O159" s="4501"/>
    </row>
    <row r="160" spans="1:15" s="4385" customFormat="1" ht="12.75" customHeight="1">
      <c r="A160" s="4117"/>
      <c r="B160" s="4477"/>
      <c r="C160" s="4477"/>
      <c r="D160" s="4477"/>
      <c r="E160" s="4477"/>
      <c r="F160" s="4477"/>
      <c r="G160" s="4477"/>
      <c r="H160" s="4477"/>
      <c r="I160" s="4477"/>
      <c r="J160" s="4477"/>
      <c r="K160" s="4477"/>
      <c r="L160" s="4477"/>
      <c r="M160" s="4477"/>
      <c r="N160" s="4477"/>
      <c r="O160" s="4501"/>
    </row>
    <row r="161" spans="1:15" s="4385" customFormat="1">
      <c r="A161" s="4117"/>
      <c r="B161" s="4477"/>
      <c r="C161" s="4477"/>
      <c r="D161" s="4477"/>
      <c r="E161" s="4477"/>
      <c r="F161" s="4477"/>
      <c r="G161" s="4477"/>
      <c r="H161" s="4477"/>
      <c r="I161" s="4477"/>
      <c r="J161" s="4477"/>
      <c r="K161" s="4477"/>
      <c r="L161" s="4477"/>
      <c r="M161" s="4477"/>
      <c r="N161" s="4477"/>
      <c r="O161" s="4501"/>
    </row>
    <row r="162" spans="1:15" s="4385" customFormat="1">
      <c r="A162" s="4117"/>
      <c r="B162" s="4477"/>
      <c r="C162" s="4477"/>
      <c r="D162" s="4477"/>
      <c r="E162" s="4477"/>
      <c r="F162" s="4477"/>
      <c r="G162" s="4477"/>
      <c r="H162" s="4477"/>
      <c r="I162" s="4477"/>
      <c r="J162" s="4477"/>
      <c r="K162" s="4477"/>
      <c r="L162" s="4477"/>
      <c r="M162" s="4477"/>
      <c r="N162" s="4477"/>
      <c r="O162" s="4501"/>
    </row>
    <row r="163" spans="1:15" s="4385" customFormat="1">
      <c r="A163" s="4117"/>
      <c r="B163" s="4477"/>
      <c r="C163" s="4477"/>
      <c r="D163" s="4477"/>
      <c r="E163" s="4477"/>
      <c r="F163" s="4477"/>
      <c r="G163" s="4477"/>
      <c r="H163" s="4477"/>
      <c r="I163" s="4477"/>
      <c r="J163" s="4477"/>
      <c r="K163" s="4477"/>
      <c r="L163" s="4477"/>
      <c r="M163" s="4477"/>
      <c r="N163" s="4477"/>
      <c r="O163" s="4501"/>
    </row>
    <row r="164" spans="1:15" s="4385" customFormat="1">
      <c r="A164" s="4117"/>
      <c r="B164" s="4477"/>
      <c r="C164" s="4477"/>
      <c r="D164" s="4477"/>
      <c r="E164" s="4477"/>
      <c r="F164" s="4477"/>
      <c r="G164" s="4477"/>
      <c r="H164" s="4477"/>
      <c r="I164" s="4477"/>
      <c r="J164" s="4477"/>
      <c r="K164" s="4477"/>
      <c r="L164" s="4477"/>
      <c r="M164" s="4477"/>
      <c r="N164" s="4477"/>
      <c r="O164" s="4501"/>
    </row>
    <row r="165" spans="1:15" s="4385" customFormat="1">
      <c r="A165" s="4117"/>
      <c r="B165" s="4477"/>
      <c r="C165" s="4477"/>
      <c r="D165" s="4477"/>
      <c r="E165" s="4477"/>
      <c r="F165" s="4477"/>
      <c r="G165" s="4477"/>
      <c r="H165" s="4477"/>
      <c r="I165" s="4477"/>
      <c r="J165" s="4477"/>
      <c r="K165" s="4477"/>
      <c r="L165" s="4477"/>
      <c r="M165" s="4477"/>
      <c r="N165" s="4477"/>
      <c r="O165" s="4501"/>
    </row>
    <row r="166" spans="1:15" s="4495" customFormat="1" ht="22.5" customHeight="1">
      <c r="A166" s="4117"/>
      <c r="B166" s="4477"/>
      <c r="C166" s="4477"/>
      <c r="D166" s="4477"/>
      <c r="E166" s="4477"/>
      <c r="F166" s="4477"/>
      <c r="G166" s="4477"/>
      <c r="H166" s="4477"/>
      <c r="I166" s="4477"/>
      <c r="J166" s="4477"/>
      <c r="K166" s="4477"/>
      <c r="L166" s="4477"/>
      <c r="M166" s="4477"/>
      <c r="N166" s="4477"/>
      <c r="O166" s="4501"/>
    </row>
    <row r="167" spans="1:15" s="4385" customFormat="1" ht="12.75" customHeight="1">
      <c r="A167" s="4117"/>
      <c r="B167" s="4477"/>
      <c r="C167" s="4477"/>
      <c r="D167" s="4477"/>
      <c r="E167" s="4477"/>
      <c r="F167" s="4477"/>
      <c r="G167" s="4477"/>
      <c r="H167" s="4477"/>
      <c r="I167" s="4477"/>
      <c r="J167" s="4477"/>
      <c r="K167" s="4477"/>
      <c r="L167" s="4477"/>
      <c r="M167" s="4477"/>
      <c r="N167" s="4477"/>
      <c r="O167" s="4501"/>
    </row>
    <row r="168" spans="1:15" s="4385" customFormat="1" ht="12.75" customHeight="1">
      <c r="A168" s="4117"/>
      <c r="B168" s="4477"/>
      <c r="C168" s="4477"/>
      <c r="D168" s="4477"/>
      <c r="E168" s="4477"/>
      <c r="F168" s="4477"/>
      <c r="G168" s="4477"/>
      <c r="H168" s="4477"/>
      <c r="I168" s="4477"/>
      <c r="J168" s="4477"/>
      <c r="K168" s="4477"/>
      <c r="L168" s="4477"/>
      <c r="M168" s="4477"/>
      <c r="N168" s="4477"/>
      <c r="O168" s="4501"/>
    </row>
    <row r="169" spans="1:15" s="4385" customFormat="1" ht="13.5" thickBot="1">
      <c r="A169" s="4505"/>
      <c r="B169" s="4506"/>
      <c r="C169" s="4506"/>
      <c r="D169" s="4506"/>
      <c r="E169" s="4506"/>
      <c r="F169" s="4506"/>
      <c r="G169" s="4506"/>
      <c r="H169" s="4506"/>
      <c r="I169" s="4506"/>
      <c r="J169" s="4506"/>
      <c r="K169" s="4506"/>
      <c r="L169" s="4506"/>
      <c r="M169" s="4506"/>
      <c r="N169" s="4506"/>
      <c r="O169" s="4507"/>
    </row>
    <row r="170" spans="1:15" s="4385" customFormat="1">
      <c r="A170" s="4117"/>
      <c r="B170" s="4477"/>
      <c r="C170" s="4477"/>
      <c r="D170" s="4477"/>
      <c r="E170" s="4477"/>
      <c r="F170" s="4477"/>
      <c r="G170" s="4477"/>
      <c r="H170" s="4477"/>
      <c r="I170" s="4477"/>
      <c r="J170" s="4477"/>
      <c r="K170" s="4477"/>
      <c r="L170" s="4477"/>
      <c r="M170" s="4477"/>
      <c r="N170" s="4477"/>
      <c r="O170" s="4501"/>
    </row>
    <row r="171" spans="1:15" s="4495" customFormat="1" ht="34.5" customHeight="1">
      <c r="A171" s="4117"/>
      <c r="B171" s="4477"/>
      <c r="C171" s="4477"/>
      <c r="D171" s="4477"/>
      <c r="E171" s="4477"/>
      <c r="F171" s="4477"/>
      <c r="G171" s="4477"/>
      <c r="H171" s="4477"/>
      <c r="I171" s="4477"/>
      <c r="J171" s="4477"/>
      <c r="K171" s="4477"/>
      <c r="L171" s="4477"/>
      <c r="M171" s="4477"/>
      <c r="N171" s="4477"/>
      <c r="O171" s="4501"/>
    </row>
    <row r="172" spans="1:15" s="4385" customFormat="1" ht="14.25" customHeight="1">
      <c r="A172" s="4117"/>
      <c r="B172" s="4477"/>
      <c r="C172" s="4477"/>
      <c r="D172" s="4477"/>
      <c r="E172" s="4477"/>
      <c r="F172" s="4477"/>
      <c r="G172" s="4477"/>
      <c r="H172" s="4477"/>
      <c r="I172" s="4477"/>
      <c r="J172" s="4477"/>
      <c r="K172" s="4477"/>
      <c r="L172" s="4477"/>
      <c r="M172" s="4477"/>
      <c r="N172" s="4477"/>
      <c r="O172" s="4501"/>
    </row>
    <row r="173" spans="1:15" s="4385" customFormat="1" ht="12.75" customHeight="1">
      <c r="A173" s="4117"/>
      <c r="B173" s="4477"/>
      <c r="C173" s="4477"/>
      <c r="D173" s="4477"/>
      <c r="E173" s="4477"/>
      <c r="F173" s="4477"/>
      <c r="G173" s="4477"/>
      <c r="H173" s="4477"/>
      <c r="I173" s="4477"/>
      <c r="J173" s="4477"/>
      <c r="K173" s="4477"/>
      <c r="L173" s="4477"/>
      <c r="M173" s="4477"/>
      <c r="N173" s="4477"/>
      <c r="O173" s="4501"/>
    </row>
    <row r="174" spans="1:15" s="4385" customFormat="1">
      <c r="A174" s="4117"/>
      <c r="B174" s="4477"/>
      <c r="C174" s="4477"/>
      <c r="D174" s="4477"/>
      <c r="E174" s="4477"/>
      <c r="F174" s="4477"/>
      <c r="G174" s="4477"/>
      <c r="H174" s="4477"/>
      <c r="I174" s="4477"/>
      <c r="J174" s="4477"/>
      <c r="K174" s="4477"/>
      <c r="L174" s="4477"/>
      <c r="M174" s="4477"/>
      <c r="N174" s="4477"/>
      <c r="O174" s="4501"/>
    </row>
    <row r="175" spans="1:15" s="4385" customFormat="1" ht="13.5" thickBot="1">
      <c r="A175" s="4505"/>
      <c r="B175" s="4477"/>
      <c r="C175" s="4477"/>
      <c r="D175" s="4477"/>
      <c r="E175" s="4477"/>
      <c r="F175" s="4477"/>
      <c r="G175" s="4477"/>
      <c r="H175" s="4477"/>
      <c r="I175" s="4477"/>
      <c r="J175" s="4477"/>
      <c r="K175" s="4477"/>
      <c r="L175" s="4477"/>
      <c r="M175" s="4477"/>
      <c r="N175" s="4477"/>
      <c r="O175" s="4501"/>
    </row>
    <row r="176" spans="1:15" s="4385" customFormat="1" ht="13.5" thickBot="1">
      <c r="A176" s="4479"/>
      <c r="B176" s="4477"/>
      <c r="C176" s="4477"/>
      <c r="D176" s="4477"/>
      <c r="E176" s="4477"/>
      <c r="F176" s="4477"/>
      <c r="G176" s="4477"/>
      <c r="H176" s="4477"/>
      <c r="I176" s="4477"/>
      <c r="J176" s="4477"/>
      <c r="K176" s="4477"/>
      <c r="L176" s="4477"/>
      <c r="M176" s="4477"/>
      <c r="N176" s="4477"/>
      <c r="O176" s="4501"/>
    </row>
    <row r="177" spans="1:15" s="4495" customFormat="1" ht="36.75" customHeight="1" thickBot="1">
      <c r="A177" s="4479"/>
      <c r="B177" s="4477"/>
      <c r="C177" s="4477"/>
      <c r="D177" s="4477"/>
      <c r="E177" s="4477"/>
      <c r="F177" s="4477"/>
      <c r="G177" s="4477"/>
      <c r="H177" s="4477"/>
      <c r="I177" s="4477"/>
      <c r="J177" s="4477"/>
      <c r="K177" s="4477"/>
      <c r="L177" s="4477"/>
      <c r="M177" s="4477"/>
      <c r="N177" s="4477"/>
      <c r="O177" s="4501"/>
    </row>
    <row r="178" spans="1:15" s="4385" customFormat="1" ht="9.75" customHeight="1" thickBot="1">
      <c r="A178" s="4479"/>
      <c r="B178" s="4477"/>
      <c r="C178" s="4477"/>
      <c r="D178" s="4477"/>
      <c r="E178" s="4477"/>
      <c r="F178" s="4477"/>
      <c r="G178" s="4477"/>
      <c r="H178" s="4477"/>
      <c r="I178" s="4477"/>
      <c r="J178" s="4477"/>
      <c r="K178" s="4477"/>
      <c r="L178" s="4477"/>
      <c r="M178" s="4477"/>
      <c r="N178" s="4477"/>
      <c r="O178" s="4501"/>
    </row>
    <row r="179" spans="1:15" s="4385" customFormat="1" ht="12.75" customHeight="1" thickBot="1">
      <c r="A179" s="4479"/>
      <c r="B179" s="4477"/>
      <c r="C179" s="4477"/>
      <c r="D179" s="4477"/>
      <c r="E179" s="4477"/>
      <c r="F179" s="4477"/>
      <c r="G179" s="4477"/>
      <c r="H179" s="4477"/>
      <c r="I179" s="4477"/>
      <c r="J179" s="4477"/>
      <c r="K179" s="4477"/>
      <c r="L179" s="4477"/>
      <c r="M179" s="4477"/>
      <c r="N179" s="4477"/>
      <c r="O179" s="4501"/>
    </row>
    <row r="180" spans="1:15" s="4385" customFormat="1" ht="13.5" thickBot="1">
      <c r="A180" s="4479"/>
      <c r="B180" s="4477"/>
      <c r="C180" s="4477"/>
      <c r="D180" s="4477"/>
      <c r="E180" s="4477"/>
      <c r="F180" s="4477"/>
      <c r="G180" s="4477"/>
      <c r="H180" s="4477"/>
      <c r="I180" s="4477"/>
      <c r="J180" s="4477"/>
      <c r="K180" s="4477"/>
      <c r="L180" s="4477"/>
      <c r="M180" s="4477"/>
      <c r="N180" s="4477"/>
      <c r="O180" s="4501"/>
    </row>
    <row r="181" spans="1:15" s="4385" customFormat="1" ht="13.5" thickBot="1">
      <c r="A181" s="4479"/>
      <c r="B181" s="4477"/>
      <c r="C181" s="4477"/>
      <c r="D181" s="4477"/>
      <c r="E181" s="4477"/>
      <c r="F181" s="4477"/>
      <c r="G181" s="4477"/>
      <c r="H181" s="4477"/>
      <c r="I181" s="4477"/>
      <c r="J181" s="4477"/>
      <c r="K181" s="4477"/>
      <c r="L181" s="4477"/>
      <c r="M181" s="4477"/>
      <c r="N181" s="4477"/>
      <c r="O181" s="4501"/>
    </row>
    <row r="182" spans="1:15" s="4385" customFormat="1" ht="13.5" thickBot="1">
      <c r="A182" s="4479"/>
      <c r="B182" s="4477"/>
      <c r="C182" s="4477"/>
      <c r="D182" s="4477"/>
      <c r="E182" s="4477"/>
      <c r="F182" s="4477"/>
      <c r="G182" s="4477"/>
      <c r="H182" s="4477"/>
      <c r="I182" s="4477"/>
      <c r="J182" s="4477"/>
      <c r="K182" s="4477"/>
      <c r="L182" s="4477"/>
      <c r="M182" s="4477"/>
      <c r="N182" s="4477"/>
      <c r="O182" s="4501"/>
    </row>
    <row r="183" spans="1:15" s="4495" customFormat="1" ht="33.75" customHeight="1" thickBot="1">
      <c r="A183" s="4479"/>
      <c r="B183" s="4477"/>
      <c r="C183" s="4477"/>
      <c r="D183" s="4477"/>
      <c r="E183" s="4477"/>
      <c r="F183" s="4477"/>
      <c r="G183" s="4477"/>
      <c r="H183" s="4477"/>
      <c r="I183" s="4477"/>
      <c r="J183" s="4477"/>
      <c r="K183" s="4477"/>
      <c r="L183" s="4477"/>
      <c r="M183" s="4477"/>
      <c r="N183" s="4477"/>
      <c r="O183" s="4501"/>
    </row>
    <row r="184" spans="1:15" s="4385" customFormat="1" ht="9.75" customHeight="1" thickBot="1">
      <c r="A184" s="4479"/>
      <c r="B184" s="4477"/>
      <c r="C184" s="4477"/>
      <c r="D184" s="4477"/>
      <c r="E184" s="4477"/>
      <c r="F184" s="4477"/>
      <c r="G184" s="4477"/>
      <c r="H184" s="4477"/>
      <c r="I184" s="4477"/>
      <c r="J184" s="4477"/>
      <c r="K184" s="4477"/>
      <c r="L184" s="4477"/>
      <c r="M184" s="4477"/>
      <c r="N184" s="4477"/>
      <c r="O184" s="4501"/>
    </row>
    <row r="185" spans="1:15" s="4385" customFormat="1" ht="12.75" customHeight="1" thickBot="1">
      <c r="A185" s="4479"/>
      <c r="B185" s="4477"/>
      <c r="C185" s="4477"/>
      <c r="D185" s="4477"/>
      <c r="E185" s="4477"/>
      <c r="F185" s="4477"/>
      <c r="G185" s="4477"/>
      <c r="H185" s="4477"/>
      <c r="I185" s="4477"/>
      <c r="J185" s="4477"/>
      <c r="K185" s="4477"/>
      <c r="L185" s="4477"/>
      <c r="M185" s="4477"/>
      <c r="N185" s="4477"/>
      <c r="O185" s="4501"/>
    </row>
    <row r="186" spans="1:15" s="4385" customFormat="1" ht="13.5" thickBot="1">
      <c r="A186" s="4479"/>
      <c r="B186" s="4506"/>
      <c r="C186" s="4477"/>
      <c r="D186" s="4477"/>
      <c r="E186" s="4477"/>
      <c r="F186" s="4477"/>
      <c r="G186" s="4477"/>
      <c r="H186" s="4477"/>
      <c r="I186" s="4477"/>
      <c r="J186" s="4477"/>
      <c r="K186" s="4477"/>
      <c r="L186" s="4477"/>
      <c r="M186" s="4477"/>
      <c r="N186" s="4477"/>
      <c r="O186" s="4501"/>
    </row>
    <row r="187" spans="1:15" s="4385" customFormat="1" ht="13.5" thickBot="1">
      <c r="A187" s="4479"/>
      <c r="B187" s="4508"/>
      <c r="C187" s="4477"/>
      <c r="D187" s="4477"/>
      <c r="E187" s="4477"/>
      <c r="F187" s="4477"/>
      <c r="G187" s="4477"/>
      <c r="H187" s="4477"/>
      <c r="I187" s="4477"/>
      <c r="J187" s="4477"/>
      <c r="K187" s="4477"/>
      <c r="L187" s="4477"/>
      <c r="M187" s="4477"/>
      <c r="N187" s="4477"/>
      <c r="O187" s="4501"/>
    </row>
    <row r="188" spans="1:15" s="4385" customFormat="1" ht="13.5" thickBot="1">
      <c r="A188" s="4479"/>
      <c r="B188" s="4477"/>
      <c r="C188" s="4477"/>
      <c r="D188" s="4477"/>
      <c r="E188" s="4477"/>
      <c r="F188" s="4477"/>
      <c r="G188" s="4477"/>
      <c r="H188" s="4477"/>
      <c r="I188" s="4477"/>
      <c r="J188" s="4477"/>
      <c r="K188" s="4477"/>
      <c r="L188" s="4477"/>
      <c r="M188" s="4477"/>
      <c r="N188" s="4477"/>
      <c r="O188" s="4501"/>
    </row>
    <row r="189" spans="1:15" s="4385" customFormat="1" ht="13.5" thickBot="1">
      <c r="A189" s="4479"/>
      <c r="B189" s="4477"/>
      <c r="C189" s="4477"/>
      <c r="D189" s="4477"/>
      <c r="E189" s="4477"/>
      <c r="F189" s="4477"/>
      <c r="G189" s="4477"/>
      <c r="H189" s="4477"/>
      <c r="I189" s="4477"/>
      <c r="J189" s="4477"/>
      <c r="K189" s="4477"/>
      <c r="L189" s="4477"/>
      <c r="M189" s="4477"/>
      <c r="N189" s="4477"/>
      <c r="O189" s="4501"/>
    </row>
    <row r="190" spans="1:15" s="4509" customFormat="1" ht="14.25" customHeight="1" thickBot="1">
      <c r="A190" s="4479"/>
      <c r="B190" s="4477"/>
      <c r="C190" s="4477"/>
      <c r="D190" s="4477"/>
      <c r="E190" s="4477"/>
      <c r="F190" s="4477"/>
      <c r="G190" s="4477"/>
      <c r="H190" s="4477"/>
      <c r="I190" s="4477"/>
      <c r="J190" s="4477"/>
      <c r="K190" s="4477"/>
      <c r="L190" s="4477"/>
      <c r="M190" s="4477"/>
      <c r="N190" s="4477"/>
      <c r="O190" s="4501"/>
    </row>
    <row r="191" spans="1:15" s="4385" customFormat="1" ht="13.5" thickBot="1">
      <c r="A191" s="4479"/>
      <c r="B191" s="4477"/>
      <c r="C191" s="4477"/>
      <c r="D191" s="4477"/>
      <c r="E191" s="4477"/>
      <c r="F191" s="4477"/>
      <c r="G191" s="4477"/>
      <c r="H191" s="4477"/>
      <c r="I191" s="4477"/>
      <c r="J191" s="4477"/>
      <c r="K191" s="4477"/>
      <c r="L191" s="4477"/>
      <c r="M191" s="4477"/>
      <c r="N191" s="4477"/>
      <c r="O191" s="4501"/>
    </row>
    <row r="192" spans="1:15" s="4475" customFormat="1" ht="23.25" customHeight="1" thickBot="1">
      <c r="A192" s="4479"/>
      <c r="B192" s="4477"/>
      <c r="C192" s="4477"/>
      <c r="D192" s="4477"/>
      <c r="E192" s="4477"/>
      <c r="F192" s="4477"/>
      <c r="G192" s="4477"/>
      <c r="H192" s="4477"/>
      <c r="I192" s="4477"/>
      <c r="J192" s="4477"/>
      <c r="K192" s="4477"/>
      <c r="L192" s="4477"/>
      <c r="M192" s="4477"/>
      <c r="N192" s="4477"/>
      <c r="O192" s="4501"/>
    </row>
    <row r="193" spans="1:15" s="4385" customFormat="1" ht="13.5" thickBot="1">
      <c r="A193" s="4479"/>
      <c r="B193" s="4477"/>
      <c r="C193" s="4477"/>
      <c r="D193" s="4477"/>
      <c r="E193" s="4477"/>
      <c r="F193" s="4477"/>
      <c r="G193" s="4477"/>
      <c r="H193" s="4477"/>
      <c r="I193" s="4477"/>
      <c r="J193" s="4477"/>
      <c r="K193" s="4477"/>
      <c r="L193" s="4477"/>
      <c r="M193" s="4477"/>
      <c r="N193" s="4477"/>
      <c r="O193" s="4501"/>
    </row>
    <row r="194" spans="1:15" s="4471" customFormat="1" ht="15.75" customHeight="1" thickBot="1">
      <c r="A194" s="4479"/>
      <c r="B194" s="4477"/>
      <c r="C194" s="4477"/>
      <c r="D194" s="4477"/>
      <c r="E194" s="4477"/>
      <c r="F194" s="4477"/>
      <c r="G194" s="4477"/>
      <c r="H194" s="4477"/>
      <c r="I194" s="4477"/>
      <c r="J194" s="4477"/>
      <c r="K194" s="4477"/>
      <c r="L194" s="4477"/>
      <c r="M194" s="4477"/>
      <c r="N194" s="4477"/>
      <c r="O194" s="4501"/>
    </row>
    <row r="195" spans="1:15" s="4471" customFormat="1" ht="12.75" customHeight="1" thickBot="1">
      <c r="A195" s="4479"/>
      <c r="B195" s="4477"/>
      <c r="C195" s="4477"/>
      <c r="D195" s="4477"/>
      <c r="E195" s="4477"/>
      <c r="F195" s="4477"/>
      <c r="G195" s="4477"/>
      <c r="H195" s="4477"/>
      <c r="I195" s="4477"/>
      <c r="J195" s="4477"/>
      <c r="K195" s="4477"/>
      <c r="L195" s="4477"/>
      <c r="M195" s="4477"/>
      <c r="N195" s="4477"/>
      <c r="O195" s="4501"/>
    </row>
    <row r="196" spans="1:15" s="4471" customFormat="1" ht="12.75" customHeight="1" thickBot="1">
      <c r="A196" s="4479"/>
      <c r="B196" s="4477"/>
      <c r="C196" s="4477"/>
      <c r="D196" s="4477"/>
      <c r="E196" s="4477"/>
      <c r="F196" s="4477"/>
      <c r="G196" s="4477"/>
      <c r="H196" s="4477"/>
      <c r="I196" s="4477"/>
      <c r="J196" s="4477"/>
      <c r="K196" s="4477"/>
      <c r="L196" s="4477"/>
      <c r="M196" s="4477"/>
      <c r="N196" s="4477"/>
      <c r="O196" s="4501"/>
    </row>
    <row r="197" spans="1:15" s="4471" customFormat="1" ht="12" customHeight="1" thickBot="1">
      <c r="A197" s="4479"/>
      <c r="B197" s="4477"/>
      <c r="C197" s="4477"/>
      <c r="D197" s="4477"/>
      <c r="E197" s="4477"/>
      <c r="F197" s="4477"/>
      <c r="G197" s="4477"/>
      <c r="H197" s="4477"/>
      <c r="I197" s="4477"/>
      <c r="J197" s="4477"/>
      <c r="K197" s="4477"/>
      <c r="L197" s="4477"/>
      <c r="M197" s="4477"/>
      <c r="N197" s="4477"/>
      <c r="O197" s="4501"/>
    </row>
    <row r="198" spans="1:15" s="4509" customFormat="1" ht="24" customHeight="1" thickBot="1">
      <c r="A198" s="4479"/>
      <c r="B198" s="4477"/>
      <c r="C198" s="4477"/>
      <c r="D198" s="4477"/>
      <c r="E198" s="4477"/>
      <c r="F198" s="4477"/>
      <c r="G198" s="4477"/>
      <c r="H198" s="4477"/>
      <c r="I198" s="4477"/>
      <c r="J198" s="4477"/>
      <c r="K198" s="4477"/>
      <c r="L198" s="4477"/>
      <c r="M198" s="4477"/>
      <c r="N198" s="4477"/>
      <c r="O198" s="4501"/>
    </row>
    <row r="199" spans="1:15" s="4385" customFormat="1" ht="11.25" customHeight="1" thickBot="1">
      <c r="A199" s="4479"/>
      <c r="B199" s="4477"/>
      <c r="C199" s="4477"/>
      <c r="D199" s="4477"/>
      <c r="E199" s="4477"/>
      <c r="F199" s="4477"/>
      <c r="G199" s="4477"/>
      <c r="H199" s="4477"/>
      <c r="I199" s="4477"/>
      <c r="J199" s="4477"/>
      <c r="K199" s="4477"/>
      <c r="L199" s="4477"/>
      <c r="M199" s="4477"/>
      <c r="N199" s="4477"/>
      <c r="O199" s="4501"/>
    </row>
    <row r="200" spans="1:15" s="4385" customFormat="1" ht="12.75" customHeight="1" thickBot="1">
      <c r="A200" s="4479"/>
      <c r="B200" s="4477"/>
      <c r="C200" s="4477"/>
      <c r="D200" s="4477"/>
      <c r="E200" s="4477"/>
      <c r="F200" s="4477"/>
      <c r="G200" s="4477"/>
      <c r="H200" s="4477"/>
      <c r="I200" s="4477"/>
      <c r="J200" s="4477"/>
      <c r="K200" s="4477"/>
      <c r="L200" s="4477"/>
      <c r="M200" s="4477"/>
      <c r="N200" s="4506"/>
      <c r="O200" s="4507"/>
    </row>
    <row r="201" spans="1:15" s="4385" customFormat="1" ht="13.5" thickBot="1">
      <c r="A201" s="4479"/>
      <c r="B201" s="4477"/>
      <c r="C201" s="4506"/>
      <c r="D201" s="4477"/>
      <c r="E201" s="4477"/>
      <c r="F201" s="4477"/>
      <c r="G201" s="4477"/>
      <c r="H201" s="4477"/>
      <c r="I201" s="4477"/>
      <c r="J201" s="4477"/>
      <c r="K201" s="4477"/>
      <c r="L201" s="4477"/>
      <c r="M201" s="4477"/>
      <c r="N201" s="4510"/>
      <c r="O201" s="4511"/>
    </row>
    <row r="202" spans="1:15" s="4385" customFormat="1" ht="13.5" thickBot="1">
      <c r="A202" s="4479"/>
      <c r="B202" s="4477"/>
      <c r="C202" s="4510"/>
      <c r="D202" s="4477"/>
      <c r="E202" s="4477"/>
      <c r="F202" s="4477"/>
      <c r="G202" s="4477"/>
      <c r="H202" s="4477"/>
      <c r="I202" s="4477"/>
      <c r="J202" s="4477"/>
      <c r="K202" s="4477"/>
      <c r="L202" s="4477"/>
      <c r="M202" s="4477"/>
      <c r="N202" s="4510"/>
      <c r="O202" s="4511"/>
    </row>
    <row r="203" spans="1:15" s="4385" customFormat="1" ht="13.5" thickBot="1">
      <c r="A203" s="4479"/>
      <c r="B203" s="4477"/>
      <c r="C203" s="4510"/>
      <c r="D203" s="4477"/>
      <c r="E203" s="4477"/>
      <c r="F203" s="4477"/>
      <c r="G203" s="4477"/>
      <c r="H203" s="4477"/>
      <c r="I203" s="4477"/>
      <c r="J203" s="4477"/>
      <c r="K203" s="4477"/>
      <c r="L203" s="4477"/>
      <c r="M203" s="4477"/>
      <c r="N203" s="4510"/>
      <c r="O203" s="4511"/>
    </row>
    <row r="204" spans="1:15" s="4385" customFormat="1" ht="13.5" thickBot="1">
      <c r="A204" s="4512"/>
      <c r="B204" s="4477"/>
      <c r="C204" s="4510"/>
      <c r="D204" s="4506"/>
      <c r="E204" s="4506"/>
      <c r="F204" s="4506"/>
      <c r="G204" s="4506"/>
      <c r="H204" s="4506"/>
      <c r="I204" s="4506"/>
      <c r="J204" s="4506"/>
      <c r="K204" s="4506"/>
      <c r="L204" s="4506"/>
      <c r="M204" s="4477"/>
      <c r="N204" s="4510"/>
      <c r="O204" s="4511"/>
    </row>
    <row r="205" spans="1:15" s="4385" customFormat="1" ht="21.75" customHeight="1" thickBot="1">
      <c r="A205" s="4117"/>
      <c r="B205" s="4477"/>
      <c r="C205" s="4508"/>
      <c r="D205" s="4508"/>
      <c r="E205" s="4508"/>
      <c r="F205" s="4508"/>
      <c r="G205" s="4508"/>
      <c r="H205" s="4508"/>
      <c r="I205" s="4508"/>
      <c r="J205" s="4508"/>
      <c r="K205" s="4508"/>
      <c r="L205" s="4508"/>
      <c r="M205" s="4477"/>
      <c r="N205" s="4508"/>
      <c r="O205" s="4511"/>
    </row>
    <row r="206" spans="1:15" s="4385" customFormat="1" ht="12.75" customHeight="1" thickBot="1">
      <c r="A206" s="4117"/>
      <c r="B206" s="4477"/>
      <c r="C206" s="4477"/>
      <c r="D206" s="4477"/>
      <c r="E206" s="4477"/>
      <c r="F206" s="4477"/>
      <c r="G206" s="4477"/>
      <c r="H206" s="4477"/>
      <c r="I206" s="4477"/>
      <c r="J206" s="4477"/>
      <c r="K206" s="4477"/>
      <c r="L206" s="4477"/>
      <c r="M206" s="4477"/>
      <c r="N206" s="4477"/>
      <c r="O206" s="4511"/>
    </row>
    <row r="207" spans="1:15" s="4385" customFormat="1" ht="13.5" thickBot="1">
      <c r="A207" s="4117"/>
      <c r="B207" s="4477"/>
      <c r="C207" s="4477"/>
      <c r="D207" s="4477"/>
      <c r="E207" s="4477"/>
      <c r="F207" s="4477"/>
      <c r="G207" s="4477"/>
      <c r="H207" s="4477"/>
      <c r="I207" s="4477"/>
      <c r="J207" s="4477"/>
      <c r="K207" s="4477"/>
      <c r="L207" s="4477"/>
      <c r="M207" s="4477"/>
      <c r="N207" s="4477"/>
      <c r="O207" s="4511"/>
    </row>
    <row r="208" spans="1:15" s="4385" customFormat="1" ht="13.5" thickBot="1">
      <c r="A208" s="4117"/>
      <c r="B208" s="4477"/>
      <c r="C208" s="4477"/>
      <c r="D208" s="4477"/>
      <c r="E208" s="4477"/>
      <c r="F208" s="4477"/>
      <c r="G208" s="4477"/>
      <c r="H208" s="4477"/>
      <c r="I208" s="4477"/>
      <c r="J208" s="4477"/>
      <c r="K208" s="4477"/>
      <c r="L208" s="4477"/>
      <c r="M208" s="4477"/>
      <c r="N208" s="4477"/>
      <c r="O208" s="4511"/>
    </row>
    <row r="209" spans="1:15" s="4385" customFormat="1" ht="13.5" thickBot="1">
      <c r="A209" s="4117"/>
      <c r="B209" s="4477"/>
      <c r="C209" s="4477"/>
      <c r="D209" s="4477"/>
      <c r="E209" s="4477"/>
      <c r="F209" s="4477"/>
      <c r="G209" s="4477"/>
      <c r="H209" s="4477"/>
      <c r="I209" s="4477"/>
      <c r="J209" s="4477"/>
      <c r="K209" s="4477"/>
      <c r="L209" s="4477"/>
      <c r="M209" s="4477"/>
      <c r="N209" s="4477"/>
      <c r="O209" s="4511"/>
    </row>
    <row r="210" spans="1:15" s="4385" customFormat="1" ht="13.5" thickBot="1">
      <c r="A210" s="4117"/>
      <c r="B210" s="4477"/>
      <c r="C210" s="4477"/>
      <c r="D210" s="4477"/>
      <c r="E210" s="4477"/>
      <c r="F210" s="4477"/>
      <c r="G210" s="4477"/>
      <c r="H210" s="4477"/>
      <c r="I210" s="4477"/>
      <c r="J210" s="4477"/>
      <c r="K210" s="4477"/>
      <c r="L210" s="4477"/>
      <c r="M210" s="4477"/>
      <c r="N210" s="4477"/>
      <c r="O210" s="4511"/>
    </row>
    <row r="211" spans="1:15" s="4385" customFormat="1" ht="13.5" thickBot="1">
      <c r="A211" s="4117"/>
      <c r="B211" s="4477"/>
      <c r="C211" s="4477"/>
      <c r="D211" s="4477"/>
      <c r="E211" s="4477"/>
      <c r="F211" s="4477"/>
      <c r="G211" s="4477"/>
      <c r="H211" s="4477"/>
      <c r="I211" s="4477"/>
      <c r="J211" s="4477"/>
      <c r="K211" s="4477"/>
      <c r="L211" s="4477"/>
      <c r="M211" s="4477"/>
      <c r="N211" s="4477"/>
      <c r="O211" s="4511"/>
    </row>
    <row r="212" spans="1:15" s="4385" customFormat="1" ht="32.25" customHeight="1" thickBot="1">
      <c r="A212" s="4117"/>
      <c r="B212" s="4477"/>
      <c r="C212" s="4477"/>
      <c r="D212" s="4477"/>
      <c r="E212" s="4477"/>
      <c r="F212" s="4477"/>
      <c r="G212" s="4477"/>
      <c r="H212" s="4477"/>
      <c r="I212" s="4477"/>
      <c r="J212" s="4477"/>
      <c r="K212" s="4477"/>
      <c r="L212" s="4477"/>
      <c r="M212" s="4477"/>
      <c r="N212" s="4477"/>
      <c r="O212" s="4511"/>
    </row>
    <row r="213" spans="1:15" s="4385" customFormat="1" ht="15" customHeight="1" thickBot="1">
      <c r="A213" s="4117"/>
      <c r="B213" s="4477"/>
      <c r="C213" s="4477"/>
      <c r="D213" s="4477"/>
      <c r="E213" s="4477"/>
      <c r="F213" s="4477"/>
      <c r="G213" s="4477"/>
      <c r="H213" s="4477"/>
      <c r="I213" s="4477"/>
      <c r="J213" s="4477"/>
      <c r="K213" s="4477"/>
      <c r="L213" s="4477"/>
      <c r="M213" s="4477"/>
      <c r="N213" s="4477"/>
      <c r="O213" s="4511"/>
    </row>
    <row r="214" spans="1:15" s="4385" customFormat="1" ht="12.75" customHeight="1">
      <c r="A214" s="4117"/>
      <c r="B214" s="4477"/>
      <c r="C214" s="4477"/>
      <c r="D214" s="4477"/>
      <c r="E214" s="4477"/>
      <c r="F214" s="4477"/>
      <c r="G214" s="4477"/>
      <c r="H214" s="4477"/>
      <c r="I214" s="4477"/>
      <c r="J214" s="4477"/>
      <c r="K214" s="4477"/>
      <c r="L214" s="4477"/>
      <c r="M214" s="4477"/>
      <c r="N214" s="4477"/>
      <c r="O214" s="4513"/>
    </row>
    <row r="215" spans="1:15" s="4385" customFormat="1">
      <c r="A215" s="4117"/>
      <c r="B215" s="4477"/>
      <c r="C215" s="4477"/>
      <c r="D215" s="4477"/>
      <c r="E215" s="4477"/>
      <c r="F215" s="4477"/>
      <c r="G215" s="4477"/>
      <c r="H215" s="4477"/>
      <c r="I215" s="4477"/>
      <c r="J215" s="4477"/>
      <c r="K215" s="4477"/>
      <c r="L215" s="4477"/>
      <c r="M215" s="4477"/>
      <c r="N215" s="4477"/>
      <c r="O215" s="4501"/>
    </row>
    <row r="216" spans="1:15" s="4385" customFormat="1">
      <c r="A216" s="4117"/>
      <c r="B216" s="4477"/>
      <c r="C216" s="4477"/>
      <c r="D216" s="4477"/>
      <c r="E216" s="4477"/>
      <c r="F216" s="4477"/>
      <c r="G216" s="4477"/>
      <c r="H216" s="4477"/>
      <c r="I216" s="4477"/>
      <c r="J216" s="4477"/>
      <c r="K216" s="4477"/>
      <c r="L216" s="4477"/>
      <c r="M216" s="4477"/>
      <c r="N216" s="4477"/>
      <c r="O216" s="4501"/>
    </row>
    <row r="217" spans="1:15" s="4385" customFormat="1">
      <c r="A217" s="4117"/>
      <c r="B217" s="4477"/>
      <c r="C217" s="4477"/>
      <c r="D217" s="4477"/>
      <c r="E217" s="4477"/>
      <c r="F217" s="4477"/>
      <c r="G217" s="4477"/>
      <c r="H217" s="4477"/>
      <c r="I217" s="4477"/>
      <c r="J217" s="4477"/>
      <c r="K217" s="4477"/>
      <c r="L217" s="4477"/>
      <c r="M217" s="4477"/>
      <c r="N217" s="4477"/>
      <c r="O217" s="4501"/>
    </row>
    <row r="218" spans="1:15" s="4385" customFormat="1" ht="11.25" customHeight="1">
      <c r="A218" s="4117"/>
      <c r="B218" s="4477"/>
      <c r="C218" s="4477"/>
      <c r="D218" s="4477"/>
      <c r="E218" s="4477"/>
      <c r="F218" s="4477"/>
      <c r="G218" s="4477"/>
      <c r="H218" s="4477"/>
      <c r="I218" s="4477"/>
      <c r="J218" s="4477"/>
      <c r="K218" s="4477"/>
      <c r="L218" s="4477"/>
      <c r="M218" s="4477"/>
      <c r="N218" s="4477"/>
      <c r="O218" s="4501"/>
    </row>
    <row r="219" spans="1:15" s="4385" customFormat="1" ht="12.75" customHeight="1">
      <c r="A219" s="4117"/>
      <c r="B219" s="4477"/>
      <c r="C219" s="4477"/>
      <c r="D219" s="4477"/>
      <c r="E219" s="4477"/>
      <c r="F219" s="4477"/>
      <c r="G219" s="4477"/>
      <c r="H219" s="4477"/>
      <c r="I219" s="4477"/>
      <c r="J219" s="4477"/>
      <c r="K219" s="4477"/>
      <c r="L219" s="4477"/>
      <c r="M219" s="4477"/>
      <c r="N219" s="4477"/>
      <c r="O219" s="4501"/>
    </row>
    <row r="220" spans="1:15" s="4385" customFormat="1" ht="12.75" customHeight="1">
      <c r="A220" s="4117"/>
      <c r="B220" s="4477"/>
      <c r="C220" s="4477"/>
      <c r="D220" s="4477"/>
      <c r="E220" s="4477"/>
      <c r="F220" s="4477"/>
      <c r="G220" s="4477"/>
      <c r="H220" s="4477"/>
      <c r="I220" s="4477"/>
      <c r="J220" s="4477"/>
      <c r="K220" s="4477"/>
      <c r="L220" s="4477"/>
      <c r="M220" s="4477"/>
      <c r="N220" s="4477"/>
      <c r="O220" s="4501"/>
    </row>
    <row r="221" spans="1:15" s="4385" customFormat="1">
      <c r="A221" s="4117"/>
      <c r="B221" s="4477"/>
      <c r="C221" s="4477"/>
      <c r="D221" s="4477"/>
      <c r="E221" s="4477"/>
      <c r="F221" s="4477"/>
      <c r="G221" s="4477"/>
      <c r="H221" s="4477"/>
      <c r="I221" s="4477"/>
      <c r="J221" s="4477"/>
      <c r="K221" s="4477"/>
      <c r="L221" s="4477"/>
      <c r="M221" s="4477"/>
      <c r="N221" s="4477"/>
      <c r="O221" s="4501"/>
    </row>
    <row r="222" spans="1:15" s="4385" customFormat="1">
      <c r="A222" s="4117"/>
      <c r="B222" s="4477"/>
      <c r="C222" s="4477"/>
      <c r="D222" s="4477"/>
      <c r="E222" s="4477"/>
      <c r="F222" s="4477"/>
      <c r="G222" s="4477"/>
      <c r="H222" s="4477"/>
      <c r="I222" s="4477"/>
      <c r="J222" s="4477"/>
      <c r="K222" s="4477"/>
      <c r="L222" s="4477"/>
      <c r="M222" s="4477"/>
      <c r="N222" s="4477"/>
      <c r="O222" s="4501"/>
    </row>
    <row r="223" spans="1:15" s="4385" customFormat="1">
      <c r="A223" s="4117"/>
      <c r="B223" s="4477"/>
      <c r="C223" s="4477"/>
      <c r="D223" s="4477"/>
      <c r="E223" s="4477"/>
      <c r="F223" s="4477"/>
      <c r="G223" s="4477"/>
      <c r="H223" s="4477"/>
      <c r="I223" s="4477"/>
      <c r="J223" s="4477"/>
      <c r="K223" s="4477"/>
      <c r="L223" s="4477"/>
      <c r="M223" s="4477"/>
      <c r="N223" s="4477"/>
      <c r="O223" s="4501"/>
    </row>
    <row r="224" spans="1:15" s="4385" customFormat="1">
      <c r="A224" s="4117"/>
      <c r="B224" s="4477"/>
      <c r="C224" s="4477"/>
      <c r="D224" s="4477"/>
      <c r="E224" s="4477"/>
      <c r="F224" s="4477"/>
      <c r="G224" s="4477"/>
      <c r="H224" s="4477"/>
      <c r="I224" s="4477"/>
      <c r="J224" s="4477"/>
      <c r="K224" s="4477"/>
      <c r="L224" s="4477"/>
      <c r="M224" s="4477"/>
      <c r="N224" s="4477"/>
      <c r="O224" s="4501"/>
    </row>
    <row r="225" spans="1:15" s="4495" customFormat="1" ht="24.75" customHeight="1">
      <c r="A225" s="4117"/>
      <c r="B225" s="4477"/>
      <c r="C225" s="4477"/>
      <c r="D225" s="4477"/>
      <c r="E225" s="4477"/>
      <c r="F225" s="4477"/>
      <c r="G225" s="4477"/>
      <c r="H225" s="4477"/>
      <c r="I225" s="4477"/>
      <c r="J225" s="4477"/>
      <c r="K225" s="4477"/>
      <c r="L225" s="4477"/>
      <c r="M225" s="4477"/>
      <c r="N225" s="4477"/>
      <c r="O225" s="4501"/>
    </row>
    <row r="226" spans="1:15" s="4385" customFormat="1" ht="12.75" customHeight="1">
      <c r="A226" s="4117"/>
      <c r="B226" s="4477"/>
      <c r="C226" s="4477"/>
      <c r="D226" s="4477"/>
      <c r="E226" s="4477"/>
      <c r="F226" s="4477"/>
      <c r="G226" s="4477"/>
      <c r="H226" s="4477"/>
      <c r="I226" s="4477"/>
      <c r="J226" s="4477"/>
      <c r="K226" s="4477"/>
      <c r="L226" s="4477"/>
      <c r="M226" s="4477"/>
      <c r="N226" s="4477"/>
      <c r="O226" s="4501"/>
    </row>
    <row r="227" spans="1:15" s="4385" customFormat="1" ht="12.75" customHeight="1">
      <c r="A227" s="4117"/>
      <c r="B227" s="4477"/>
      <c r="C227" s="4477"/>
      <c r="D227" s="4477"/>
      <c r="E227" s="4477"/>
      <c r="F227" s="4477"/>
      <c r="G227" s="4477"/>
      <c r="H227" s="4477"/>
      <c r="I227" s="4477"/>
      <c r="J227" s="4477"/>
      <c r="K227" s="4477"/>
      <c r="L227" s="4477"/>
      <c r="M227" s="4477"/>
      <c r="N227" s="4477"/>
      <c r="O227" s="4501"/>
    </row>
    <row r="228" spans="1:15" s="4385" customFormat="1">
      <c r="A228" s="4117"/>
      <c r="B228" s="4477"/>
      <c r="C228" s="4477"/>
      <c r="D228" s="4477"/>
      <c r="E228" s="4477"/>
      <c r="F228" s="4477"/>
      <c r="G228" s="4477"/>
      <c r="H228" s="4477"/>
      <c r="I228" s="4477"/>
      <c r="J228" s="4477"/>
      <c r="K228" s="4477"/>
      <c r="L228" s="4477"/>
      <c r="M228" s="4477"/>
      <c r="N228" s="4477"/>
      <c r="O228" s="4501"/>
    </row>
    <row r="229" spans="1:15" s="4385" customFormat="1">
      <c r="A229" s="4117"/>
      <c r="B229" s="4477"/>
      <c r="C229" s="4477"/>
      <c r="D229" s="4477"/>
      <c r="E229" s="4477"/>
      <c r="F229" s="4477"/>
      <c r="G229" s="4477"/>
      <c r="H229" s="4477"/>
      <c r="I229" s="4477"/>
      <c r="J229" s="4477"/>
      <c r="K229" s="4477"/>
      <c r="L229" s="4477"/>
      <c r="M229" s="4477"/>
      <c r="N229" s="4477"/>
      <c r="O229" s="4501"/>
    </row>
    <row r="230" spans="1:15" s="4385" customFormat="1">
      <c r="A230" s="4117"/>
      <c r="B230" s="4477"/>
      <c r="C230" s="4477"/>
      <c r="D230" s="4477"/>
      <c r="E230" s="4477"/>
      <c r="F230" s="4477"/>
      <c r="G230" s="4477"/>
      <c r="H230" s="4477"/>
      <c r="I230" s="4477"/>
      <c r="J230" s="4477"/>
      <c r="K230" s="4477"/>
      <c r="L230" s="4477"/>
      <c r="M230" s="4477"/>
      <c r="N230" s="4477"/>
      <c r="O230" s="4501"/>
    </row>
    <row r="231" spans="1:15" s="4495" customFormat="1" ht="23.25" customHeight="1">
      <c r="A231" s="4117"/>
      <c r="B231" s="4477"/>
      <c r="C231" s="4477"/>
      <c r="D231" s="4477"/>
      <c r="E231" s="4477"/>
      <c r="F231" s="4477"/>
      <c r="G231" s="4477"/>
      <c r="H231" s="4477"/>
      <c r="I231" s="4477"/>
      <c r="J231" s="4477"/>
      <c r="K231" s="4477"/>
      <c r="L231" s="4477"/>
      <c r="M231" s="4477"/>
      <c r="N231" s="4477"/>
      <c r="O231" s="4501"/>
    </row>
    <row r="232" spans="1:15" s="4385" customFormat="1" ht="15" customHeight="1">
      <c r="A232" s="4117"/>
      <c r="B232" s="4477"/>
      <c r="C232" s="4477"/>
      <c r="D232" s="4477"/>
      <c r="E232" s="4477"/>
      <c r="F232" s="4477"/>
      <c r="G232" s="4477"/>
      <c r="H232" s="4477"/>
      <c r="I232" s="4477"/>
      <c r="J232" s="4477"/>
      <c r="K232" s="4477"/>
      <c r="L232" s="4477"/>
      <c r="M232" s="4477"/>
      <c r="N232" s="4477"/>
      <c r="O232" s="4501"/>
    </row>
    <row r="233" spans="1:15" s="4385" customFormat="1" ht="12.75" customHeight="1">
      <c r="A233" s="4117"/>
      <c r="B233" s="4477"/>
      <c r="C233" s="4477"/>
      <c r="D233" s="4477"/>
      <c r="E233" s="4477"/>
      <c r="F233" s="4477"/>
      <c r="G233" s="4477"/>
      <c r="H233" s="4477"/>
      <c r="I233" s="4477"/>
      <c r="J233" s="4477"/>
      <c r="K233" s="4477"/>
      <c r="L233" s="4477"/>
      <c r="M233" s="4477"/>
      <c r="N233" s="4477"/>
      <c r="O233" s="4501"/>
    </row>
    <row r="234" spans="1:15" s="4385" customFormat="1">
      <c r="A234" s="4117"/>
      <c r="B234" s="4477"/>
      <c r="C234" s="4477"/>
      <c r="D234" s="4477"/>
      <c r="E234" s="4477"/>
      <c r="F234" s="4477"/>
      <c r="G234" s="4477"/>
      <c r="H234" s="4477"/>
      <c r="I234" s="4477"/>
      <c r="J234" s="4477"/>
      <c r="K234" s="4477"/>
      <c r="L234" s="4477"/>
      <c r="M234" s="4477"/>
      <c r="N234" s="4477"/>
      <c r="O234" s="4501"/>
    </row>
    <row r="235" spans="1:15" s="4385" customFormat="1">
      <c r="A235" s="4117"/>
      <c r="B235" s="4477"/>
      <c r="C235" s="4477"/>
      <c r="D235" s="4477"/>
      <c r="E235" s="4477"/>
      <c r="F235" s="4477"/>
      <c r="G235" s="4477"/>
      <c r="H235" s="4477"/>
      <c r="I235" s="4477"/>
      <c r="J235" s="4477"/>
      <c r="K235" s="4477"/>
      <c r="L235" s="4477"/>
      <c r="M235" s="4477"/>
      <c r="N235" s="4477"/>
      <c r="O235" s="4501"/>
    </row>
    <row r="236" spans="1:15" s="4495" customFormat="1" ht="12.75" customHeight="1">
      <c r="A236" s="4117"/>
      <c r="B236" s="4477"/>
      <c r="C236" s="4477"/>
      <c r="D236" s="4477"/>
      <c r="E236" s="4477"/>
      <c r="F236" s="4477"/>
      <c r="G236" s="4477"/>
      <c r="H236" s="4477"/>
      <c r="I236" s="4477"/>
      <c r="J236" s="4477"/>
      <c r="K236" s="4477"/>
      <c r="L236" s="4477"/>
      <c r="M236" s="4477"/>
      <c r="N236" s="4477"/>
      <c r="O236" s="4501"/>
    </row>
    <row r="237" spans="1:15" s="4385" customFormat="1" ht="9.75" customHeight="1">
      <c r="A237" s="4117"/>
      <c r="B237" s="4477"/>
      <c r="C237" s="4477"/>
      <c r="D237" s="4477"/>
      <c r="E237" s="4477"/>
      <c r="F237" s="4477"/>
      <c r="G237" s="4477"/>
      <c r="H237" s="4477"/>
      <c r="I237" s="4477"/>
      <c r="J237" s="4477"/>
      <c r="K237" s="4477"/>
      <c r="L237" s="4477"/>
      <c r="M237" s="4477"/>
      <c r="N237" s="4477"/>
      <c r="O237" s="4501"/>
    </row>
    <row r="238" spans="1:15" s="4385" customFormat="1" ht="12.75" customHeight="1">
      <c r="A238" s="4117"/>
      <c r="B238" s="4477"/>
      <c r="C238" s="4477"/>
      <c r="D238" s="4477"/>
      <c r="E238" s="4477"/>
      <c r="F238" s="4477"/>
      <c r="G238" s="4477"/>
      <c r="H238" s="4477"/>
      <c r="I238" s="4477"/>
      <c r="J238" s="4477"/>
      <c r="K238" s="4477"/>
      <c r="L238" s="4477"/>
      <c r="M238" s="4477"/>
      <c r="N238" s="4477"/>
      <c r="O238" s="4501"/>
    </row>
    <row r="239" spans="1:15" s="4385" customFormat="1">
      <c r="A239" s="4117"/>
      <c r="B239" s="4477"/>
      <c r="C239" s="4477"/>
      <c r="D239" s="4477"/>
      <c r="E239" s="4477"/>
      <c r="F239" s="4477"/>
      <c r="G239" s="4477"/>
      <c r="H239" s="4477"/>
      <c r="I239" s="4477"/>
      <c r="J239" s="4477"/>
      <c r="K239" s="4477"/>
      <c r="L239" s="4477"/>
      <c r="M239" s="4477"/>
      <c r="N239" s="4477"/>
      <c r="O239" s="4501"/>
    </row>
    <row r="240" spans="1:15" s="4385" customFormat="1">
      <c r="A240" s="4117"/>
      <c r="B240" s="4477"/>
      <c r="C240" s="4477"/>
      <c r="D240" s="4477"/>
      <c r="E240" s="4477"/>
      <c r="F240" s="4477"/>
      <c r="G240" s="4477"/>
      <c r="H240" s="4477"/>
      <c r="I240" s="4477"/>
      <c r="J240" s="4477"/>
      <c r="K240" s="4477"/>
      <c r="L240" s="4477"/>
      <c r="M240" s="4477"/>
      <c r="N240" s="4477"/>
      <c r="O240" s="4501"/>
    </row>
    <row r="241" spans="1:15" s="4509" customFormat="1" ht="24" customHeight="1">
      <c r="A241" s="4117"/>
      <c r="B241" s="4477"/>
      <c r="C241" s="4477"/>
      <c r="D241" s="4477"/>
      <c r="E241" s="4477"/>
      <c r="F241" s="4477"/>
      <c r="G241" s="4477"/>
      <c r="H241" s="4477"/>
      <c r="I241" s="4477"/>
      <c r="J241" s="4477"/>
      <c r="K241" s="4477"/>
      <c r="L241" s="4477"/>
      <c r="M241" s="4477"/>
      <c r="N241" s="4477"/>
      <c r="O241" s="4501"/>
    </row>
    <row r="242" spans="1:15" s="4385" customFormat="1" ht="11.25" customHeight="1">
      <c r="A242" s="4117"/>
      <c r="B242" s="4477"/>
      <c r="C242" s="4477"/>
      <c r="D242" s="4477"/>
      <c r="E242" s="4477"/>
      <c r="F242" s="4477"/>
      <c r="G242" s="4477"/>
      <c r="H242" s="4477"/>
      <c r="I242" s="4477"/>
      <c r="J242" s="4477"/>
      <c r="K242" s="4477"/>
      <c r="L242" s="4477"/>
      <c r="M242" s="4477"/>
      <c r="N242" s="4477"/>
      <c r="O242" s="4501"/>
    </row>
    <row r="243" spans="1:15" s="4385" customFormat="1" ht="12.75" customHeight="1">
      <c r="A243" s="4117"/>
      <c r="B243" s="4477"/>
      <c r="C243" s="4477"/>
      <c r="D243" s="4477"/>
      <c r="E243" s="4477"/>
      <c r="F243" s="4477"/>
      <c r="G243" s="4477"/>
      <c r="H243" s="4477"/>
      <c r="I243" s="4477"/>
      <c r="J243" s="4477"/>
      <c r="K243" s="4477"/>
      <c r="L243" s="4477"/>
      <c r="M243" s="4477"/>
      <c r="N243" s="4477"/>
      <c r="O243" s="4501"/>
    </row>
    <row r="244" spans="1:15" s="4385" customFormat="1">
      <c r="A244" s="4117"/>
      <c r="B244" s="4477"/>
      <c r="C244" s="4477"/>
      <c r="D244" s="4477"/>
      <c r="E244" s="4477"/>
      <c r="F244" s="4477"/>
      <c r="G244" s="4477"/>
      <c r="H244" s="4477"/>
      <c r="I244" s="4477"/>
      <c r="J244" s="4477"/>
      <c r="K244" s="4477"/>
      <c r="L244" s="4477"/>
      <c r="M244" s="4477"/>
      <c r="N244" s="4477"/>
      <c r="O244" s="4501"/>
    </row>
    <row r="245" spans="1:15" s="4385" customFormat="1">
      <c r="A245" s="4117"/>
      <c r="B245" s="4477"/>
      <c r="C245" s="4477"/>
      <c r="D245" s="4477"/>
      <c r="E245" s="4477"/>
      <c r="F245" s="4477"/>
      <c r="G245" s="4477"/>
      <c r="H245" s="4477"/>
      <c r="I245" s="4477"/>
      <c r="J245" s="4477"/>
      <c r="K245" s="4477"/>
      <c r="L245" s="4477"/>
      <c r="M245" s="4477"/>
      <c r="N245" s="4477"/>
      <c r="O245" s="4501"/>
    </row>
    <row r="246" spans="1:15" s="4385" customFormat="1">
      <c r="A246" s="4117"/>
      <c r="B246" s="4477"/>
      <c r="C246" s="4477"/>
      <c r="D246" s="4477"/>
      <c r="E246" s="4477"/>
      <c r="F246" s="4477"/>
      <c r="G246" s="4477"/>
      <c r="H246" s="4477"/>
      <c r="I246" s="4477"/>
      <c r="J246" s="4477"/>
      <c r="K246" s="4477"/>
      <c r="L246" s="4477"/>
      <c r="M246" s="4477"/>
      <c r="N246" s="4477"/>
      <c r="O246" s="4501"/>
    </row>
    <row r="247" spans="1:15" s="4385" customFormat="1">
      <c r="A247" s="4117"/>
      <c r="B247" s="4477"/>
      <c r="C247" s="4477"/>
      <c r="D247" s="4477"/>
      <c r="E247" s="4477"/>
      <c r="F247" s="4477"/>
      <c r="G247" s="4477"/>
      <c r="H247" s="4477"/>
      <c r="I247" s="4477"/>
      <c r="J247" s="4477"/>
      <c r="K247" s="4477"/>
      <c r="L247" s="4477"/>
      <c r="M247" s="4477"/>
      <c r="N247" s="4477"/>
      <c r="O247" s="4501"/>
    </row>
    <row r="248" spans="1:15" s="4385" customFormat="1" ht="12" customHeight="1" thickBot="1">
      <c r="A248" s="4117"/>
      <c r="B248" s="4477"/>
      <c r="C248" s="4477"/>
      <c r="D248" s="4477"/>
      <c r="E248" s="4477"/>
      <c r="F248" s="4477"/>
      <c r="G248" s="4477"/>
      <c r="H248" s="4477"/>
      <c r="I248" s="4477"/>
      <c r="J248" s="4477"/>
      <c r="K248" s="4477"/>
      <c r="L248" s="4477"/>
      <c r="M248" s="4477"/>
      <c r="N248" s="4477"/>
      <c r="O248" s="4507"/>
    </row>
    <row r="249" spans="1:15" s="4385" customFormat="1" ht="10.5" customHeight="1" thickBot="1">
      <c r="A249" s="4117"/>
      <c r="B249" s="4477"/>
      <c r="C249" s="4477"/>
      <c r="D249" s="4477"/>
      <c r="E249" s="4477"/>
      <c r="F249" s="4477"/>
      <c r="G249" s="4477"/>
      <c r="H249" s="4477"/>
      <c r="I249" s="4477"/>
      <c r="J249" s="4477"/>
      <c r="K249" s="4477"/>
      <c r="L249" s="4477"/>
      <c r="M249" s="4477"/>
      <c r="N249" s="4477"/>
      <c r="O249" s="4511"/>
    </row>
    <row r="250" spans="1:15" s="4385" customFormat="1" ht="13.5" thickBot="1">
      <c r="A250" s="4117"/>
      <c r="B250" s="4477"/>
      <c r="C250" s="4477"/>
      <c r="D250" s="4477"/>
      <c r="E250" s="4477"/>
      <c r="F250" s="4477"/>
      <c r="G250" s="4477"/>
      <c r="H250" s="4477"/>
      <c r="I250" s="4477"/>
      <c r="J250" s="4477"/>
      <c r="K250" s="4477"/>
      <c r="L250" s="4477"/>
      <c r="M250" s="4477"/>
      <c r="N250" s="4477"/>
      <c r="O250" s="4511"/>
    </row>
    <row r="251" spans="1:15" s="4385" customFormat="1" ht="13.5" thickBot="1">
      <c r="A251" s="4117"/>
      <c r="B251" s="4477"/>
      <c r="C251" s="4477"/>
      <c r="D251" s="4477"/>
      <c r="E251" s="4477"/>
      <c r="F251" s="4477"/>
      <c r="G251" s="4477"/>
      <c r="H251" s="4477"/>
      <c r="I251" s="4477"/>
      <c r="J251" s="4477"/>
      <c r="K251" s="4477"/>
      <c r="L251" s="4477"/>
      <c r="M251" s="4477"/>
      <c r="N251" s="4477"/>
      <c r="O251" s="4511"/>
    </row>
    <row r="252" spans="1:15" s="4385" customFormat="1" ht="13.5" thickBot="1">
      <c r="A252" s="4117"/>
      <c r="B252" s="4477"/>
      <c r="C252" s="4477"/>
      <c r="D252" s="4477"/>
      <c r="E252" s="4477"/>
      <c r="F252" s="4477"/>
      <c r="G252" s="4477"/>
      <c r="H252" s="4477"/>
      <c r="I252" s="4477"/>
      <c r="J252" s="4477"/>
      <c r="K252" s="4477"/>
      <c r="L252" s="4477"/>
      <c r="M252" s="4477"/>
      <c r="N252" s="4477"/>
      <c r="O252" s="4511"/>
    </row>
    <row r="253" spans="1:15" s="4385" customFormat="1" ht="13.5" thickBot="1">
      <c r="A253" s="4117"/>
      <c r="B253" s="4477"/>
      <c r="C253" s="4477"/>
      <c r="D253" s="4477"/>
      <c r="E253" s="4477"/>
      <c r="F253" s="4477"/>
      <c r="G253" s="4477"/>
      <c r="H253" s="4477"/>
      <c r="I253" s="4477"/>
      <c r="J253" s="4477"/>
      <c r="K253" s="4477"/>
      <c r="L253" s="4477"/>
      <c r="M253" s="4477"/>
      <c r="N253" s="4477"/>
      <c r="O253" s="4511"/>
    </row>
    <row r="254" spans="1:15" s="4385" customFormat="1" ht="13.5" thickBot="1">
      <c r="A254" s="4117"/>
      <c r="B254" s="4477"/>
      <c r="C254" s="4477"/>
      <c r="D254" s="4477"/>
      <c r="E254" s="4477"/>
      <c r="F254" s="4477"/>
      <c r="G254" s="4477"/>
      <c r="H254" s="4477"/>
      <c r="I254" s="4477"/>
      <c r="J254" s="4477"/>
      <c r="K254" s="4477"/>
      <c r="L254" s="4477"/>
      <c r="M254" s="4477"/>
      <c r="N254" s="4477"/>
      <c r="O254" s="4511"/>
    </row>
    <row r="255" spans="1:15" s="4385" customFormat="1" ht="32.25" customHeight="1" thickBot="1">
      <c r="A255" s="4117"/>
      <c r="B255" s="4477"/>
      <c r="C255" s="4477"/>
      <c r="D255" s="4477"/>
      <c r="E255" s="4477"/>
      <c r="F255" s="4477"/>
      <c r="G255" s="4477"/>
      <c r="H255" s="4477"/>
      <c r="I255" s="4477"/>
      <c r="J255" s="4477"/>
      <c r="K255" s="4477"/>
      <c r="L255" s="4477"/>
      <c r="M255" s="4477"/>
      <c r="N255" s="4477"/>
      <c r="O255" s="4511"/>
    </row>
    <row r="256" spans="1:15" s="4385" customFormat="1" ht="15" customHeight="1" thickBot="1">
      <c r="A256" s="4117"/>
      <c r="B256" s="4477"/>
      <c r="C256" s="4477"/>
      <c r="D256" s="4477"/>
      <c r="E256" s="4477"/>
      <c r="F256" s="4477"/>
      <c r="G256" s="4477"/>
      <c r="H256" s="4477"/>
      <c r="I256" s="4477"/>
      <c r="J256" s="4477"/>
      <c r="K256" s="4477"/>
      <c r="L256" s="4477"/>
      <c r="M256" s="4477"/>
      <c r="N256" s="4477"/>
      <c r="O256" s="4511"/>
    </row>
    <row r="257" spans="1:15" s="4385" customFormat="1" ht="12.75" customHeight="1" thickBot="1">
      <c r="A257" s="4117"/>
      <c r="B257" s="4477"/>
      <c r="C257" s="4477"/>
      <c r="D257" s="4477"/>
      <c r="E257" s="4477"/>
      <c r="F257" s="4477"/>
      <c r="G257" s="4477"/>
      <c r="H257" s="4477"/>
      <c r="I257" s="4477"/>
      <c r="J257" s="4477"/>
      <c r="K257" s="4477"/>
      <c r="L257" s="4477"/>
      <c r="M257" s="4477"/>
      <c r="N257" s="4477"/>
      <c r="O257" s="4511"/>
    </row>
    <row r="258" spans="1:15" s="4385" customFormat="1" ht="13.5" thickBot="1">
      <c r="A258" s="4117"/>
      <c r="B258" s="4477"/>
      <c r="C258" s="4477"/>
      <c r="D258" s="4477"/>
      <c r="E258" s="4477"/>
      <c r="F258" s="4477"/>
      <c r="G258" s="4477"/>
      <c r="H258" s="4477"/>
      <c r="I258" s="4477"/>
      <c r="J258" s="4477"/>
      <c r="K258" s="4477"/>
      <c r="L258" s="4477"/>
      <c r="M258" s="4477"/>
      <c r="N258" s="4477"/>
      <c r="O258" s="4511"/>
    </row>
    <row r="259" spans="1:15" s="4385" customFormat="1" ht="13.5" thickBot="1">
      <c r="A259" s="4117"/>
      <c r="B259" s="4477"/>
      <c r="C259" s="4477"/>
      <c r="D259" s="4477"/>
      <c r="E259" s="4477"/>
      <c r="F259" s="4477"/>
      <c r="G259" s="4477"/>
      <c r="H259" s="4477"/>
      <c r="I259" s="4477"/>
      <c r="J259" s="4477"/>
      <c r="K259" s="4477"/>
      <c r="L259" s="4477"/>
      <c r="M259" s="4477"/>
      <c r="N259" s="4477"/>
      <c r="O259" s="4514"/>
    </row>
    <row r="260" spans="1:15" s="4385" customFormat="1" ht="13.5" thickBot="1">
      <c r="A260" s="4117"/>
      <c r="B260" s="4477"/>
      <c r="C260" s="4477"/>
      <c r="D260" s="4477"/>
      <c r="E260" s="4477"/>
      <c r="F260" s="4477"/>
      <c r="G260" s="4477"/>
      <c r="H260" s="4477"/>
      <c r="I260" s="4477"/>
      <c r="J260" s="4477"/>
      <c r="K260" s="4477"/>
      <c r="L260" s="4477"/>
      <c r="M260" s="4477"/>
      <c r="N260" s="4477"/>
      <c r="O260" s="4514"/>
    </row>
    <row r="261" spans="1:15" s="4385" customFormat="1" ht="21.75" customHeight="1" thickBot="1">
      <c r="A261" s="4117"/>
      <c r="B261" s="4477"/>
      <c r="C261" s="4477"/>
      <c r="D261" s="4477"/>
      <c r="E261" s="4477"/>
      <c r="F261" s="4477"/>
      <c r="G261" s="4477"/>
      <c r="H261" s="4477"/>
      <c r="I261" s="4477"/>
      <c r="J261" s="4477"/>
      <c r="K261" s="4477"/>
      <c r="L261" s="4477"/>
      <c r="M261" s="4477"/>
      <c r="N261" s="4477"/>
      <c r="O261" s="4514"/>
    </row>
    <row r="262" spans="1:15" s="4385" customFormat="1" ht="12.75" customHeight="1">
      <c r="A262" s="4117"/>
      <c r="B262" s="4477"/>
      <c r="C262" s="4477"/>
      <c r="D262" s="4477"/>
      <c r="E262" s="4477"/>
      <c r="F262" s="4477"/>
      <c r="G262" s="4477"/>
      <c r="H262" s="4477"/>
      <c r="I262" s="4477"/>
      <c r="J262" s="4477"/>
      <c r="K262" s="4477"/>
      <c r="L262" s="4477"/>
      <c r="M262" s="4477"/>
      <c r="N262" s="4477"/>
      <c r="O262" s="4515"/>
    </row>
    <row r="263" spans="1:15" s="4385" customFormat="1" ht="12.75" customHeight="1">
      <c r="A263" s="4117"/>
      <c r="B263" s="4477"/>
      <c r="C263" s="4477"/>
      <c r="D263" s="4477"/>
      <c r="E263" s="4477"/>
      <c r="F263" s="4477"/>
      <c r="G263" s="4477"/>
      <c r="H263" s="4477"/>
      <c r="I263" s="4477"/>
      <c r="J263" s="4477"/>
      <c r="K263" s="4477"/>
      <c r="L263" s="4477"/>
      <c r="M263" s="4477"/>
      <c r="N263" s="4477"/>
      <c r="O263" s="4516"/>
    </row>
    <row r="264" spans="1:15" s="4385" customFormat="1">
      <c r="A264" s="4117"/>
      <c r="B264" s="4477"/>
      <c r="C264" s="4477"/>
      <c r="D264" s="4477"/>
      <c r="E264" s="4477"/>
      <c r="F264" s="4477"/>
      <c r="G264" s="4477"/>
      <c r="H264" s="4477"/>
      <c r="I264" s="4477"/>
      <c r="J264" s="4477"/>
      <c r="K264" s="4477"/>
      <c r="L264" s="4477"/>
      <c r="M264" s="4477"/>
      <c r="N264" s="4477"/>
      <c r="O264" s="4516"/>
    </row>
    <row r="265" spans="1:15" s="4385" customFormat="1">
      <c r="A265" s="4117"/>
      <c r="B265" s="4477"/>
      <c r="C265" s="4477"/>
      <c r="D265" s="4477"/>
      <c r="E265" s="4477"/>
      <c r="F265" s="4477"/>
      <c r="G265" s="4477"/>
      <c r="H265" s="4477"/>
      <c r="I265" s="4477"/>
      <c r="J265" s="4477"/>
      <c r="K265" s="4477"/>
      <c r="L265" s="4477"/>
      <c r="M265" s="4477"/>
      <c r="N265" s="4477"/>
      <c r="O265" s="4516"/>
    </row>
    <row r="266" spans="1:15" s="4385" customFormat="1">
      <c r="A266" s="4117"/>
      <c r="B266" s="4477"/>
      <c r="C266" s="4477"/>
      <c r="D266" s="4477"/>
      <c r="E266" s="4477"/>
      <c r="F266" s="4477"/>
      <c r="G266" s="4477"/>
      <c r="H266" s="4477"/>
      <c r="I266" s="4477"/>
      <c r="J266" s="4477"/>
      <c r="K266" s="4477"/>
      <c r="L266" s="4477"/>
      <c r="M266" s="4477"/>
      <c r="N266" s="4477"/>
      <c r="O266" s="4516"/>
    </row>
    <row r="267" spans="1:15" s="4385" customFormat="1">
      <c r="A267" s="4117"/>
      <c r="B267" s="4477"/>
      <c r="C267" s="4477"/>
      <c r="D267" s="4477"/>
      <c r="E267" s="4477"/>
      <c r="F267" s="4477"/>
      <c r="G267" s="4477"/>
      <c r="H267" s="4477"/>
      <c r="I267" s="4477"/>
      <c r="J267" s="4477"/>
      <c r="K267" s="4477"/>
      <c r="L267" s="4477"/>
      <c r="M267" s="4477"/>
      <c r="N267" s="4477"/>
      <c r="O267" s="4516"/>
    </row>
    <row r="268" spans="1:15" s="4509" customFormat="1" ht="35.25" customHeight="1">
      <c r="A268" s="4117"/>
      <c r="B268" s="4477"/>
      <c r="C268" s="4477"/>
      <c r="D268" s="4477"/>
      <c r="E268" s="4477"/>
      <c r="F268" s="4477"/>
      <c r="G268" s="4477"/>
      <c r="H268" s="4477"/>
      <c r="I268" s="4477"/>
      <c r="J268" s="4477"/>
      <c r="K268" s="4477"/>
      <c r="L268" s="4477"/>
      <c r="M268" s="4477"/>
      <c r="N268" s="4477"/>
      <c r="O268" s="4516"/>
    </row>
    <row r="269" spans="1:15" s="4385" customFormat="1" ht="11.25" customHeight="1">
      <c r="A269" s="4117"/>
      <c r="B269" s="4477"/>
      <c r="C269" s="4477"/>
      <c r="D269" s="4477"/>
      <c r="E269" s="4477"/>
      <c r="F269" s="4477"/>
      <c r="G269" s="4477"/>
      <c r="H269" s="4477"/>
      <c r="I269" s="4477"/>
      <c r="J269" s="4477"/>
      <c r="K269" s="4477"/>
      <c r="L269" s="4477"/>
      <c r="M269" s="4477"/>
      <c r="N269" s="4477"/>
      <c r="O269" s="4516"/>
    </row>
    <row r="270" spans="1:15" s="4385" customFormat="1" ht="12.75" customHeight="1">
      <c r="A270" s="4117"/>
      <c r="B270" s="4477"/>
      <c r="C270" s="4477"/>
      <c r="D270" s="4477"/>
      <c r="E270" s="4477"/>
      <c r="F270" s="4477"/>
      <c r="G270" s="4477"/>
      <c r="H270" s="4477"/>
      <c r="I270" s="4477"/>
      <c r="J270" s="4477"/>
      <c r="K270" s="4477"/>
      <c r="L270" s="4477"/>
      <c r="M270" s="4477"/>
      <c r="N270" s="4477"/>
      <c r="O270" s="4516"/>
    </row>
    <row r="271" spans="1:15" s="4509" customFormat="1" ht="14.25" customHeight="1">
      <c r="A271" s="4117"/>
      <c r="B271" s="4477"/>
      <c r="C271" s="4477"/>
      <c r="D271" s="4477"/>
      <c r="E271" s="4477"/>
      <c r="F271" s="4477"/>
      <c r="G271" s="4477"/>
      <c r="H271" s="4477"/>
      <c r="I271" s="4477"/>
      <c r="J271" s="4477"/>
      <c r="K271" s="4477"/>
      <c r="L271" s="4477"/>
      <c r="M271" s="4477"/>
      <c r="N271" s="4477"/>
      <c r="O271" s="4516"/>
    </row>
    <row r="272" spans="1:15" s="4385" customFormat="1" ht="11.25" customHeight="1">
      <c r="A272" s="4117"/>
      <c r="B272" s="4477"/>
      <c r="C272" s="4477"/>
      <c r="D272" s="4477"/>
      <c r="E272" s="4477"/>
      <c r="F272" s="4477"/>
      <c r="G272" s="4477"/>
      <c r="H272" s="4477"/>
      <c r="I272" s="4477"/>
      <c r="J272" s="4477"/>
      <c r="K272" s="4477"/>
      <c r="L272" s="4477"/>
      <c r="M272" s="4477"/>
      <c r="N272" s="4477"/>
      <c r="O272" s="4516"/>
    </row>
    <row r="273" spans="1:17" s="4385" customFormat="1" ht="12.75" customHeight="1">
      <c r="A273" s="4117"/>
      <c r="B273" s="4477"/>
      <c r="C273" s="4477"/>
      <c r="D273" s="4477"/>
      <c r="E273" s="4477"/>
      <c r="F273" s="4477"/>
      <c r="G273" s="4477"/>
      <c r="H273" s="4477"/>
      <c r="I273" s="4477"/>
      <c r="J273" s="4477"/>
      <c r="K273" s="4477"/>
      <c r="L273" s="4477"/>
      <c r="M273" s="4477"/>
      <c r="N273" s="4477"/>
      <c r="O273" s="4516"/>
    </row>
    <row r="274" spans="1:17" s="4509" customFormat="1" ht="23.25" customHeight="1">
      <c r="A274" s="4117"/>
      <c r="B274" s="4477"/>
      <c r="C274" s="4477"/>
      <c r="D274" s="4477"/>
      <c r="E274" s="4477"/>
      <c r="F274" s="4477"/>
      <c r="G274" s="4477"/>
      <c r="H274" s="4477"/>
      <c r="I274" s="4477"/>
      <c r="J274" s="4477"/>
      <c r="K274" s="4477"/>
      <c r="L274" s="4477"/>
      <c r="M274" s="4477"/>
      <c r="N274" s="4477"/>
      <c r="O274" s="4516"/>
    </row>
    <row r="275" spans="1:17" s="4385" customFormat="1" ht="11.25" customHeight="1">
      <c r="A275" s="4117"/>
      <c r="B275" s="4477"/>
      <c r="C275" s="4477"/>
      <c r="D275" s="4477"/>
      <c r="E275" s="4477"/>
      <c r="F275" s="4477"/>
      <c r="G275" s="4477"/>
      <c r="H275" s="4477"/>
      <c r="I275" s="4477"/>
      <c r="J275" s="4477"/>
      <c r="K275" s="4477"/>
      <c r="L275" s="4477"/>
      <c r="M275" s="4477"/>
      <c r="N275" s="4477"/>
      <c r="O275" s="4516"/>
    </row>
    <row r="276" spans="1:17" s="4385" customFormat="1">
      <c r="A276" s="4117"/>
      <c r="B276" s="4477"/>
      <c r="C276" s="4477"/>
      <c r="D276" s="4477"/>
      <c r="E276" s="4477"/>
      <c r="F276" s="4477"/>
      <c r="G276" s="4477"/>
      <c r="H276" s="4477"/>
      <c r="I276" s="4477"/>
      <c r="J276" s="4477"/>
      <c r="K276" s="4477"/>
      <c r="L276" s="4477"/>
      <c r="M276" s="4477"/>
      <c r="N276" s="4477"/>
      <c r="O276" s="4516"/>
    </row>
    <row r="277" spans="1:17" s="4385" customFormat="1">
      <c r="A277" s="4117"/>
      <c r="B277" s="4477"/>
      <c r="C277" s="4477"/>
      <c r="D277" s="4477"/>
      <c r="E277" s="4477"/>
      <c r="F277" s="4477"/>
      <c r="G277" s="4477"/>
      <c r="H277" s="4477"/>
      <c r="I277" s="4477"/>
      <c r="J277" s="4477"/>
      <c r="K277" s="4477"/>
      <c r="L277" s="4477"/>
      <c r="M277" s="4477"/>
      <c r="N277" s="4477"/>
      <c r="O277" s="4516"/>
    </row>
    <row r="278" spans="1:17" s="4509" customFormat="1" ht="23.25" customHeight="1">
      <c r="A278" s="4117"/>
      <c r="B278" s="4477"/>
      <c r="C278" s="4477"/>
      <c r="D278" s="4477"/>
      <c r="E278" s="4477"/>
      <c r="F278" s="4477"/>
      <c r="G278" s="4477"/>
      <c r="H278" s="4477"/>
      <c r="I278" s="4477"/>
      <c r="J278" s="4477"/>
      <c r="K278" s="4477"/>
      <c r="L278" s="4477"/>
      <c r="M278" s="4477"/>
      <c r="N278" s="4477"/>
      <c r="O278" s="4516"/>
    </row>
    <row r="279" spans="1:17" s="4385" customFormat="1" ht="11.25" customHeight="1">
      <c r="A279" s="4117"/>
      <c r="B279" s="4477"/>
      <c r="C279" s="4477"/>
      <c r="D279" s="4477"/>
      <c r="E279" s="4477"/>
      <c r="F279" s="4477"/>
      <c r="G279" s="4477"/>
      <c r="H279" s="4477"/>
      <c r="I279" s="4477"/>
      <c r="J279" s="4477"/>
      <c r="K279" s="4477"/>
      <c r="L279" s="4477"/>
      <c r="M279" s="4477"/>
      <c r="N279" s="4477"/>
      <c r="O279" s="4516"/>
    </row>
    <row r="280" spans="1:17" s="4385" customFormat="1">
      <c r="A280" s="4117"/>
      <c r="B280" s="4477"/>
      <c r="C280" s="4477"/>
      <c r="D280" s="4477"/>
      <c r="E280" s="4477"/>
      <c r="F280" s="4477"/>
      <c r="G280" s="4477"/>
      <c r="H280" s="4477"/>
      <c r="I280" s="4477"/>
      <c r="J280" s="4477"/>
      <c r="K280" s="4477"/>
      <c r="L280" s="4477"/>
      <c r="M280" s="4477"/>
      <c r="N280" s="4477"/>
      <c r="O280" s="4516"/>
    </row>
    <row r="281" spans="1:17">
      <c r="B281" s="4477"/>
      <c r="C281" s="4477"/>
      <c r="D281" s="4477"/>
      <c r="E281" s="4477"/>
      <c r="F281" s="4477"/>
      <c r="G281" s="4477"/>
      <c r="H281" s="4477"/>
      <c r="I281" s="4477"/>
      <c r="J281" s="4477"/>
      <c r="K281" s="4477"/>
      <c r="L281" s="4477"/>
      <c r="M281" s="4477"/>
      <c r="N281" s="4477"/>
      <c r="O281" s="4516"/>
      <c r="P281" s="4517"/>
      <c r="Q281" s="4517"/>
    </row>
    <row r="282" spans="1:17">
      <c r="B282" s="4477"/>
      <c r="C282" s="4477"/>
      <c r="D282" s="4477"/>
      <c r="E282" s="4477"/>
      <c r="F282" s="4477"/>
      <c r="G282" s="4477"/>
      <c r="H282" s="4477"/>
      <c r="I282" s="4477"/>
      <c r="J282" s="4477"/>
      <c r="K282" s="4477"/>
      <c r="L282" s="4477"/>
      <c r="M282" s="4477"/>
      <c r="N282" s="4477"/>
      <c r="O282" s="4516"/>
      <c r="P282" s="4517"/>
      <c r="Q282" s="4517"/>
    </row>
    <row r="283" spans="1:17">
      <c r="B283" s="4477"/>
      <c r="C283" s="4477"/>
      <c r="D283" s="4477"/>
      <c r="E283" s="4477"/>
      <c r="F283" s="4477"/>
      <c r="G283" s="4477"/>
      <c r="H283" s="4477"/>
      <c r="I283" s="4477"/>
      <c r="J283" s="4477"/>
      <c r="K283" s="4477"/>
      <c r="L283" s="4477"/>
      <c r="M283" s="4477"/>
      <c r="N283" s="4477"/>
      <c r="O283" s="4516"/>
      <c r="P283" s="4517"/>
      <c r="Q283" s="4517"/>
    </row>
    <row r="284" spans="1:17">
      <c r="B284" s="4477"/>
      <c r="C284" s="4477"/>
      <c r="D284" s="4477"/>
      <c r="E284" s="4477"/>
      <c r="F284" s="4477"/>
      <c r="G284" s="4477"/>
      <c r="H284" s="4477"/>
      <c r="I284" s="4477"/>
      <c r="J284" s="4477"/>
      <c r="K284" s="4477"/>
      <c r="L284" s="4477"/>
      <c r="M284" s="4477"/>
      <c r="N284" s="4477"/>
      <c r="O284" s="4516"/>
      <c r="P284" s="4517"/>
      <c r="Q284" s="4517"/>
    </row>
    <row r="285" spans="1:17">
      <c r="B285" s="4477"/>
      <c r="C285" s="4477"/>
      <c r="D285" s="4477"/>
      <c r="E285" s="4477"/>
      <c r="F285" s="4477"/>
      <c r="G285" s="4477"/>
      <c r="H285" s="4477"/>
      <c r="I285" s="4477"/>
      <c r="J285" s="4477"/>
      <c r="K285" s="4477"/>
      <c r="L285" s="4477"/>
      <c r="M285" s="4477"/>
      <c r="N285" s="4477"/>
      <c r="O285" s="4516"/>
      <c r="P285" s="4517"/>
      <c r="Q285" s="4517"/>
    </row>
    <row r="286" spans="1:17">
      <c r="B286" s="4477"/>
      <c r="C286" s="4477"/>
      <c r="D286" s="4477"/>
      <c r="E286" s="4477"/>
      <c r="F286" s="4477"/>
      <c r="G286" s="4477"/>
      <c r="H286" s="4477"/>
      <c r="I286" s="4477"/>
      <c r="J286" s="4477"/>
      <c r="K286" s="4477"/>
      <c r="L286" s="4477"/>
      <c r="M286" s="4477"/>
      <c r="N286" s="4477"/>
      <c r="O286" s="4516"/>
      <c r="P286" s="4517"/>
      <c r="Q286" s="4517"/>
    </row>
    <row r="287" spans="1:17">
      <c r="B287" s="4477"/>
      <c r="C287" s="4477"/>
      <c r="D287" s="4477"/>
      <c r="E287" s="4477"/>
      <c r="F287" s="4477"/>
      <c r="G287" s="4477"/>
      <c r="H287" s="4477"/>
      <c r="I287" s="4477"/>
      <c r="J287" s="4477"/>
      <c r="K287" s="4477"/>
      <c r="L287" s="4477"/>
      <c r="M287" s="4477"/>
      <c r="N287" s="4477"/>
      <c r="O287" s="4516"/>
      <c r="P287" s="4517"/>
      <c r="Q287" s="4517"/>
    </row>
    <row r="288" spans="1:17">
      <c r="B288" s="4477"/>
      <c r="C288" s="4477"/>
      <c r="D288" s="4477"/>
      <c r="E288" s="4477"/>
      <c r="F288" s="4477"/>
      <c r="G288" s="4477"/>
      <c r="H288" s="4477"/>
      <c r="I288" s="4477"/>
      <c r="J288" s="4477"/>
      <c r="K288" s="4477"/>
      <c r="L288" s="4477"/>
      <c r="M288" s="4477"/>
      <c r="N288" s="4477"/>
      <c r="O288" s="4501"/>
      <c r="P288" s="4517"/>
      <c r="Q288" s="4517"/>
    </row>
    <row r="289" spans="2:17">
      <c r="B289" s="4477"/>
      <c r="C289" s="4477"/>
      <c r="D289" s="4477"/>
      <c r="E289" s="4477"/>
      <c r="F289" s="4477"/>
      <c r="G289" s="4477"/>
      <c r="H289" s="4477"/>
      <c r="I289" s="4477"/>
      <c r="J289" s="4477"/>
      <c r="K289" s="4477"/>
      <c r="L289" s="4477"/>
      <c r="M289" s="4477"/>
      <c r="N289" s="4477"/>
      <c r="O289" s="4501"/>
      <c r="P289" s="4517"/>
      <c r="Q289" s="4517"/>
    </row>
    <row r="290" spans="2:17">
      <c r="B290" s="4477"/>
      <c r="C290" s="4477"/>
      <c r="D290" s="4477"/>
      <c r="E290" s="4477"/>
      <c r="F290" s="4477"/>
      <c r="G290" s="4477"/>
      <c r="H290" s="4477"/>
      <c r="I290" s="4477"/>
      <c r="J290" s="4477"/>
      <c r="K290" s="4477"/>
      <c r="L290" s="4477"/>
      <c r="M290" s="4477"/>
      <c r="N290" s="4477"/>
      <c r="O290" s="4501"/>
      <c r="P290" s="4517"/>
      <c r="Q290" s="4517"/>
    </row>
    <row r="291" spans="2:17">
      <c r="B291" s="4477"/>
      <c r="C291" s="4477"/>
      <c r="D291" s="4477"/>
      <c r="E291" s="4477"/>
      <c r="F291" s="4477"/>
      <c r="G291" s="4477"/>
      <c r="H291" s="4477"/>
      <c r="I291" s="4477"/>
      <c r="J291" s="4477"/>
      <c r="K291" s="4477"/>
      <c r="L291" s="4477"/>
      <c r="M291" s="4477"/>
      <c r="N291" s="4477"/>
      <c r="O291" s="4501"/>
      <c r="P291" s="4517"/>
      <c r="Q291" s="4517"/>
    </row>
    <row r="292" spans="2:17">
      <c r="B292" s="4477"/>
      <c r="C292" s="4477"/>
      <c r="D292" s="4477"/>
      <c r="E292" s="4477"/>
      <c r="F292" s="4477"/>
      <c r="G292" s="4477"/>
      <c r="H292" s="4477"/>
      <c r="I292" s="4477"/>
      <c r="J292" s="4477"/>
      <c r="K292" s="4477"/>
      <c r="L292" s="4477"/>
      <c r="M292" s="4477"/>
      <c r="N292" s="4477"/>
      <c r="O292" s="4501"/>
      <c r="P292" s="4517"/>
      <c r="Q292" s="4517"/>
    </row>
    <row r="293" spans="2:17">
      <c r="B293" s="4477"/>
      <c r="C293" s="4477"/>
      <c r="D293" s="4477"/>
      <c r="E293" s="4477"/>
      <c r="F293" s="4477"/>
      <c r="G293" s="4477"/>
      <c r="H293" s="4477"/>
      <c r="I293" s="4477"/>
      <c r="J293" s="4477"/>
      <c r="K293" s="4477"/>
      <c r="L293" s="4477"/>
      <c r="M293" s="4477"/>
      <c r="N293" s="4477"/>
      <c r="O293" s="4501"/>
      <c r="P293" s="4517"/>
      <c r="Q293" s="4517"/>
    </row>
    <row r="294" spans="2:17">
      <c r="B294" s="4477"/>
      <c r="C294" s="4477"/>
      <c r="D294" s="4477"/>
      <c r="E294" s="4477"/>
      <c r="F294" s="4477"/>
      <c r="G294" s="4477"/>
      <c r="H294" s="4477"/>
      <c r="I294" s="4477"/>
      <c r="J294" s="4477"/>
      <c r="K294" s="4477"/>
      <c r="L294" s="4477"/>
      <c r="M294" s="4477"/>
      <c r="N294" s="4477"/>
      <c r="O294" s="4501"/>
      <c r="P294" s="4517"/>
      <c r="Q294" s="4517"/>
    </row>
    <row r="295" spans="2:17">
      <c r="B295" s="4477"/>
      <c r="C295" s="4477"/>
      <c r="D295" s="4477"/>
      <c r="E295" s="4477"/>
      <c r="F295" s="4477"/>
      <c r="G295" s="4477"/>
      <c r="H295" s="4477"/>
      <c r="I295" s="4477"/>
      <c r="J295" s="4477"/>
      <c r="K295" s="4477"/>
      <c r="L295" s="4477"/>
      <c r="M295" s="4477"/>
      <c r="N295" s="4477"/>
      <c r="O295" s="4501"/>
      <c r="P295" s="4517"/>
      <c r="Q295" s="4517"/>
    </row>
    <row r="296" spans="2:17">
      <c r="B296" s="4477"/>
      <c r="C296" s="4477"/>
      <c r="D296" s="4477"/>
      <c r="E296" s="4477"/>
      <c r="F296" s="4477"/>
      <c r="G296" s="4477"/>
      <c r="H296" s="4477"/>
      <c r="I296" s="4477"/>
      <c r="J296" s="4477"/>
      <c r="K296" s="4477"/>
      <c r="L296" s="4477"/>
      <c r="M296" s="4477"/>
      <c r="N296" s="4477"/>
      <c r="O296" s="4501"/>
      <c r="P296" s="4517"/>
      <c r="Q296" s="4517"/>
    </row>
    <row r="297" spans="2:17">
      <c r="B297" s="4477"/>
      <c r="C297" s="4477"/>
      <c r="D297" s="4477"/>
      <c r="E297" s="4477"/>
      <c r="F297" s="4477"/>
      <c r="G297" s="4477"/>
      <c r="H297" s="4477"/>
      <c r="I297" s="4477"/>
      <c r="J297" s="4477"/>
      <c r="K297" s="4477"/>
      <c r="L297" s="4477"/>
      <c r="M297" s="4477"/>
      <c r="N297" s="4477"/>
      <c r="O297" s="4501"/>
      <c r="P297" s="4517"/>
      <c r="Q297" s="4517"/>
    </row>
    <row r="298" spans="2:17">
      <c r="B298" s="4477"/>
      <c r="C298" s="4477"/>
      <c r="D298" s="4477"/>
      <c r="E298" s="4477"/>
      <c r="F298" s="4477"/>
      <c r="G298" s="4477"/>
      <c r="H298" s="4477"/>
      <c r="I298" s="4477"/>
      <c r="J298" s="4477"/>
      <c r="K298" s="4477"/>
      <c r="L298" s="4477"/>
      <c r="M298" s="4477"/>
      <c r="N298" s="4477"/>
      <c r="O298" s="4501"/>
      <c r="P298" s="4517"/>
      <c r="Q298" s="4517"/>
    </row>
    <row r="299" spans="2:17">
      <c r="B299" s="4477"/>
      <c r="C299" s="4477"/>
      <c r="D299" s="4477"/>
      <c r="E299" s="4477"/>
      <c r="F299" s="4477"/>
      <c r="G299" s="4477"/>
      <c r="H299" s="4477"/>
      <c r="I299" s="4477"/>
      <c r="J299" s="4477"/>
      <c r="K299" s="4477"/>
      <c r="L299" s="4477"/>
      <c r="M299" s="4477"/>
      <c r="N299" s="4477"/>
      <c r="O299" s="4501"/>
      <c r="P299" s="4517"/>
      <c r="Q299" s="4517"/>
    </row>
    <row r="300" spans="2:17">
      <c r="B300" s="4477"/>
      <c r="C300" s="4477"/>
      <c r="D300" s="4477"/>
      <c r="E300" s="4477"/>
      <c r="F300" s="4477"/>
      <c r="G300" s="4477"/>
      <c r="H300" s="4477"/>
      <c r="I300" s="4477"/>
      <c r="J300" s="4477"/>
      <c r="K300" s="4477"/>
      <c r="L300" s="4477"/>
      <c r="M300" s="4477"/>
      <c r="N300" s="4477"/>
      <c r="O300" s="4501"/>
      <c r="P300" s="4517"/>
      <c r="Q300" s="4517"/>
    </row>
    <row r="301" spans="2:17">
      <c r="B301" s="4477"/>
      <c r="C301" s="4477"/>
      <c r="D301" s="4477"/>
      <c r="E301" s="4477"/>
      <c r="F301" s="4477"/>
      <c r="G301" s="4477"/>
      <c r="H301" s="4477"/>
      <c r="I301" s="4477"/>
      <c r="J301" s="4477"/>
      <c r="K301" s="4477"/>
      <c r="L301" s="4477"/>
      <c r="M301" s="4477"/>
      <c r="N301" s="4477"/>
      <c r="O301" s="4501"/>
      <c r="P301" s="4517"/>
      <c r="Q301" s="4517"/>
    </row>
    <row r="302" spans="2:17">
      <c r="B302" s="4477"/>
      <c r="C302" s="4477"/>
      <c r="D302" s="4477"/>
      <c r="E302" s="4477"/>
      <c r="F302" s="4477"/>
      <c r="G302" s="4477"/>
      <c r="H302" s="4477"/>
      <c r="I302" s="4477"/>
      <c r="J302" s="4477"/>
      <c r="K302" s="4477"/>
      <c r="L302" s="4477"/>
      <c r="M302" s="4477"/>
      <c r="N302" s="4477"/>
      <c r="O302" s="4501"/>
      <c r="P302" s="4517"/>
      <c r="Q302" s="4517"/>
    </row>
    <row r="303" spans="2:17">
      <c r="B303" s="4477"/>
      <c r="C303" s="4477"/>
      <c r="D303" s="4477"/>
      <c r="E303" s="4477"/>
      <c r="F303" s="4477"/>
      <c r="G303" s="4477"/>
      <c r="H303" s="4477"/>
      <c r="I303" s="4477"/>
      <c r="J303" s="4477"/>
      <c r="K303" s="4477"/>
      <c r="L303" s="4477"/>
      <c r="M303" s="4477"/>
      <c r="N303" s="4477"/>
      <c r="O303" s="4501"/>
      <c r="P303" s="4517"/>
      <c r="Q303" s="4517"/>
    </row>
    <row r="304" spans="2:17">
      <c r="B304" s="4477"/>
      <c r="C304" s="4477"/>
      <c r="D304" s="4477"/>
      <c r="E304" s="4477"/>
      <c r="F304" s="4477"/>
      <c r="G304" s="4477"/>
      <c r="H304" s="4477"/>
      <c r="I304" s="4477"/>
      <c r="J304" s="4477"/>
      <c r="K304" s="4477"/>
      <c r="L304" s="4477"/>
      <c r="M304" s="4477"/>
      <c r="N304" s="4477"/>
      <c r="O304" s="4501"/>
      <c r="P304" s="4517"/>
      <c r="Q304" s="4517"/>
    </row>
    <row r="305" spans="2:17">
      <c r="B305" s="4477"/>
      <c r="C305" s="4477"/>
      <c r="D305" s="4477"/>
      <c r="E305" s="4477"/>
      <c r="F305" s="4477"/>
      <c r="G305" s="4477"/>
      <c r="H305" s="4477"/>
      <c r="I305" s="4477"/>
      <c r="J305" s="4477"/>
      <c r="K305" s="4477"/>
      <c r="L305" s="4477"/>
      <c r="M305" s="4477"/>
      <c r="N305" s="4477"/>
      <c r="O305" s="4501"/>
      <c r="P305" s="4517"/>
      <c r="Q305" s="4517"/>
    </row>
    <row r="306" spans="2:17">
      <c r="B306" s="4477"/>
      <c r="C306" s="4477"/>
      <c r="D306" s="4477"/>
      <c r="E306" s="4477"/>
      <c r="F306" s="4477"/>
      <c r="G306" s="4477"/>
      <c r="H306" s="4477"/>
      <c r="I306" s="4477"/>
      <c r="J306" s="4477"/>
      <c r="K306" s="4477"/>
      <c r="L306" s="4477"/>
      <c r="M306" s="4477"/>
      <c r="N306" s="4477"/>
      <c r="O306" s="4501"/>
      <c r="P306" s="4517"/>
      <c r="Q306" s="4517"/>
    </row>
    <row r="307" spans="2:17">
      <c r="B307" s="4477"/>
      <c r="C307" s="4477"/>
      <c r="D307" s="4477"/>
      <c r="E307" s="4477"/>
      <c r="F307" s="4477"/>
      <c r="G307" s="4477"/>
      <c r="H307" s="4477"/>
      <c r="I307" s="4477"/>
      <c r="J307" s="4477"/>
      <c r="K307" s="4477"/>
      <c r="L307" s="4477"/>
      <c r="M307" s="4477"/>
      <c r="N307" s="4477"/>
      <c r="O307" s="4501"/>
      <c r="P307" s="4517"/>
      <c r="Q307" s="4517"/>
    </row>
    <row r="308" spans="2:17">
      <c r="B308" s="4477"/>
      <c r="C308" s="4477"/>
      <c r="D308" s="4477"/>
      <c r="E308" s="4477"/>
      <c r="F308" s="4477"/>
      <c r="G308" s="4477"/>
      <c r="H308" s="4477"/>
      <c r="I308" s="4477"/>
      <c r="J308" s="4477"/>
      <c r="K308" s="4477"/>
      <c r="L308" s="4477"/>
      <c r="M308" s="4477"/>
      <c r="N308" s="4477"/>
      <c r="O308" s="4501"/>
      <c r="P308" s="4517"/>
      <c r="Q308" s="4517"/>
    </row>
    <row r="309" spans="2:17">
      <c r="B309" s="4477"/>
      <c r="C309" s="4477"/>
      <c r="D309" s="4477"/>
      <c r="E309" s="4477"/>
      <c r="F309" s="4477"/>
      <c r="G309" s="4477"/>
      <c r="H309" s="4477"/>
      <c r="I309" s="4477"/>
      <c r="J309" s="4477"/>
      <c r="K309" s="4477"/>
      <c r="L309" s="4477"/>
      <c r="M309" s="4477"/>
      <c r="N309" s="4477"/>
      <c r="O309" s="4501"/>
      <c r="P309" s="4517"/>
      <c r="Q309" s="4517"/>
    </row>
    <row r="310" spans="2:17">
      <c r="B310" s="4477"/>
      <c r="C310" s="4477"/>
      <c r="D310" s="4477"/>
      <c r="E310" s="4477"/>
      <c r="F310" s="4477"/>
      <c r="G310" s="4477"/>
      <c r="H310" s="4477"/>
      <c r="I310" s="4477"/>
      <c r="J310" s="4477"/>
      <c r="K310" s="4477"/>
      <c r="L310" s="4477"/>
      <c r="M310" s="4477"/>
      <c r="N310" s="4477"/>
      <c r="O310" s="4501"/>
      <c r="P310" s="4517"/>
      <c r="Q310" s="4517"/>
    </row>
    <row r="311" spans="2:17">
      <c r="B311" s="4477"/>
      <c r="C311" s="4477"/>
      <c r="D311" s="4477"/>
      <c r="E311" s="4477"/>
      <c r="F311" s="4477"/>
      <c r="G311" s="4477"/>
      <c r="H311" s="4477"/>
      <c r="I311" s="4477"/>
      <c r="J311" s="4477"/>
      <c r="K311" s="4477"/>
      <c r="L311" s="4477"/>
      <c r="M311" s="4477"/>
      <c r="N311" s="4477"/>
      <c r="O311" s="4501"/>
      <c r="P311" s="4517"/>
      <c r="Q311" s="4517"/>
    </row>
    <row r="312" spans="2:17">
      <c r="B312" s="4477"/>
      <c r="C312" s="4477"/>
      <c r="D312" s="4477"/>
      <c r="E312" s="4477"/>
      <c r="F312" s="4477"/>
      <c r="G312" s="4477"/>
      <c r="H312" s="4477"/>
      <c r="I312" s="4477"/>
      <c r="J312" s="4477"/>
      <c r="K312" s="4477"/>
      <c r="L312" s="4477"/>
      <c r="M312" s="4477"/>
      <c r="N312" s="4477"/>
      <c r="O312" s="4501"/>
      <c r="P312" s="4517"/>
      <c r="Q312" s="4517"/>
    </row>
    <row r="313" spans="2:17">
      <c r="B313" s="4477"/>
      <c r="C313" s="4477"/>
      <c r="D313" s="4477"/>
      <c r="E313" s="4477"/>
      <c r="F313" s="4477"/>
      <c r="G313" s="4477"/>
      <c r="H313" s="4477"/>
      <c r="I313" s="4477"/>
      <c r="J313" s="4477"/>
      <c r="K313" s="4477"/>
      <c r="L313" s="4477"/>
      <c r="M313" s="4477"/>
      <c r="N313" s="4477"/>
      <c r="O313" s="4501"/>
      <c r="P313" s="4517"/>
      <c r="Q313" s="4517"/>
    </row>
    <row r="314" spans="2:17">
      <c r="B314" s="4477"/>
      <c r="C314" s="4477"/>
      <c r="D314" s="4477"/>
      <c r="E314" s="4477"/>
      <c r="F314" s="4477"/>
      <c r="G314" s="4477"/>
      <c r="H314" s="4477"/>
      <c r="I314" s="4477"/>
      <c r="J314" s="4477"/>
      <c r="K314" s="4477"/>
      <c r="L314" s="4477"/>
      <c r="M314" s="4477"/>
      <c r="N314" s="4477"/>
      <c r="O314" s="4501"/>
      <c r="P314" s="4517"/>
      <c r="Q314" s="4517"/>
    </row>
    <row r="315" spans="2:17">
      <c r="B315" s="4477"/>
      <c r="C315" s="4477"/>
      <c r="D315" s="4477"/>
      <c r="E315" s="4477"/>
      <c r="F315" s="4477"/>
      <c r="G315" s="4477"/>
      <c r="H315" s="4477"/>
      <c r="I315" s="4477"/>
      <c r="J315" s="4477"/>
      <c r="K315" s="4477"/>
      <c r="L315" s="4477"/>
      <c r="M315" s="4477"/>
      <c r="N315" s="4477"/>
      <c r="O315" s="4501"/>
      <c r="P315" s="4517"/>
      <c r="Q315" s="4517"/>
    </row>
    <row r="316" spans="2:17">
      <c r="B316" s="4477"/>
      <c r="C316" s="4477"/>
      <c r="D316" s="4477"/>
      <c r="E316" s="4477"/>
      <c r="F316" s="4477"/>
      <c r="G316" s="4477"/>
      <c r="H316" s="4477"/>
      <c r="I316" s="4477"/>
      <c r="J316" s="4477"/>
      <c r="K316" s="4477"/>
      <c r="L316" s="4477"/>
      <c r="M316" s="4477"/>
      <c r="N316" s="4477"/>
      <c r="O316" s="4501"/>
      <c r="P316" s="4517"/>
      <c r="Q316" s="4517"/>
    </row>
    <row r="317" spans="2:17">
      <c r="B317" s="4477"/>
      <c r="C317" s="4477"/>
      <c r="D317" s="4477"/>
      <c r="E317" s="4477"/>
      <c r="F317" s="4477"/>
      <c r="G317" s="4477"/>
      <c r="H317" s="4477"/>
      <c r="I317" s="4477"/>
      <c r="J317" s="4477"/>
      <c r="K317" s="4477"/>
      <c r="L317" s="4477"/>
      <c r="M317" s="4477"/>
      <c r="N317" s="4477"/>
      <c r="O317" s="4501"/>
      <c r="P317" s="4517"/>
      <c r="Q317" s="4517"/>
    </row>
    <row r="318" spans="2:17">
      <c r="B318" s="4477"/>
      <c r="C318" s="4477"/>
      <c r="D318" s="4477"/>
      <c r="E318" s="4477"/>
      <c r="F318" s="4477"/>
      <c r="G318" s="4477"/>
      <c r="H318" s="4477"/>
      <c r="I318" s="4477"/>
      <c r="J318" s="4477"/>
      <c r="K318" s="4477"/>
      <c r="L318" s="4477"/>
      <c r="M318" s="4477"/>
      <c r="N318" s="4477"/>
      <c r="O318" s="4501"/>
      <c r="P318" s="4517"/>
      <c r="Q318" s="4517"/>
    </row>
    <row r="319" spans="2:17">
      <c r="B319" s="4477"/>
      <c r="C319" s="4477"/>
      <c r="D319" s="4477"/>
      <c r="E319" s="4477"/>
      <c r="F319" s="4477"/>
      <c r="G319" s="4477"/>
      <c r="H319" s="4477"/>
      <c r="I319" s="4477"/>
      <c r="J319" s="4477"/>
      <c r="K319" s="4477"/>
      <c r="L319" s="4477"/>
      <c r="M319" s="4477"/>
      <c r="N319" s="4477"/>
      <c r="O319" s="4501"/>
      <c r="P319" s="4517"/>
      <c r="Q319" s="4517"/>
    </row>
    <row r="320" spans="2:17">
      <c r="B320" s="4477"/>
      <c r="C320" s="4477"/>
      <c r="D320" s="4477"/>
      <c r="E320" s="4477"/>
      <c r="F320" s="4477"/>
      <c r="G320" s="4477"/>
      <c r="H320" s="4477"/>
      <c r="I320" s="4477"/>
      <c r="J320" s="4477"/>
      <c r="K320" s="4477"/>
      <c r="L320" s="4477"/>
      <c r="M320" s="4477"/>
      <c r="N320" s="4477"/>
      <c r="O320" s="4501"/>
      <c r="P320" s="4517"/>
      <c r="Q320" s="4517"/>
    </row>
    <row r="321" spans="2:17">
      <c r="B321" s="4477"/>
      <c r="C321" s="4477"/>
      <c r="D321" s="4477"/>
      <c r="E321" s="4477"/>
      <c r="F321" s="4477"/>
      <c r="G321" s="4477"/>
      <c r="H321" s="4477"/>
      <c r="I321" s="4477"/>
      <c r="J321" s="4477"/>
      <c r="K321" s="4477"/>
      <c r="L321" s="4477"/>
      <c r="M321" s="4477"/>
      <c r="N321" s="4477"/>
      <c r="O321" s="4501"/>
      <c r="P321" s="4517"/>
      <c r="Q321" s="4517"/>
    </row>
    <row r="322" spans="2:17">
      <c r="B322" s="4477"/>
      <c r="C322" s="4477"/>
      <c r="D322" s="4477"/>
      <c r="E322" s="4477"/>
      <c r="F322" s="4477"/>
      <c r="G322" s="4477"/>
      <c r="H322" s="4477"/>
      <c r="I322" s="4477"/>
      <c r="J322" s="4477"/>
      <c r="K322" s="4477"/>
      <c r="L322" s="4477"/>
      <c r="M322" s="4477"/>
      <c r="N322" s="4477"/>
      <c r="O322" s="4501"/>
      <c r="P322" s="4517"/>
      <c r="Q322" s="4517"/>
    </row>
    <row r="323" spans="2:17">
      <c r="B323" s="4477"/>
      <c r="C323" s="4477"/>
      <c r="D323" s="4477"/>
      <c r="E323" s="4477"/>
      <c r="F323" s="4477"/>
      <c r="G323" s="4477"/>
      <c r="H323" s="4477"/>
      <c r="I323" s="4477"/>
      <c r="J323" s="4477"/>
      <c r="K323" s="4477"/>
      <c r="L323" s="4477"/>
      <c r="M323" s="4477"/>
      <c r="N323" s="4477"/>
      <c r="O323" s="4501"/>
      <c r="P323" s="4517"/>
      <c r="Q323" s="4517"/>
    </row>
    <row r="324" spans="2:17">
      <c r="B324" s="4477"/>
      <c r="C324" s="4477"/>
      <c r="D324" s="4477"/>
      <c r="E324" s="4477"/>
      <c r="F324" s="4477"/>
      <c r="G324" s="4477"/>
      <c r="H324" s="4477"/>
      <c r="I324" s="4477"/>
      <c r="J324" s="4477"/>
      <c r="K324" s="4477"/>
      <c r="L324" s="4477"/>
      <c r="M324" s="4477"/>
      <c r="N324" s="4477"/>
      <c r="O324" s="4501"/>
      <c r="P324" s="4517"/>
      <c r="Q324" s="4517"/>
    </row>
    <row r="325" spans="2:17">
      <c r="B325" s="4477"/>
      <c r="C325" s="4477"/>
      <c r="D325" s="4477"/>
      <c r="E325" s="4477"/>
      <c r="F325" s="4477"/>
      <c r="G325" s="4477"/>
      <c r="H325" s="4477"/>
      <c r="I325" s="4477"/>
      <c r="J325" s="4477"/>
      <c r="K325" s="4477"/>
      <c r="L325" s="4477"/>
      <c r="M325" s="4477"/>
      <c r="N325" s="4477"/>
      <c r="O325" s="4501"/>
      <c r="P325" s="4517"/>
      <c r="Q325" s="4517"/>
    </row>
    <row r="326" spans="2:17">
      <c r="B326" s="4477"/>
      <c r="C326" s="4477"/>
      <c r="D326" s="4477"/>
      <c r="E326" s="4477"/>
      <c r="F326" s="4477"/>
      <c r="G326" s="4477"/>
      <c r="H326" s="4477"/>
      <c r="I326" s="4477"/>
      <c r="J326" s="4477"/>
      <c r="K326" s="4477"/>
      <c r="L326" s="4477"/>
      <c r="M326" s="4477"/>
      <c r="N326" s="4477"/>
      <c r="O326" s="4501"/>
      <c r="P326" s="4517"/>
      <c r="Q326" s="4517"/>
    </row>
    <row r="327" spans="2:17">
      <c r="B327" s="4477"/>
      <c r="C327" s="4477"/>
      <c r="D327" s="4477"/>
      <c r="E327" s="4477"/>
      <c r="F327" s="4477"/>
      <c r="G327" s="4477"/>
      <c r="H327" s="4477"/>
      <c r="I327" s="4477"/>
      <c r="J327" s="4477"/>
      <c r="K327" s="4477"/>
      <c r="L327" s="4477"/>
      <c r="M327" s="4477"/>
      <c r="N327" s="4477"/>
      <c r="O327" s="4501"/>
      <c r="P327" s="4517"/>
      <c r="Q327" s="4517"/>
    </row>
    <row r="328" spans="2:17">
      <c r="B328" s="4477"/>
      <c r="C328" s="4477"/>
      <c r="D328" s="4477"/>
      <c r="E328" s="4477"/>
      <c r="F328" s="4477"/>
      <c r="G328" s="4477"/>
      <c r="H328" s="4477"/>
      <c r="I328" s="4477"/>
      <c r="J328" s="4477"/>
      <c r="K328" s="4477"/>
      <c r="L328" s="4477"/>
      <c r="M328" s="4477"/>
      <c r="N328" s="4477"/>
      <c r="O328" s="4501"/>
      <c r="P328" s="4517"/>
      <c r="Q328" s="4517"/>
    </row>
    <row r="329" spans="2:17">
      <c r="B329" s="4477"/>
      <c r="C329" s="4477"/>
      <c r="D329" s="4477"/>
      <c r="E329" s="4477"/>
      <c r="F329" s="4477"/>
      <c r="G329" s="4477"/>
      <c r="H329" s="4477"/>
      <c r="I329" s="4477"/>
      <c r="J329" s="4477"/>
      <c r="K329" s="4477"/>
      <c r="L329" s="4477"/>
      <c r="M329" s="4477"/>
      <c r="N329" s="4477"/>
      <c r="O329" s="4501"/>
      <c r="P329" s="4517"/>
      <c r="Q329" s="4517"/>
    </row>
    <row r="330" spans="2:17">
      <c r="B330" s="4477"/>
      <c r="C330" s="4477"/>
      <c r="D330" s="4477"/>
      <c r="E330" s="4477"/>
      <c r="F330" s="4477"/>
      <c r="G330" s="4477"/>
      <c r="H330" s="4477"/>
      <c r="I330" s="4477"/>
      <c r="J330" s="4477"/>
      <c r="K330" s="4477"/>
      <c r="L330" s="4477"/>
      <c r="M330" s="4477"/>
      <c r="N330" s="4477"/>
      <c r="O330" s="4501"/>
      <c r="P330" s="4517"/>
      <c r="Q330" s="4517"/>
    </row>
    <row r="331" spans="2:17">
      <c r="B331" s="4477"/>
      <c r="C331" s="4477"/>
      <c r="D331" s="4477"/>
      <c r="E331" s="4477"/>
      <c r="F331" s="4477"/>
      <c r="G331" s="4477"/>
      <c r="H331" s="4477"/>
      <c r="I331" s="4477"/>
      <c r="J331" s="4477"/>
      <c r="K331" s="4477"/>
      <c r="L331" s="4477"/>
      <c r="M331" s="4477"/>
      <c r="N331" s="4477"/>
      <c r="O331" s="4501"/>
      <c r="P331" s="4517"/>
      <c r="Q331" s="4517"/>
    </row>
    <row r="332" spans="2:17">
      <c r="B332" s="4477"/>
      <c r="C332" s="4477"/>
      <c r="D332" s="4477"/>
      <c r="E332" s="4477"/>
      <c r="F332" s="4477"/>
      <c r="G332" s="4477"/>
      <c r="H332" s="4477"/>
      <c r="I332" s="4477"/>
      <c r="J332" s="4477"/>
      <c r="K332" s="4477"/>
      <c r="L332" s="4477"/>
      <c r="M332" s="4477"/>
      <c r="N332" s="4477"/>
      <c r="O332" s="4501"/>
      <c r="P332" s="4517"/>
      <c r="Q332" s="4517"/>
    </row>
    <row r="333" spans="2:17">
      <c r="B333" s="4477"/>
      <c r="C333" s="4477"/>
      <c r="D333" s="4477"/>
      <c r="E333" s="4477"/>
      <c r="F333" s="4477"/>
      <c r="G333" s="4477"/>
      <c r="H333" s="4477"/>
      <c r="I333" s="4477"/>
      <c r="J333" s="4477"/>
      <c r="K333" s="4477"/>
      <c r="L333" s="4477"/>
      <c r="M333" s="4477"/>
      <c r="N333" s="4477"/>
      <c r="O333" s="4501"/>
      <c r="P333" s="4517"/>
      <c r="Q333" s="4517"/>
    </row>
    <row r="334" spans="2:17">
      <c r="B334" s="4477"/>
      <c r="C334" s="4477"/>
      <c r="D334" s="4477"/>
      <c r="E334" s="4477"/>
      <c r="F334" s="4477"/>
      <c r="G334" s="4477"/>
      <c r="H334" s="4477"/>
      <c r="I334" s="4477"/>
      <c r="J334" s="4477"/>
      <c r="K334" s="4477"/>
      <c r="L334" s="4477"/>
      <c r="M334" s="4477"/>
      <c r="N334" s="4477"/>
      <c r="O334" s="4501"/>
      <c r="P334" s="4517"/>
      <c r="Q334" s="4517"/>
    </row>
    <row r="335" spans="2:17">
      <c r="B335" s="4477"/>
      <c r="C335" s="4477"/>
      <c r="D335" s="4477"/>
      <c r="E335" s="4477"/>
      <c r="F335" s="4477"/>
      <c r="G335" s="4477"/>
      <c r="H335" s="4477"/>
      <c r="I335" s="4477"/>
      <c r="J335" s="4477"/>
      <c r="K335" s="4477"/>
      <c r="L335" s="4477"/>
      <c r="M335" s="4477"/>
      <c r="N335" s="4477"/>
      <c r="O335" s="4501"/>
      <c r="P335" s="4517"/>
      <c r="Q335" s="4517"/>
    </row>
    <row r="336" spans="2:17">
      <c r="B336" s="4477"/>
      <c r="C336" s="4477"/>
      <c r="D336" s="4477"/>
      <c r="E336" s="4477"/>
      <c r="F336" s="4477"/>
      <c r="G336" s="4477"/>
      <c r="H336" s="4477"/>
      <c r="I336" s="4477"/>
      <c r="J336" s="4477"/>
      <c r="K336" s="4477"/>
      <c r="L336" s="4477"/>
      <c r="M336" s="4477"/>
      <c r="N336" s="4477"/>
      <c r="O336" s="4501"/>
      <c r="P336" s="4517"/>
      <c r="Q336" s="4517"/>
    </row>
    <row r="337" spans="2:17">
      <c r="B337" s="4477"/>
      <c r="C337" s="4477"/>
      <c r="D337" s="4477"/>
      <c r="E337" s="4477"/>
      <c r="F337" s="4477"/>
      <c r="G337" s="4477"/>
      <c r="H337" s="4477"/>
      <c r="I337" s="4477"/>
      <c r="J337" s="4477"/>
      <c r="K337" s="4477"/>
      <c r="L337" s="4477"/>
      <c r="M337" s="4477"/>
      <c r="N337" s="4477"/>
      <c r="O337" s="4501"/>
      <c r="P337" s="4517"/>
      <c r="Q337" s="4517"/>
    </row>
    <row r="338" spans="2:17">
      <c r="B338" s="4477"/>
      <c r="C338" s="4477"/>
      <c r="D338" s="4477"/>
      <c r="E338" s="4477"/>
      <c r="F338" s="4477"/>
      <c r="G338" s="4477"/>
      <c r="H338" s="4477"/>
      <c r="I338" s="4477"/>
      <c r="J338" s="4477"/>
      <c r="K338" s="4477"/>
      <c r="L338" s="4477"/>
      <c r="M338" s="4477"/>
      <c r="N338" s="4477"/>
      <c r="O338" s="4501"/>
      <c r="P338" s="4517"/>
      <c r="Q338" s="4517"/>
    </row>
    <row r="339" spans="2:17">
      <c r="B339" s="4477"/>
      <c r="C339" s="4477"/>
      <c r="D339" s="4477"/>
      <c r="E339" s="4477"/>
      <c r="F339" s="4477"/>
      <c r="G339" s="4477"/>
      <c r="H339" s="4477"/>
      <c r="I339" s="4477"/>
      <c r="J339" s="4477"/>
      <c r="K339" s="4477"/>
      <c r="L339" s="4477"/>
      <c r="M339" s="4477"/>
      <c r="N339" s="4477"/>
      <c r="O339" s="4501"/>
      <c r="P339" s="4517"/>
      <c r="Q339" s="4517"/>
    </row>
    <row r="340" spans="2:17">
      <c r="B340" s="4477"/>
      <c r="C340" s="4477"/>
      <c r="D340" s="4477"/>
      <c r="E340" s="4477"/>
      <c r="F340" s="4477"/>
      <c r="G340" s="4477"/>
      <c r="H340" s="4477"/>
      <c r="I340" s="4477"/>
      <c r="J340" s="4477"/>
      <c r="K340" s="4477"/>
      <c r="L340" s="4477"/>
      <c r="M340" s="4477"/>
      <c r="N340" s="4477"/>
      <c r="O340" s="4501"/>
      <c r="P340" s="4517"/>
      <c r="Q340" s="4517"/>
    </row>
    <row r="341" spans="2:17">
      <c r="B341" s="4477"/>
      <c r="C341" s="4477"/>
      <c r="D341" s="4477"/>
      <c r="E341" s="4477"/>
      <c r="F341" s="4477"/>
      <c r="G341" s="4477"/>
      <c r="H341" s="4477"/>
      <c r="I341" s="4477"/>
      <c r="J341" s="4477"/>
      <c r="K341" s="4477"/>
      <c r="L341" s="4477"/>
      <c r="M341" s="4477"/>
      <c r="N341" s="4477"/>
      <c r="O341" s="4501"/>
      <c r="P341" s="4517"/>
      <c r="Q341" s="4517"/>
    </row>
    <row r="342" spans="2:17">
      <c r="B342" s="4477"/>
      <c r="C342" s="4477"/>
      <c r="D342" s="4477"/>
      <c r="E342" s="4477"/>
      <c r="F342" s="4477"/>
      <c r="G342" s="4477"/>
      <c r="H342" s="4477"/>
      <c r="I342" s="4477"/>
      <c r="J342" s="4477"/>
      <c r="K342" s="4477"/>
      <c r="L342" s="4477"/>
      <c r="M342" s="4477"/>
      <c r="N342" s="4477"/>
      <c r="O342" s="4501"/>
      <c r="P342" s="4517"/>
      <c r="Q342" s="4517"/>
    </row>
    <row r="343" spans="2:17">
      <c r="B343" s="4477"/>
      <c r="C343" s="4477"/>
      <c r="D343" s="4477"/>
      <c r="E343" s="4477"/>
      <c r="F343" s="4477"/>
      <c r="G343" s="4477"/>
      <c r="H343" s="4477"/>
      <c r="I343" s="4477"/>
      <c r="J343" s="4477"/>
      <c r="K343" s="4477"/>
      <c r="L343" s="4477"/>
      <c r="M343" s="4477"/>
      <c r="N343" s="4477"/>
      <c r="O343" s="4501"/>
      <c r="P343" s="4517"/>
      <c r="Q343" s="4517"/>
    </row>
    <row r="344" spans="2:17">
      <c r="B344" s="4477"/>
      <c r="C344" s="4477"/>
      <c r="D344" s="4477"/>
      <c r="E344" s="4477"/>
      <c r="F344" s="4477"/>
      <c r="G344" s="4477"/>
      <c r="H344" s="4477"/>
      <c r="I344" s="4477"/>
      <c r="J344" s="4477"/>
      <c r="K344" s="4477"/>
      <c r="L344" s="4477"/>
      <c r="M344" s="4477"/>
      <c r="N344" s="4477"/>
      <c r="O344" s="4501"/>
      <c r="P344" s="4517"/>
      <c r="Q344" s="4517"/>
    </row>
    <row r="345" spans="2:17">
      <c r="B345" s="4477"/>
      <c r="C345" s="4477"/>
      <c r="D345" s="4477"/>
      <c r="E345" s="4477"/>
      <c r="F345" s="4477"/>
      <c r="G345" s="4477"/>
      <c r="H345" s="4477"/>
      <c r="I345" s="4477"/>
      <c r="J345" s="4477"/>
      <c r="K345" s="4477"/>
      <c r="L345" s="4477"/>
      <c r="M345" s="4477"/>
      <c r="N345" s="4477"/>
      <c r="O345" s="4501"/>
      <c r="P345" s="4517"/>
      <c r="Q345" s="4517"/>
    </row>
    <row r="346" spans="2:17">
      <c r="B346" s="4477"/>
      <c r="C346" s="4477"/>
      <c r="D346" s="4477"/>
      <c r="E346" s="4477"/>
      <c r="F346" s="4477"/>
      <c r="G346" s="4477"/>
      <c r="H346" s="4477"/>
      <c r="I346" s="4477"/>
      <c r="J346" s="4477"/>
      <c r="K346" s="4477"/>
      <c r="L346" s="4477"/>
      <c r="M346" s="4477"/>
      <c r="N346" s="4477"/>
      <c r="O346" s="4501"/>
      <c r="P346" s="4517"/>
      <c r="Q346" s="4517"/>
    </row>
    <row r="347" spans="2:17">
      <c r="B347" s="4477"/>
      <c r="C347" s="4477"/>
      <c r="D347" s="4477"/>
      <c r="E347" s="4477"/>
      <c r="F347" s="4477"/>
      <c r="G347" s="4477"/>
      <c r="H347" s="4477"/>
      <c r="I347" s="4477"/>
      <c r="J347" s="4477"/>
      <c r="K347" s="4477"/>
      <c r="L347" s="4477"/>
      <c r="M347" s="4477"/>
      <c r="N347" s="4477"/>
      <c r="O347" s="4501"/>
      <c r="P347" s="4517"/>
      <c r="Q347" s="4517"/>
    </row>
    <row r="348" spans="2:17">
      <c r="B348" s="4477"/>
      <c r="C348" s="4477"/>
      <c r="D348" s="4477"/>
      <c r="E348" s="4477"/>
      <c r="F348" s="4477"/>
      <c r="G348" s="4477"/>
      <c r="H348" s="4477"/>
      <c r="I348" s="4477"/>
      <c r="J348" s="4477"/>
      <c r="K348" s="4477"/>
      <c r="L348" s="4477"/>
      <c r="M348" s="4477"/>
      <c r="N348" s="4477"/>
      <c r="O348" s="4501"/>
      <c r="P348" s="4517"/>
      <c r="Q348" s="4517"/>
    </row>
    <row r="349" spans="2:17">
      <c r="B349" s="4477"/>
      <c r="C349" s="4477"/>
      <c r="D349" s="4477"/>
      <c r="E349" s="4477"/>
      <c r="F349" s="4477"/>
      <c r="G349" s="4477"/>
      <c r="H349" s="4477"/>
      <c r="I349" s="4477"/>
      <c r="J349" s="4477"/>
      <c r="K349" s="4477"/>
      <c r="L349" s="4477"/>
      <c r="M349" s="4477"/>
      <c r="N349" s="4477"/>
      <c r="O349" s="4501"/>
      <c r="P349" s="4517"/>
      <c r="Q349" s="4517"/>
    </row>
    <row r="350" spans="2:17">
      <c r="B350" s="4477"/>
      <c r="C350" s="4477"/>
      <c r="D350" s="4477"/>
      <c r="E350" s="4477"/>
      <c r="F350" s="4477"/>
      <c r="G350" s="4477"/>
      <c r="H350" s="4477"/>
      <c r="I350" s="4477"/>
      <c r="J350" s="4477"/>
      <c r="K350" s="4477"/>
      <c r="L350" s="4477"/>
      <c r="M350" s="4477"/>
      <c r="N350" s="4477"/>
      <c r="O350" s="4501"/>
      <c r="P350" s="4517"/>
      <c r="Q350" s="4517"/>
    </row>
    <row r="351" spans="2:17">
      <c r="B351" s="4477"/>
      <c r="C351" s="4477"/>
      <c r="D351" s="4477"/>
      <c r="E351" s="4477"/>
      <c r="F351" s="4477"/>
      <c r="G351" s="4477"/>
      <c r="H351" s="4477"/>
      <c r="I351" s="4477"/>
      <c r="J351" s="4477"/>
      <c r="K351" s="4477"/>
      <c r="L351" s="4477"/>
      <c r="M351" s="4477"/>
      <c r="N351" s="4477"/>
      <c r="O351" s="4501"/>
      <c r="P351" s="4517"/>
      <c r="Q351" s="4517"/>
    </row>
    <row r="352" spans="2:17">
      <c r="B352" s="4477"/>
      <c r="C352" s="4477"/>
      <c r="D352" s="4477"/>
      <c r="E352" s="4477"/>
      <c r="F352" s="4477"/>
      <c r="G352" s="4477"/>
      <c r="H352" s="4477"/>
      <c r="I352" s="4477"/>
      <c r="J352" s="4477"/>
      <c r="K352" s="4477"/>
      <c r="L352" s="4477"/>
      <c r="M352" s="4477"/>
      <c r="N352" s="4477"/>
      <c r="O352" s="4501"/>
      <c r="P352" s="4517"/>
      <c r="Q352" s="4517"/>
    </row>
    <row r="353" spans="2:17">
      <c r="B353" s="4477"/>
      <c r="C353" s="4477"/>
      <c r="D353" s="4477"/>
      <c r="E353" s="4477"/>
      <c r="F353" s="4477"/>
      <c r="G353" s="4477"/>
      <c r="H353" s="4477"/>
      <c r="I353" s="4477"/>
      <c r="J353" s="4477"/>
      <c r="K353" s="4477"/>
      <c r="L353" s="4477"/>
      <c r="M353" s="4477"/>
      <c r="N353" s="4477"/>
      <c r="O353" s="4501"/>
      <c r="P353" s="4517"/>
      <c r="Q353" s="4517"/>
    </row>
    <row r="354" spans="2:17">
      <c r="B354" s="4477"/>
      <c r="C354" s="4477"/>
      <c r="D354" s="4477"/>
      <c r="E354" s="4477"/>
      <c r="F354" s="4477"/>
      <c r="G354" s="4477"/>
      <c r="H354" s="4477"/>
      <c r="I354" s="4477"/>
      <c r="J354" s="4477"/>
      <c r="K354" s="4477"/>
      <c r="L354" s="4477"/>
      <c r="M354" s="4477"/>
      <c r="N354" s="4477"/>
      <c r="O354" s="4501"/>
      <c r="P354" s="4517"/>
      <c r="Q354" s="4517"/>
    </row>
    <row r="355" spans="2:17">
      <c r="B355" s="4477"/>
      <c r="C355" s="4477"/>
      <c r="D355" s="4477"/>
      <c r="E355" s="4477"/>
      <c r="F355" s="4477"/>
      <c r="G355" s="4477"/>
      <c r="H355" s="4477"/>
      <c r="I355" s="4477"/>
      <c r="J355" s="4477"/>
      <c r="K355" s="4477"/>
      <c r="L355" s="4477"/>
      <c r="M355" s="4477"/>
      <c r="N355" s="4477"/>
      <c r="O355" s="4501"/>
      <c r="P355" s="4517"/>
      <c r="Q355" s="4517"/>
    </row>
    <row r="356" spans="2:17">
      <c r="B356" s="4477"/>
      <c r="C356" s="4477"/>
      <c r="D356" s="4477"/>
      <c r="E356" s="4477"/>
      <c r="F356" s="4477"/>
      <c r="G356" s="4477"/>
      <c r="H356" s="4477"/>
      <c r="I356" s="4477"/>
      <c r="J356" s="4477"/>
      <c r="K356" s="4477"/>
      <c r="L356" s="4477"/>
      <c r="M356" s="4477"/>
      <c r="N356" s="4477"/>
      <c r="O356" s="4501"/>
      <c r="P356" s="4517"/>
      <c r="Q356" s="4517"/>
    </row>
    <row r="357" spans="2:17">
      <c r="B357" s="4477"/>
      <c r="C357" s="4477"/>
      <c r="D357" s="4477"/>
      <c r="E357" s="4477"/>
      <c r="F357" s="4477"/>
      <c r="G357" s="4477"/>
      <c r="H357" s="4477"/>
      <c r="I357" s="4477"/>
      <c r="J357" s="4477"/>
      <c r="K357" s="4477"/>
      <c r="L357" s="4477"/>
      <c r="M357" s="4477"/>
      <c r="N357" s="4477"/>
      <c r="O357" s="4501"/>
      <c r="P357" s="4517"/>
      <c r="Q357" s="4517"/>
    </row>
    <row r="358" spans="2:17">
      <c r="B358" s="4477"/>
      <c r="C358" s="4477"/>
      <c r="D358" s="4477"/>
      <c r="E358" s="4477"/>
      <c r="F358" s="4477"/>
      <c r="G358" s="4477"/>
      <c r="H358" s="4477"/>
      <c r="I358" s="4477"/>
      <c r="J358" s="4477"/>
      <c r="K358" s="4477"/>
      <c r="L358" s="4477"/>
      <c r="M358" s="4477"/>
      <c r="N358" s="4477"/>
      <c r="O358" s="4501"/>
      <c r="P358" s="4517"/>
      <c r="Q358" s="4517"/>
    </row>
    <row r="359" spans="2:17">
      <c r="B359" s="4477"/>
      <c r="C359" s="4477"/>
      <c r="D359" s="4477"/>
      <c r="E359" s="4477"/>
      <c r="F359" s="4477"/>
      <c r="G359" s="4477"/>
      <c r="H359" s="4477"/>
      <c r="I359" s="4477"/>
      <c r="J359" s="4477"/>
      <c r="K359" s="4477"/>
      <c r="L359" s="4477"/>
      <c r="M359" s="4477"/>
      <c r="N359" s="4477"/>
      <c r="O359" s="4501"/>
      <c r="P359" s="4517"/>
      <c r="Q359" s="4517"/>
    </row>
    <row r="360" spans="2:17">
      <c r="B360" s="4477"/>
      <c r="C360" s="4477"/>
      <c r="D360" s="4477"/>
      <c r="E360" s="4477"/>
      <c r="F360" s="4477"/>
      <c r="G360" s="4477"/>
      <c r="H360" s="4477"/>
      <c r="I360" s="4477"/>
      <c r="J360" s="4477"/>
      <c r="K360" s="4477"/>
      <c r="L360" s="4477"/>
      <c r="M360" s="4477"/>
      <c r="N360" s="4477"/>
      <c r="O360" s="4501"/>
      <c r="P360" s="4517"/>
      <c r="Q360" s="4517"/>
    </row>
    <row r="361" spans="2:17">
      <c r="B361" s="4477"/>
      <c r="C361" s="4477"/>
      <c r="D361" s="4477"/>
      <c r="E361" s="4477"/>
      <c r="F361" s="4477"/>
      <c r="G361" s="4477"/>
      <c r="H361" s="4477"/>
      <c r="I361" s="4477"/>
      <c r="J361" s="4477"/>
      <c r="K361" s="4477"/>
      <c r="L361" s="4477"/>
      <c r="M361" s="4477"/>
      <c r="N361" s="4477"/>
      <c r="O361" s="4501"/>
      <c r="P361" s="4517"/>
      <c r="Q361" s="4517"/>
    </row>
    <row r="362" spans="2:17">
      <c r="B362" s="4477"/>
      <c r="C362" s="4477"/>
      <c r="D362" s="4477"/>
      <c r="E362" s="4477"/>
      <c r="F362" s="4477"/>
      <c r="G362" s="4477"/>
      <c r="H362" s="4477"/>
      <c r="I362" s="4477"/>
      <c r="J362" s="4477"/>
      <c r="K362" s="4477"/>
      <c r="L362" s="4477"/>
      <c r="M362" s="4477"/>
      <c r="N362" s="4477"/>
      <c r="O362" s="4501"/>
      <c r="P362" s="4517"/>
      <c r="Q362" s="4517"/>
    </row>
    <row r="363" spans="2:17">
      <c r="B363" s="4477"/>
      <c r="C363" s="4477"/>
      <c r="D363" s="4477"/>
      <c r="E363" s="4477"/>
      <c r="F363" s="4477"/>
      <c r="G363" s="4477"/>
      <c r="H363" s="4477"/>
      <c r="I363" s="4477"/>
      <c r="J363" s="4477"/>
      <c r="K363" s="4477"/>
      <c r="L363" s="4477"/>
      <c r="M363" s="4477"/>
      <c r="N363" s="4477"/>
      <c r="O363" s="4501"/>
      <c r="P363" s="4517"/>
      <c r="Q363" s="4517"/>
    </row>
    <row r="364" spans="2:17">
      <c r="B364" s="4477"/>
      <c r="C364" s="4477"/>
      <c r="D364" s="4477"/>
      <c r="E364" s="4477"/>
      <c r="F364" s="4477"/>
      <c r="G364" s="4477"/>
      <c r="H364" s="4477"/>
      <c r="I364" s="4477"/>
      <c r="J364" s="4477"/>
      <c r="K364" s="4477"/>
      <c r="L364" s="4477"/>
      <c r="M364" s="4477"/>
      <c r="N364" s="4477"/>
      <c r="O364" s="4501"/>
      <c r="P364" s="4517"/>
      <c r="Q364" s="4517"/>
    </row>
    <row r="365" spans="2:17">
      <c r="B365" s="4477"/>
      <c r="C365" s="4477"/>
      <c r="D365" s="4477"/>
      <c r="E365" s="4477"/>
      <c r="F365" s="4477"/>
      <c r="G365" s="4477"/>
      <c r="H365" s="4477"/>
      <c r="I365" s="4477"/>
      <c r="J365" s="4477"/>
      <c r="K365" s="4477"/>
      <c r="L365" s="4477"/>
      <c r="M365" s="4477"/>
      <c r="N365" s="4477"/>
      <c r="O365" s="4501"/>
      <c r="P365" s="4517"/>
      <c r="Q365" s="4517"/>
    </row>
    <row r="366" spans="2:17">
      <c r="B366" s="4477"/>
      <c r="C366" s="4477"/>
      <c r="D366" s="4477"/>
      <c r="E366" s="4477"/>
      <c r="F366" s="4477"/>
      <c r="G366" s="4477"/>
      <c r="H366" s="4477"/>
      <c r="I366" s="4477"/>
      <c r="J366" s="4477"/>
      <c r="K366" s="4477"/>
      <c r="L366" s="4477"/>
      <c r="M366" s="4477"/>
      <c r="N366" s="4477"/>
      <c r="O366" s="4501"/>
      <c r="P366" s="4517"/>
      <c r="Q366" s="4517"/>
    </row>
    <row r="367" spans="2:17">
      <c r="B367" s="4477"/>
      <c r="C367" s="4477"/>
      <c r="D367" s="4477"/>
      <c r="E367" s="4477"/>
      <c r="F367" s="4477"/>
      <c r="G367" s="4477"/>
      <c r="H367" s="4477"/>
      <c r="I367" s="4477"/>
      <c r="J367" s="4477"/>
      <c r="K367" s="4477"/>
      <c r="L367" s="4477"/>
      <c r="M367" s="4477"/>
      <c r="N367" s="4477"/>
      <c r="O367" s="4501"/>
      <c r="P367" s="4517"/>
      <c r="Q367" s="4517"/>
    </row>
    <row r="368" spans="2:17">
      <c r="B368" s="4477"/>
      <c r="C368" s="4477"/>
      <c r="D368" s="4477"/>
      <c r="E368" s="4477"/>
      <c r="F368" s="4477"/>
      <c r="G368" s="4477"/>
      <c r="H368" s="4477"/>
      <c r="I368" s="4477"/>
      <c r="J368" s="4477"/>
      <c r="K368" s="4477"/>
      <c r="L368" s="4477"/>
      <c r="M368" s="4477"/>
      <c r="N368" s="4477"/>
      <c r="O368" s="4501"/>
      <c r="P368" s="4517"/>
      <c r="Q368" s="4517"/>
    </row>
    <row r="369" spans="2:17">
      <c r="B369" s="4477"/>
      <c r="C369" s="4477"/>
      <c r="D369" s="4477"/>
      <c r="E369" s="4477"/>
      <c r="F369" s="4477"/>
      <c r="G369" s="4477"/>
      <c r="H369" s="4477"/>
      <c r="I369" s="4477"/>
      <c r="J369" s="4477"/>
      <c r="K369" s="4477"/>
      <c r="L369" s="4477"/>
      <c r="M369" s="4477"/>
      <c r="N369" s="4477"/>
      <c r="O369" s="4501"/>
      <c r="P369" s="4517"/>
      <c r="Q369" s="4517"/>
    </row>
    <row r="370" spans="2:17">
      <c r="B370" s="4477"/>
      <c r="C370" s="4477"/>
      <c r="D370" s="4477"/>
      <c r="E370" s="4477"/>
      <c r="F370" s="4477"/>
      <c r="G370" s="4477"/>
      <c r="H370" s="4477"/>
      <c r="I370" s="4477"/>
      <c r="J370" s="4477"/>
      <c r="K370" s="4477"/>
      <c r="L370" s="4477"/>
      <c r="M370" s="4477"/>
      <c r="N370" s="4477"/>
      <c r="O370" s="4501"/>
      <c r="P370" s="4517"/>
      <c r="Q370" s="4517"/>
    </row>
    <row r="371" spans="2:17">
      <c r="B371" s="4477"/>
      <c r="C371" s="4477"/>
      <c r="D371" s="4477"/>
      <c r="E371" s="4477"/>
      <c r="F371" s="4477"/>
      <c r="G371" s="4477"/>
      <c r="H371" s="4477"/>
      <c r="I371" s="4477"/>
      <c r="J371" s="4477"/>
      <c r="K371" s="4477"/>
      <c r="L371" s="4477"/>
      <c r="M371" s="4477"/>
      <c r="N371" s="4477"/>
      <c r="O371" s="4501"/>
      <c r="P371" s="4517"/>
      <c r="Q371" s="4517"/>
    </row>
    <row r="372" spans="2:17">
      <c r="B372" s="4477"/>
      <c r="C372" s="4477"/>
      <c r="D372" s="4477"/>
      <c r="E372" s="4477"/>
      <c r="F372" s="4477"/>
      <c r="G372" s="4477"/>
      <c r="H372" s="4477"/>
      <c r="I372" s="4477"/>
      <c r="J372" s="4477"/>
      <c r="K372" s="4477"/>
      <c r="L372" s="4477"/>
      <c r="M372" s="4477"/>
      <c r="N372" s="4477"/>
      <c r="O372" s="4501"/>
      <c r="P372" s="4517"/>
      <c r="Q372" s="4517"/>
    </row>
    <row r="373" spans="2:17">
      <c r="B373" s="4477"/>
      <c r="C373" s="4477"/>
      <c r="D373" s="4477"/>
      <c r="E373" s="4477"/>
      <c r="F373" s="4477"/>
      <c r="G373" s="4477"/>
      <c r="H373" s="4477"/>
      <c r="I373" s="4477"/>
      <c r="J373" s="4477"/>
      <c r="K373" s="4477"/>
      <c r="L373" s="4477"/>
      <c r="M373" s="4477"/>
      <c r="N373" s="4477"/>
      <c r="O373" s="4501"/>
      <c r="P373" s="4517"/>
      <c r="Q373" s="4517"/>
    </row>
    <row r="374" spans="2:17">
      <c r="B374" s="4477"/>
      <c r="C374" s="4477"/>
      <c r="D374" s="4477"/>
      <c r="E374" s="4477"/>
      <c r="F374" s="4477"/>
      <c r="G374" s="4477"/>
      <c r="H374" s="4477"/>
      <c r="I374" s="4477"/>
      <c r="J374" s="4477"/>
      <c r="K374" s="4477"/>
      <c r="L374" s="4477"/>
      <c r="M374" s="4477"/>
      <c r="N374" s="4477"/>
      <c r="O374" s="4501"/>
      <c r="P374" s="4517"/>
      <c r="Q374" s="4517"/>
    </row>
    <row r="375" spans="2:17">
      <c r="B375" s="4477"/>
      <c r="C375" s="4477"/>
      <c r="D375" s="4477"/>
      <c r="E375" s="4477"/>
      <c r="F375" s="4477"/>
      <c r="G375" s="4477"/>
      <c r="H375" s="4477"/>
      <c r="I375" s="4477"/>
      <c r="J375" s="4477"/>
      <c r="K375" s="4477"/>
      <c r="L375" s="4477"/>
      <c r="M375" s="4477"/>
      <c r="N375" s="4477"/>
      <c r="O375" s="4501"/>
      <c r="P375" s="4517"/>
      <c r="Q375" s="4517"/>
    </row>
    <row r="376" spans="2:17">
      <c r="B376" s="4477"/>
      <c r="C376" s="4477"/>
      <c r="D376" s="4477"/>
      <c r="E376" s="4477"/>
      <c r="F376" s="4477"/>
      <c r="G376" s="4477"/>
      <c r="H376" s="4477"/>
      <c r="I376" s="4477"/>
      <c r="J376" s="4477"/>
      <c r="K376" s="4477"/>
      <c r="L376" s="4477"/>
      <c r="M376" s="4477"/>
      <c r="N376" s="4477"/>
      <c r="O376" s="4501"/>
      <c r="P376" s="4517"/>
      <c r="Q376" s="4517"/>
    </row>
    <row r="377" spans="2:17">
      <c r="B377" s="4477"/>
      <c r="C377" s="4477"/>
      <c r="D377" s="4477"/>
      <c r="E377" s="4477"/>
      <c r="F377" s="4477"/>
      <c r="G377" s="4477"/>
      <c r="H377" s="4477"/>
      <c r="I377" s="4477"/>
      <c r="J377" s="4477"/>
      <c r="K377" s="4477"/>
      <c r="L377" s="4477"/>
      <c r="M377" s="4477"/>
      <c r="N377" s="4477"/>
      <c r="O377" s="4501"/>
      <c r="P377" s="4517"/>
      <c r="Q377" s="4517"/>
    </row>
    <row r="378" spans="2:17">
      <c r="B378" s="4477"/>
      <c r="C378" s="4477"/>
      <c r="D378" s="4477"/>
      <c r="E378" s="4477"/>
      <c r="F378" s="4477"/>
      <c r="G378" s="4477"/>
      <c r="H378" s="4477"/>
      <c r="I378" s="4477"/>
      <c r="J378" s="4477"/>
      <c r="K378" s="4477"/>
      <c r="L378" s="4477"/>
      <c r="M378" s="4477"/>
      <c r="N378" s="4477"/>
      <c r="O378" s="4501"/>
      <c r="P378" s="4517"/>
      <c r="Q378" s="4517"/>
    </row>
    <row r="379" spans="2:17">
      <c r="B379" s="4477"/>
      <c r="C379" s="4477"/>
      <c r="D379" s="4477"/>
      <c r="E379" s="4477"/>
      <c r="F379" s="4477"/>
      <c r="G379" s="4477"/>
      <c r="H379" s="4477"/>
      <c r="I379" s="4477"/>
      <c r="J379" s="4477"/>
      <c r="K379" s="4477"/>
      <c r="L379" s="4477"/>
      <c r="M379" s="4477"/>
      <c r="N379" s="4477"/>
      <c r="O379" s="4501"/>
      <c r="P379" s="4517"/>
      <c r="Q379" s="4517"/>
    </row>
    <row r="380" spans="2:17">
      <c r="B380" s="4477"/>
      <c r="C380" s="4477"/>
      <c r="D380" s="4477"/>
      <c r="E380" s="4477"/>
      <c r="F380" s="4477"/>
      <c r="G380" s="4477"/>
      <c r="H380" s="4477"/>
      <c r="I380" s="4477"/>
      <c r="J380" s="4477"/>
      <c r="K380" s="4477"/>
      <c r="L380" s="4477"/>
      <c r="M380" s="4477"/>
      <c r="N380" s="4477"/>
      <c r="O380" s="4501"/>
      <c r="P380" s="4517"/>
      <c r="Q380" s="4517"/>
    </row>
    <row r="381" spans="2:17">
      <c r="B381" s="4477"/>
      <c r="C381" s="4477"/>
      <c r="D381" s="4477"/>
      <c r="E381" s="4477"/>
      <c r="F381" s="4477"/>
      <c r="G381" s="4477"/>
      <c r="H381" s="4477"/>
      <c r="I381" s="4477"/>
      <c r="J381" s="4477"/>
      <c r="K381" s="4477"/>
      <c r="L381" s="4477"/>
      <c r="M381" s="4477"/>
      <c r="N381" s="4477"/>
      <c r="O381" s="4501"/>
      <c r="P381" s="4517"/>
      <c r="Q381" s="4517"/>
    </row>
    <row r="382" spans="2:17">
      <c r="B382" s="4477"/>
      <c r="C382" s="4477"/>
      <c r="D382" s="4477"/>
      <c r="E382" s="4477"/>
      <c r="F382" s="4477"/>
      <c r="G382" s="4477"/>
      <c r="H382" s="4477"/>
      <c r="I382" s="4477"/>
      <c r="J382" s="4477"/>
      <c r="K382" s="4477"/>
      <c r="L382" s="4477"/>
      <c r="M382" s="4477"/>
      <c r="N382" s="4477"/>
      <c r="O382" s="4501"/>
      <c r="P382" s="4517"/>
      <c r="Q382" s="4517"/>
    </row>
    <row r="383" spans="2:17">
      <c r="B383" s="4477"/>
      <c r="C383" s="4477"/>
      <c r="D383" s="4477"/>
      <c r="E383" s="4477"/>
      <c r="F383" s="4477"/>
      <c r="G383" s="4477"/>
      <c r="H383" s="4477"/>
      <c r="I383" s="4477"/>
      <c r="J383" s="4477"/>
      <c r="K383" s="4477"/>
      <c r="L383" s="4477"/>
      <c r="M383" s="4477"/>
      <c r="N383" s="4477"/>
      <c r="O383" s="4501"/>
      <c r="P383" s="4517"/>
      <c r="Q383" s="4517"/>
    </row>
    <row r="384" spans="2:17">
      <c r="B384" s="4477"/>
      <c r="C384" s="4477"/>
      <c r="D384" s="4477"/>
      <c r="E384" s="4477"/>
      <c r="F384" s="4477"/>
      <c r="G384" s="4477"/>
      <c r="H384" s="4477"/>
      <c r="I384" s="4477"/>
      <c r="J384" s="4477"/>
      <c r="K384" s="4477"/>
      <c r="L384" s="4477"/>
      <c r="M384" s="4477"/>
      <c r="N384" s="4477"/>
      <c r="O384" s="4501"/>
      <c r="P384" s="4517"/>
      <c r="Q384" s="4517"/>
    </row>
    <row r="385" spans="2:17">
      <c r="B385" s="4477"/>
      <c r="C385" s="4477"/>
      <c r="D385" s="4477"/>
      <c r="E385" s="4477"/>
      <c r="F385" s="4477"/>
      <c r="G385" s="4477"/>
      <c r="H385" s="4477"/>
      <c r="I385" s="4477"/>
      <c r="J385" s="4477"/>
      <c r="K385" s="4477"/>
      <c r="L385" s="4477"/>
      <c r="M385" s="4477"/>
      <c r="N385" s="4477"/>
      <c r="O385" s="4501"/>
      <c r="P385" s="4517"/>
      <c r="Q385" s="4517"/>
    </row>
    <row r="386" spans="2:17">
      <c r="B386" s="4477"/>
      <c r="C386" s="4477"/>
      <c r="D386" s="4477"/>
      <c r="E386" s="4477"/>
      <c r="F386" s="4477"/>
      <c r="G386" s="4477"/>
      <c r="H386" s="4477"/>
      <c r="I386" s="4477"/>
      <c r="J386" s="4477"/>
      <c r="K386" s="4477"/>
      <c r="L386" s="4477"/>
      <c r="M386" s="4477"/>
      <c r="N386" s="4477"/>
      <c r="O386" s="4501"/>
      <c r="P386" s="4517"/>
      <c r="Q386" s="4517"/>
    </row>
    <row r="387" spans="2:17">
      <c r="B387" s="4477"/>
      <c r="C387" s="4477"/>
      <c r="D387" s="4477"/>
      <c r="E387" s="4477"/>
      <c r="F387" s="4477"/>
      <c r="G387" s="4477"/>
      <c r="H387" s="4477"/>
      <c r="I387" s="4477"/>
      <c r="J387" s="4477"/>
      <c r="K387" s="4477"/>
      <c r="L387" s="4477"/>
      <c r="M387" s="4477"/>
      <c r="N387" s="4477"/>
      <c r="O387" s="4501"/>
      <c r="P387" s="4517"/>
      <c r="Q387" s="4517"/>
    </row>
    <row r="388" spans="2:17">
      <c r="B388" s="4477"/>
      <c r="C388" s="4477"/>
      <c r="D388" s="4477"/>
      <c r="E388" s="4477"/>
      <c r="F388" s="4477"/>
      <c r="G388" s="4477"/>
      <c r="H388" s="4477"/>
      <c r="I388" s="4477"/>
      <c r="J388" s="4477"/>
      <c r="K388" s="4477"/>
      <c r="L388" s="4477"/>
      <c r="M388" s="4477"/>
      <c r="N388" s="4477"/>
      <c r="O388" s="4501"/>
      <c r="P388" s="4517"/>
      <c r="Q388" s="4517"/>
    </row>
    <row r="389" spans="2:17">
      <c r="B389" s="4477"/>
      <c r="C389" s="4477"/>
      <c r="D389" s="4477"/>
      <c r="E389" s="4477"/>
      <c r="F389" s="4477"/>
      <c r="G389" s="4477"/>
      <c r="H389" s="4477"/>
      <c r="I389" s="4477"/>
      <c r="J389" s="4477"/>
      <c r="K389" s="4477"/>
      <c r="L389" s="4477"/>
      <c r="M389" s="4477"/>
      <c r="N389" s="4477"/>
      <c r="O389" s="4501"/>
      <c r="P389" s="4517"/>
      <c r="Q389" s="4517"/>
    </row>
    <row r="390" spans="2:17">
      <c r="B390" s="4477"/>
      <c r="C390" s="4477"/>
      <c r="D390" s="4477"/>
      <c r="E390" s="4477"/>
      <c r="F390" s="4477"/>
      <c r="G390" s="4477"/>
      <c r="H390" s="4477"/>
      <c r="I390" s="4477"/>
      <c r="J390" s="4477"/>
      <c r="K390" s="4477"/>
      <c r="L390" s="4477"/>
      <c r="M390" s="4477"/>
      <c r="N390" s="4477"/>
      <c r="O390" s="4501"/>
      <c r="P390" s="4517"/>
      <c r="Q390" s="4517"/>
    </row>
    <row r="391" spans="2:17">
      <c r="B391" s="4477"/>
      <c r="C391" s="4477"/>
      <c r="D391" s="4477"/>
      <c r="E391" s="4477"/>
      <c r="F391" s="4477"/>
      <c r="G391" s="4477"/>
      <c r="H391" s="4477"/>
      <c r="I391" s="4477"/>
      <c r="J391" s="4477"/>
      <c r="K391" s="4477"/>
      <c r="L391" s="4477"/>
      <c r="M391" s="4477"/>
      <c r="N391" s="4477"/>
      <c r="O391" s="4501"/>
      <c r="P391" s="4517"/>
      <c r="Q391" s="4517"/>
    </row>
    <row r="392" spans="2:17">
      <c r="B392" s="4477"/>
      <c r="C392" s="4477"/>
      <c r="D392" s="4477"/>
      <c r="E392" s="4477"/>
      <c r="F392" s="4477"/>
      <c r="G392" s="4477"/>
      <c r="H392" s="4477"/>
      <c r="I392" s="4477"/>
      <c r="J392" s="4477"/>
      <c r="K392" s="4477"/>
      <c r="L392" s="4477"/>
      <c r="M392" s="4477"/>
      <c r="N392" s="4477"/>
      <c r="O392" s="4501"/>
      <c r="P392" s="4517"/>
      <c r="Q392" s="4517"/>
    </row>
    <row r="393" spans="2:17">
      <c r="B393" s="4477"/>
      <c r="C393" s="4477"/>
      <c r="D393" s="4477"/>
      <c r="E393" s="4477"/>
      <c r="F393" s="4477"/>
      <c r="G393" s="4477"/>
      <c r="H393" s="4477"/>
      <c r="I393" s="4477"/>
      <c r="J393" s="4477"/>
      <c r="K393" s="4477"/>
      <c r="L393" s="4477"/>
      <c r="M393" s="4477"/>
      <c r="N393" s="4477"/>
      <c r="O393" s="4501"/>
      <c r="P393" s="4517"/>
      <c r="Q393" s="4517"/>
    </row>
    <row r="394" spans="2:17">
      <c r="B394" s="4477"/>
      <c r="C394" s="4477"/>
      <c r="D394" s="4477"/>
      <c r="E394" s="4477"/>
      <c r="F394" s="4477"/>
      <c r="G394" s="4477"/>
      <c r="H394" s="4477"/>
      <c r="I394" s="4477"/>
      <c r="J394" s="4477"/>
      <c r="K394" s="4477"/>
      <c r="L394" s="4477"/>
      <c r="M394" s="4477"/>
      <c r="N394" s="4477"/>
      <c r="O394" s="4501"/>
      <c r="P394" s="4517"/>
      <c r="Q394" s="4517"/>
    </row>
    <row r="395" spans="2:17">
      <c r="B395" s="4477"/>
      <c r="C395" s="4477"/>
      <c r="D395" s="4477"/>
      <c r="E395" s="4477"/>
      <c r="F395" s="4477"/>
      <c r="G395" s="4477"/>
      <c r="H395" s="4477"/>
      <c r="I395" s="4477"/>
      <c r="J395" s="4477"/>
      <c r="K395" s="4477"/>
      <c r="L395" s="4477"/>
      <c r="M395" s="4477"/>
      <c r="N395" s="4477"/>
      <c r="O395" s="4501"/>
      <c r="P395" s="4517"/>
      <c r="Q395" s="4517"/>
    </row>
    <row r="396" spans="2:17">
      <c r="B396" s="4477"/>
      <c r="C396" s="4477"/>
      <c r="D396" s="4477"/>
      <c r="E396" s="4477"/>
      <c r="F396" s="4477"/>
      <c r="G396" s="4477"/>
      <c r="H396" s="4477"/>
      <c r="I396" s="4477"/>
      <c r="J396" s="4477"/>
      <c r="K396" s="4477"/>
      <c r="L396" s="4477"/>
      <c r="M396" s="4477"/>
      <c r="N396" s="4477"/>
      <c r="O396" s="4501"/>
      <c r="P396" s="4517"/>
      <c r="Q396" s="4517"/>
    </row>
    <row r="397" spans="2:17">
      <c r="B397" s="4477"/>
      <c r="C397" s="4477"/>
      <c r="D397" s="4477"/>
      <c r="E397" s="4477"/>
      <c r="F397" s="4477"/>
      <c r="G397" s="4477"/>
      <c r="H397" s="4477"/>
      <c r="I397" s="4477"/>
      <c r="J397" s="4477"/>
      <c r="K397" s="4477"/>
      <c r="L397" s="4477"/>
      <c r="M397" s="4477"/>
      <c r="N397" s="4477"/>
      <c r="O397" s="4501"/>
      <c r="P397" s="4517"/>
      <c r="Q397" s="4517"/>
    </row>
    <row r="398" spans="2:17">
      <c r="B398" s="4477"/>
      <c r="C398" s="4477"/>
      <c r="D398" s="4477"/>
      <c r="E398" s="4477"/>
      <c r="F398" s="4477"/>
      <c r="G398" s="4477"/>
      <c r="H398" s="4477"/>
      <c r="I398" s="4477"/>
      <c r="J398" s="4477"/>
      <c r="K398" s="4477"/>
      <c r="L398" s="4477"/>
      <c r="M398" s="4477"/>
      <c r="N398" s="4477"/>
      <c r="O398" s="4501"/>
      <c r="P398" s="4517"/>
      <c r="Q398" s="4517"/>
    </row>
    <row r="399" spans="2:17">
      <c r="B399" s="4477"/>
      <c r="C399" s="4477"/>
      <c r="D399" s="4477"/>
      <c r="E399" s="4477"/>
      <c r="F399" s="4477"/>
      <c r="G399" s="4477"/>
      <c r="H399" s="4477"/>
      <c r="I399" s="4477"/>
      <c r="J399" s="4477"/>
      <c r="K399" s="4477"/>
      <c r="L399" s="4477"/>
      <c r="M399" s="4477"/>
      <c r="N399" s="4477"/>
      <c r="O399" s="4501"/>
      <c r="P399" s="4517"/>
      <c r="Q399" s="4517"/>
    </row>
    <row r="400" spans="2:17">
      <c r="B400" s="4477"/>
      <c r="C400" s="4477"/>
      <c r="D400" s="4477"/>
      <c r="E400" s="4477"/>
      <c r="F400" s="4477"/>
      <c r="G400" s="4477"/>
      <c r="H400" s="4477"/>
      <c r="I400" s="4477"/>
      <c r="J400" s="4477"/>
      <c r="K400" s="4477"/>
      <c r="L400" s="4477"/>
      <c r="M400" s="4477"/>
      <c r="N400" s="4477"/>
      <c r="O400" s="4501"/>
      <c r="P400" s="4517"/>
      <c r="Q400" s="4517"/>
    </row>
    <row r="401" spans="1:17" ht="13.5" thickBot="1">
      <c r="A401" s="4505"/>
      <c r="B401" s="4477"/>
      <c r="C401" s="4477"/>
      <c r="D401" s="4477"/>
      <c r="E401" s="4477"/>
      <c r="F401" s="4477"/>
      <c r="G401" s="4477"/>
      <c r="H401" s="4477"/>
      <c r="I401" s="4477"/>
      <c r="J401" s="4477"/>
      <c r="K401" s="4477"/>
      <c r="L401" s="4477"/>
      <c r="M401" s="4477"/>
      <c r="N401" s="4477"/>
      <c r="O401" s="4501"/>
      <c r="P401" s="4517"/>
      <c r="Q401" s="4517"/>
    </row>
    <row r="402" spans="1:17" ht="13.5" thickBot="1">
      <c r="A402" s="4479"/>
      <c r="B402" s="4477"/>
      <c r="C402" s="4477"/>
      <c r="D402" s="4477"/>
      <c r="E402" s="4477"/>
      <c r="F402" s="4477"/>
      <c r="G402" s="4477"/>
      <c r="H402" s="4477"/>
      <c r="I402" s="4477"/>
      <c r="J402" s="4477"/>
      <c r="K402" s="4477"/>
      <c r="L402" s="4477"/>
      <c r="M402" s="4477"/>
      <c r="N402" s="4477"/>
      <c r="O402" s="4501"/>
      <c r="P402" s="4517"/>
      <c r="Q402" s="4517"/>
    </row>
    <row r="403" spans="1:17" ht="13.5" thickBot="1">
      <c r="A403" s="4479"/>
      <c r="B403" s="4477"/>
      <c r="C403" s="4477"/>
      <c r="D403" s="4477"/>
      <c r="E403" s="4477"/>
      <c r="F403" s="4477"/>
      <c r="G403" s="4477"/>
      <c r="H403" s="4477"/>
      <c r="I403" s="4477"/>
      <c r="J403" s="4477"/>
      <c r="K403" s="4477"/>
      <c r="L403" s="4477"/>
      <c r="M403" s="4477"/>
      <c r="N403" s="4477"/>
      <c r="O403" s="4501"/>
      <c r="P403" s="4517"/>
      <c r="Q403" s="4517"/>
    </row>
    <row r="404" spans="1:17" ht="13.5" thickBot="1">
      <c r="A404" s="4479"/>
      <c r="B404" s="4477"/>
      <c r="C404" s="4477"/>
      <c r="D404" s="4477"/>
      <c r="E404" s="4477"/>
      <c r="F404" s="4477"/>
      <c r="G404" s="4477"/>
      <c r="H404" s="4477"/>
      <c r="I404" s="4477"/>
      <c r="J404" s="4477"/>
      <c r="K404" s="4477"/>
      <c r="L404" s="4477"/>
      <c r="M404" s="4477"/>
      <c r="N404" s="4477"/>
      <c r="O404" s="4501"/>
      <c r="P404" s="4517"/>
      <c r="Q404" s="4517"/>
    </row>
    <row r="405" spans="1:17" ht="13.5" thickBot="1">
      <c r="A405" s="4479"/>
      <c r="B405" s="4477"/>
      <c r="C405" s="4477"/>
      <c r="D405" s="4477"/>
      <c r="E405" s="4477"/>
      <c r="F405" s="4477"/>
      <c r="G405" s="4477"/>
      <c r="H405" s="4477"/>
      <c r="I405" s="4477"/>
      <c r="J405" s="4477"/>
      <c r="K405" s="4477"/>
      <c r="L405" s="4477"/>
      <c r="M405" s="4477"/>
      <c r="N405" s="4477"/>
      <c r="O405" s="4501"/>
      <c r="P405" s="4517"/>
      <c r="Q405" s="4517"/>
    </row>
    <row r="406" spans="1:17" ht="13.5" thickBot="1">
      <c r="A406" s="4479"/>
      <c r="B406" s="4477"/>
      <c r="C406" s="4477"/>
      <c r="D406" s="4477"/>
      <c r="E406" s="4477"/>
      <c r="F406" s="4477"/>
      <c r="G406" s="4477"/>
      <c r="H406" s="4477"/>
      <c r="I406" s="4477"/>
      <c r="J406" s="4477"/>
      <c r="K406" s="4477"/>
      <c r="L406" s="4477"/>
      <c r="M406" s="4477"/>
      <c r="N406" s="4477"/>
      <c r="O406" s="4501"/>
      <c r="P406" s="4517"/>
      <c r="Q406" s="4517"/>
    </row>
    <row r="407" spans="1:17" ht="13.5" thickBot="1">
      <c r="A407" s="4479"/>
      <c r="B407" s="4477"/>
      <c r="C407" s="4477"/>
      <c r="D407" s="4477"/>
      <c r="E407" s="4477"/>
      <c r="F407" s="4477"/>
      <c r="G407" s="4477"/>
      <c r="H407" s="4477"/>
      <c r="I407" s="4477"/>
      <c r="J407" s="4477"/>
      <c r="K407" s="4477"/>
      <c r="L407" s="4477"/>
      <c r="M407" s="4477"/>
      <c r="N407" s="4506"/>
      <c r="O407" s="4507"/>
      <c r="P407" s="4517"/>
      <c r="Q407" s="4517"/>
    </row>
    <row r="408" spans="1:17" ht="13.5" thickBot="1">
      <c r="A408" s="4479"/>
      <c r="B408" s="4477"/>
      <c r="C408" s="4506"/>
      <c r="D408" s="4477"/>
      <c r="E408" s="4477"/>
      <c r="F408" s="4477"/>
      <c r="G408" s="4477"/>
      <c r="H408" s="4477"/>
      <c r="I408" s="4477"/>
      <c r="J408" s="4477"/>
      <c r="K408" s="4477"/>
      <c r="L408" s="4477"/>
      <c r="M408" s="4477"/>
      <c r="N408" s="4510"/>
      <c r="O408" s="4511"/>
      <c r="P408" s="4517"/>
      <c r="Q408" s="4517"/>
    </row>
    <row r="409" spans="1:17" ht="13.5" thickBot="1">
      <c r="A409" s="4479"/>
      <c r="B409" s="4477"/>
      <c r="C409" s="4510"/>
      <c r="D409" s="4506"/>
      <c r="E409" s="4506"/>
      <c r="F409" s="4506"/>
      <c r="G409" s="4506"/>
      <c r="H409" s="4506"/>
      <c r="I409" s="4506"/>
      <c r="J409" s="4506"/>
      <c r="K409" s="4506"/>
      <c r="L409" s="4506"/>
      <c r="M409" s="4477"/>
      <c r="N409" s="4510"/>
      <c r="O409" s="4511"/>
      <c r="P409" s="4517"/>
      <c r="Q409" s="4517"/>
    </row>
    <row r="410" spans="1:17" ht="13.5" thickBot="1">
      <c r="A410" s="4479"/>
      <c r="B410" s="4477"/>
      <c r="C410" s="4508"/>
      <c r="D410" s="4508"/>
      <c r="E410" s="4508"/>
      <c r="F410" s="4508"/>
      <c r="G410" s="4508"/>
      <c r="H410" s="4508"/>
      <c r="I410" s="4508"/>
      <c r="J410" s="4508"/>
      <c r="K410" s="4508"/>
      <c r="L410" s="4508"/>
      <c r="M410" s="4477"/>
      <c r="N410" s="4508"/>
      <c r="O410" s="4511"/>
      <c r="P410" s="4517"/>
      <c r="Q410" s="4517"/>
    </row>
    <row r="411" spans="1:17" ht="13.5" thickBot="1">
      <c r="A411" s="4479"/>
      <c r="B411" s="4477"/>
      <c r="C411" s="4477"/>
      <c r="D411" s="4477"/>
      <c r="E411" s="4477"/>
      <c r="F411" s="4477"/>
      <c r="G411" s="4477"/>
      <c r="H411" s="4477"/>
      <c r="I411" s="4477"/>
      <c r="J411" s="4477"/>
      <c r="K411" s="4477"/>
      <c r="L411" s="4477"/>
      <c r="M411" s="4477"/>
      <c r="N411" s="4477"/>
      <c r="O411" s="4511"/>
      <c r="P411" s="4517"/>
      <c r="Q411" s="4517"/>
    </row>
    <row r="412" spans="1:17" ht="13.5" thickBot="1">
      <c r="A412" s="4479"/>
      <c r="B412" s="4477"/>
      <c r="C412" s="4477"/>
      <c r="D412" s="4477"/>
      <c r="E412" s="4477"/>
      <c r="F412" s="4477"/>
      <c r="G412" s="4477"/>
      <c r="H412" s="4477"/>
      <c r="I412" s="4477"/>
      <c r="J412" s="4477"/>
      <c r="K412" s="4477"/>
      <c r="L412" s="4477"/>
      <c r="M412" s="4477"/>
      <c r="N412" s="4477"/>
      <c r="O412" s="4511"/>
      <c r="P412" s="4517"/>
      <c r="Q412" s="4517"/>
    </row>
    <row r="413" spans="1:17" ht="13.5" thickBot="1">
      <c r="A413" s="4479"/>
      <c r="B413" s="4477"/>
      <c r="C413" s="4477"/>
      <c r="D413" s="4477"/>
      <c r="E413" s="4477"/>
      <c r="F413" s="4477"/>
      <c r="G413" s="4477"/>
      <c r="H413" s="4477"/>
      <c r="I413" s="4477"/>
      <c r="J413" s="4477"/>
      <c r="K413" s="4477"/>
      <c r="L413" s="4477"/>
      <c r="M413" s="4477"/>
      <c r="N413" s="4477"/>
      <c r="O413" s="4511"/>
      <c r="P413" s="4517"/>
      <c r="Q413" s="4517"/>
    </row>
    <row r="414" spans="1:17" ht="13.5" thickBot="1">
      <c r="A414" s="4479"/>
      <c r="B414" s="4477"/>
      <c r="C414" s="4477"/>
      <c r="D414" s="4477"/>
      <c r="E414" s="4477"/>
      <c r="F414" s="4477"/>
      <c r="G414" s="4477"/>
      <c r="H414" s="4477"/>
      <c r="I414" s="4477"/>
      <c r="J414" s="4477"/>
      <c r="K414" s="4477"/>
      <c r="L414" s="4477"/>
      <c r="M414" s="4477"/>
      <c r="N414" s="4477"/>
      <c r="O414" s="4511"/>
      <c r="P414" s="4517"/>
      <c r="Q414" s="4517"/>
    </row>
    <row r="415" spans="1:17" ht="13.5" thickBot="1">
      <c r="A415" s="4479"/>
      <c r="B415" s="4477"/>
      <c r="C415" s="4477"/>
      <c r="D415" s="4477"/>
      <c r="E415" s="4477"/>
      <c r="F415" s="4477"/>
      <c r="G415" s="4477"/>
      <c r="H415" s="4477"/>
      <c r="I415" s="4477"/>
      <c r="J415" s="4477"/>
      <c r="K415" s="4477"/>
      <c r="L415" s="4477"/>
      <c r="M415" s="4477"/>
      <c r="N415" s="4477"/>
      <c r="O415" s="4513"/>
      <c r="P415" s="4517"/>
      <c r="Q415" s="4517"/>
    </row>
    <row r="416" spans="1:17" ht="13.5" thickBot="1">
      <c r="A416" s="4479"/>
      <c r="B416" s="4477"/>
      <c r="C416" s="4477"/>
      <c r="D416" s="4477"/>
      <c r="E416" s="4477"/>
      <c r="F416" s="4477"/>
      <c r="G416" s="4477"/>
      <c r="H416" s="4477"/>
      <c r="I416" s="4477"/>
      <c r="J416" s="4477"/>
      <c r="K416" s="4477"/>
      <c r="L416" s="4477"/>
      <c r="M416" s="4477"/>
      <c r="N416" s="4477"/>
      <c r="O416" s="4501"/>
      <c r="P416" s="4517"/>
      <c r="Q416" s="4517"/>
    </row>
    <row r="417" spans="1:17" ht="13.5" thickBot="1">
      <c r="A417" s="4479"/>
      <c r="B417" s="4477"/>
      <c r="C417" s="4477"/>
      <c r="D417" s="4477"/>
      <c r="E417" s="4477"/>
      <c r="F417" s="4477"/>
      <c r="G417" s="4477"/>
      <c r="H417" s="4477"/>
      <c r="I417" s="4477"/>
      <c r="J417" s="4477"/>
      <c r="K417" s="4477"/>
      <c r="L417" s="4477"/>
      <c r="M417" s="4477"/>
      <c r="N417" s="4477"/>
      <c r="O417" s="4501"/>
      <c r="P417" s="4517"/>
      <c r="Q417" s="4517"/>
    </row>
    <row r="418" spans="1:17">
      <c r="A418" s="4512"/>
      <c r="B418" s="4477"/>
      <c r="C418" s="4477"/>
      <c r="D418" s="4477"/>
      <c r="E418" s="4477"/>
      <c r="F418" s="4477"/>
      <c r="G418" s="4477"/>
      <c r="H418" s="4477"/>
      <c r="I418" s="4477"/>
      <c r="J418" s="4477"/>
      <c r="K418" s="4477"/>
      <c r="L418" s="4477"/>
      <c r="M418" s="4477"/>
      <c r="N418" s="4477"/>
      <c r="O418" s="4501"/>
      <c r="P418" s="4517"/>
      <c r="Q418" s="4517"/>
    </row>
    <row r="419" spans="1:17">
      <c r="B419" s="4477"/>
      <c r="C419" s="4477"/>
      <c r="D419" s="4477"/>
      <c r="E419" s="4477"/>
      <c r="F419" s="4477"/>
      <c r="G419" s="4477"/>
      <c r="H419" s="4477"/>
      <c r="I419" s="4477"/>
      <c r="J419" s="4477"/>
      <c r="K419" s="4477"/>
      <c r="L419" s="4477"/>
      <c r="M419" s="4477"/>
      <c r="N419" s="4477"/>
      <c r="O419" s="4501"/>
      <c r="P419" s="4517"/>
      <c r="Q419" s="4517"/>
    </row>
    <row r="420" spans="1:17">
      <c r="B420" s="4477"/>
      <c r="C420" s="4477"/>
      <c r="D420" s="4477"/>
      <c r="E420" s="4477"/>
      <c r="F420" s="4477"/>
      <c r="G420" s="4477"/>
      <c r="H420" s="4477"/>
      <c r="I420" s="4477"/>
      <c r="J420" s="4477"/>
      <c r="K420" s="4477"/>
      <c r="L420" s="4477"/>
      <c r="M420" s="4477"/>
      <c r="N420" s="4477"/>
      <c r="O420" s="4501"/>
      <c r="P420" s="4517"/>
      <c r="Q420" s="4517"/>
    </row>
    <row r="421" spans="1:17">
      <c r="B421" s="4477"/>
      <c r="C421" s="4477"/>
      <c r="D421" s="4477"/>
      <c r="E421" s="4477"/>
      <c r="F421" s="4477"/>
      <c r="G421" s="4477"/>
      <c r="H421" s="4477"/>
      <c r="I421" s="4477"/>
      <c r="J421" s="4477"/>
      <c r="K421" s="4477"/>
      <c r="L421" s="4477"/>
      <c r="M421" s="4477"/>
      <c r="N421" s="4477"/>
      <c r="O421" s="4501"/>
      <c r="P421" s="4517"/>
      <c r="Q421" s="4517"/>
    </row>
    <row r="422" spans="1:17">
      <c r="B422" s="4477"/>
      <c r="C422" s="4477"/>
      <c r="D422" s="4477"/>
      <c r="E422" s="4477"/>
      <c r="F422" s="4477"/>
      <c r="G422" s="4477"/>
      <c r="H422" s="4477"/>
      <c r="I422" s="4477"/>
      <c r="J422" s="4477"/>
      <c r="K422" s="4477"/>
      <c r="L422" s="4477"/>
      <c r="M422" s="4477"/>
      <c r="N422" s="4477"/>
      <c r="O422" s="4501"/>
      <c r="P422" s="4517"/>
      <c r="Q422" s="4517"/>
    </row>
    <row r="423" spans="1:17">
      <c r="B423" s="4477"/>
      <c r="C423" s="4477"/>
      <c r="D423" s="4477"/>
      <c r="E423" s="4477"/>
      <c r="F423" s="4477"/>
      <c r="G423" s="4477"/>
      <c r="H423" s="4477"/>
      <c r="I423" s="4477"/>
      <c r="J423" s="4477"/>
      <c r="K423" s="4477"/>
      <c r="L423" s="4477"/>
      <c r="M423" s="4477"/>
      <c r="N423" s="4477"/>
      <c r="O423" s="4501"/>
      <c r="P423" s="4517"/>
      <c r="Q423" s="4517"/>
    </row>
    <row r="424" spans="1:17">
      <c r="B424" s="4477"/>
      <c r="C424" s="4477"/>
      <c r="D424" s="4477"/>
      <c r="E424" s="4477"/>
      <c r="F424" s="4477"/>
      <c r="G424" s="4477"/>
      <c r="H424" s="4477"/>
      <c r="I424" s="4477"/>
      <c r="J424" s="4477"/>
      <c r="K424" s="4477"/>
      <c r="L424" s="4477"/>
      <c r="M424" s="4477"/>
      <c r="N424" s="4477"/>
      <c r="O424" s="4501"/>
      <c r="P424" s="4517"/>
      <c r="Q424" s="4517"/>
    </row>
    <row r="425" spans="1:17">
      <c r="B425" s="4477"/>
      <c r="C425" s="4477"/>
      <c r="D425" s="4477"/>
      <c r="E425" s="4477"/>
      <c r="F425" s="4477"/>
      <c r="G425" s="4477"/>
      <c r="H425" s="4477"/>
      <c r="I425" s="4477"/>
      <c r="J425" s="4477"/>
      <c r="K425" s="4477"/>
      <c r="L425" s="4477"/>
      <c r="M425" s="4477"/>
      <c r="N425" s="4477"/>
      <c r="O425" s="4501"/>
      <c r="P425" s="4517"/>
      <c r="Q425" s="4517"/>
    </row>
    <row r="426" spans="1:17">
      <c r="B426" s="4477"/>
      <c r="C426" s="4477"/>
      <c r="D426" s="4477"/>
      <c r="E426" s="4477"/>
      <c r="F426" s="4477"/>
      <c r="G426" s="4477"/>
      <c r="H426" s="4477"/>
      <c r="I426" s="4477"/>
      <c r="J426" s="4477"/>
      <c r="K426" s="4477"/>
      <c r="L426" s="4477"/>
      <c r="M426" s="4477"/>
      <c r="N426" s="4477"/>
      <c r="O426" s="4501"/>
      <c r="P426" s="4517"/>
      <c r="Q426" s="4517"/>
    </row>
    <row r="427" spans="1:17">
      <c r="B427" s="4477"/>
      <c r="C427" s="4477"/>
      <c r="D427" s="4477"/>
      <c r="E427" s="4477"/>
      <c r="F427" s="4477"/>
      <c r="G427" s="4477"/>
      <c r="H427" s="4477"/>
      <c r="I427" s="4477"/>
      <c r="J427" s="4477"/>
      <c r="K427" s="4477"/>
      <c r="L427" s="4477"/>
      <c r="M427" s="4477"/>
      <c r="N427" s="4477"/>
      <c r="O427" s="4501"/>
      <c r="P427" s="4517"/>
      <c r="Q427" s="4517"/>
    </row>
    <row r="428" spans="1:17">
      <c r="B428" s="4477"/>
      <c r="C428" s="4477"/>
      <c r="D428" s="4477"/>
      <c r="E428" s="4477"/>
      <c r="F428" s="4477"/>
      <c r="G428" s="4477"/>
      <c r="H428" s="4477"/>
      <c r="I428" s="4477"/>
      <c r="J428" s="4477"/>
      <c r="K428" s="4477"/>
      <c r="L428" s="4477"/>
      <c r="M428" s="4477"/>
      <c r="N428" s="4477"/>
      <c r="O428" s="4501"/>
      <c r="P428" s="4517"/>
      <c r="Q428" s="4517"/>
    </row>
    <row r="429" spans="1:17">
      <c r="B429" s="4477"/>
      <c r="C429" s="4477"/>
      <c r="D429" s="4477"/>
      <c r="E429" s="4477"/>
      <c r="F429" s="4477"/>
      <c r="G429" s="4477"/>
      <c r="H429" s="4477"/>
      <c r="I429" s="4477"/>
      <c r="J429" s="4477"/>
      <c r="K429" s="4477"/>
      <c r="L429" s="4477"/>
      <c r="M429" s="4477"/>
      <c r="N429" s="4477"/>
      <c r="O429" s="4501"/>
      <c r="P429" s="4517"/>
      <c r="Q429" s="4517"/>
    </row>
    <row r="430" spans="1:17">
      <c r="B430" s="4477"/>
      <c r="C430" s="4477"/>
      <c r="D430" s="4477"/>
      <c r="E430" s="4477"/>
      <c r="F430" s="4477"/>
      <c r="G430" s="4477"/>
      <c r="H430" s="4477"/>
      <c r="I430" s="4477"/>
      <c r="J430" s="4477"/>
      <c r="K430" s="4477"/>
      <c r="L430" s="4477"/>
      <c r="M430" s="4477"/>
      <c r="N430" s="4477"/>
      <c r="O430" s="4501"/>
      <c r="P430" s="4517"/>
      <c r="Q430" s="4517"/>
    </row>
    <row r="431" spans="1:17">
      <c r="B431" s="4477"/>
      <c r="C431" s="4477"/>
      <c r="D431" s="4477"/>
      <c r="E431" s="4477"/>
      <c r="F431" s="4477"/>
      <c r="G431" s="4477"/>
      <c r="H431" s="4477"/>
      <c r="I431" s="4477"/>
      <c r="J431" s="4477"/>
      <c r="K431" s="4477"/>
      <c r="L431" s="4477"/>
      <c r="M431" s="4477"/>
      <c r="N431" s="4477"/>
      <c r="O431" s="4501"/>
      <c r="P431" s="4517"/>
      <c r="Q431" s="4517"/>
    </row>
    <row r="432" spans="1:17">
      <c r="B432" s="4477"/>
      <c r="C432" s="4477"/>
      <c r="D432" s="4477"/>
      <c r="E432" s="4477"/>
      <c r="F432" s="4477"/>
      <c r="G432" s="4477"/>
      <c r="H432" s="4477"/>
      <c r="I432" s="4477"/>
      <c r="J432" s="4477"/>
      <c r="K432" s="4477"/>
      <c r="L432" s="4477"/>
      <c r="M432" s="4477"/>
      <c r="N432" s="4477"/>
      <c r="O432" s="4501"/>
      <c r="P432" s="4517"/>
      <c r="Q432" s="4517"/>
    </row>
    <row r="433" spans="2:17">
      <c r="B433" s="4477"/>
      <c r="C433" s="4477"/>
      <c r="D433" s="4477"/>
      <c r="E433" s="4477"/>
      <c r="F433" s="4477"/>
      <c r="G433" s="4477"/>
      <c r="H433" s="4477"/>
      <c r="I433" s="4477"/>
      <c r="J433" s="4477"/>
      <c r="K433" s="4477"/>
      <c r="L433" s="4477"/>
      <c r="M433" s="4477"/>
      <c r="N433" s="4477"/>
      <c r="O433" s="4501"/>
      <c r="P433" s="4517"/>
      <c r="Q433" s="4517"/>
    </row>
    <row r="434" spans="2:17">
      <c r="B434" s="4477"/>
      <c r="C434" s="4477"/>
      <c r="D434" s="4477"/>
      <c r="E434" s="4477"/>
      <c r="F434" s="4477"/>
      <c r="G434" s="4477"/>
      <c r="H434" s="4477"/>
      <c r="I434" s="4477"/>
      <c r="J434" s="4477"/>
      <c r="K434" s="4477"/>
      <c r="L434" s="4477"/>
      <c r="M434" s="4477"/>
      <c r="N434" s="4477"/>
      <c r="O434" s="4501"/>
      <c r="P434" s="4517"/>
      <c r="Q434" s="4517"/>
    </row>
    <row r="435" spans="2:17">
      <c r="B435" s="4477"/>
      <c r="C435" s="4477"/>
      <c r="D435" s="4477"/>
      <c r="E435" s="4477"/>
      <c r="F435" s="4477"/>
      <c r="G435" s="4477"/>
      <c r="H435" s="4477"/>
      <c r="I435" s="4477"/>
      <c r="J435" s="4477"/>
      <c r="K435" s="4477"/>
      <c r="L435" s="4477"/>
      <c r="M435" s="4477"/>
      <c r="N435" s="4477"/>
      <c r="O435" s="4501"/>
      <c r="P435" s="4517"/>
      <c r="Q435" s="4517"/>
    </row>
    <row r="436" spans="2:17">
      <c r="B436" s="4477"/>
      <c r="C436" s="4477"/>
      <c r="D436" s="4477"/>
      <c r="E436" s="4477"/>
      <c r="F436" s="4477"/>
      <c r="G436" s="4477"/>
      <c r="H436" s="4477"/>
      <c r="I436" s="4477"/>
      <c r="J436" s="4477"/>
      <c r="K436" s="4477"/>
      <c r="L436" s="4477"/>
      <c r="M436" s="4477"/>
      <c r="N436" s="4477"/>
      <c r="O436" s="4501"/>
      <c r="P436" s="4517"/>
      <c r="Q436" s="4517"/>
    </row>
    <row r="437" spans="2:17">
      <c r="B437" s="4477"/>
      <c r="C437" s="4477"/>
      <c r="D437" s="4477"/>
      <c r="E437" s="4477"/>
      <c r="F437" s="4477"/>
      <c r="G437" s="4477"/>
      <c r="H437" s="4477"/>
      <c r="I437" s="4477"/>
      <c r="J437" s="4477"/>
      <c r="K437" s="4477"/>
      <c r="L437" s="4477"/>
      <c r="M437" s="4477"/>
      <c r="N437" s="4477"/>
      <c r="O437" s="4501"/>
      <c r="P437" s="4517"/>
      <c r="Q437" s="4517"/>
    </row>
    <row r="438" spans="2:17">
      <c r="B438" s="4477"/>
      <c r="C438" s="4477"/>
      <c r="D438" s="4477"/>
      <c r="E438" s="4477"/>
      <c r="F438" s="4477"/>
      <c r="G438" s="4477"/>
      <c r="H438" s="4477"/>
      <c r="I438" s="4477"/>
      <c r="J438" s="4477"/>
      <c r="K438" s="4477"/>
      <c r="L438" s="4477"/>
      <c r="M438" s="4477"/>
      <c r="N438" s="4477"/>
      <c r="O438" s="4501"/>
      <c r="P438" s="4517"/>
      <c r="Q438" s="4517"/>
    </row>
    <row r="439" spans="2:17">
      <c r="B439" s="4477"/>
      <c r="C439" s="4477"/>
      <c r="D439" s="4477"/>
      <c r="E439" s="4477"/>
      <c r="F439" s="4477"/>
      <c r="G439" s="4477"/>
      <c r="H439" s="4477"/>
      <c r="I439" s="4477"/>
      <c r="J439" s="4477"/>
      <c r="K439" s="4477"/>
      <c r="L439" s="4477"/>
      <c r="M439" s="4477"/>
      <c r="N439" s="4477"/>
      <c r="O439" s="4501"/>
      <c r="P439" s="4517"/>
      <c r="Q439" s="4517"/>
    </row>
    <row r="440" spans="2:17">
      <c r="B440" s="4477"/>
      <c r="C440" s="4477"/>
      <c r="D440" s="4477"/>
      <c r="E440" s="4477"/>
      <c r="F440" s="4477"/>
      <c r="G440" s="4477"/>
      <c r="H440" s="4477"/>
      <c r="I440" s="4477"/>
      <c r="J440" s="4477"/>
      <c r="K440" s="4477"/>
      <c r="L440" s="4477"/>
      <c r="M440" s="4477"/>
      <c r="N440" s="4477"/>
      <c r="O440" s="4501"/>
      <c r="P440" s="4517"/>
      <c r="Q440" s="4517"/>
    </row>
    <row r="441" spans="2:17">
      <c r="B441" s="4477"/>
      <c r="C441" s="4477"/>
      <c r="D441" s="4477"/>
      <c r="E441" s="4477"/>
      <c r="F441" s="4477"/>
      <c r="G441" s="4477"/>
      <c r="H441" s="4477"/>
      <c r="I441" s="4477"/>
      <c r="J441" s="4477"/>
      <c r="K441" s="4477"/>
      <c r="L441" s="4477"/>
      <c r="M441" s="4477"/>
      <c r="N441" s="4477"/>
      <c r="O441" s="4501"/>
      <c r="P441" s="4517"/>
      <c r="Q441" s="4517"/>
    </row>
    <row r="442" spans="2:17">
      <c r="B442" s="4477"/>
      <c r="C442" s="4477"/>
      <c r="D442" s="4477"/>
      <c r="E442" s="4477"/>
      <c r="F442" s="4477"/>
      <c r="G442" s="4477"/>
      <c r="H442" s="4477"/>
      <c r="I442" s="4477"/>
      <c r="J442" s="4477"/>
      <c r="K442" s="4477"/>
      <c r="L442" s="4477"/>
      <c r="M442" s="4477"/>
      <c r="N442" s="4477"/>
      <c r="O442" s="4501"/>
      <c r="P442" s="4517"/>
      <c r="Q442" s="4517"/>
    </row>
    <row r="443" spans="2:17">
      <c r="B443" s="4477"/>
      <c r="C443" s="4477"/>
      <c r="D443" s="4477"/>
      <c r="E443" s="4477"/>
      <c r="F443" s="4477"/>
      <c r="G443" s="4477"/>
      <c r="H443" s="4477"/>
      <c r="I443" s="4477"/>
      <c r="J443" s="4477"/>
      <c r="K443" s="4477"/>
      <c r="L443" s="4477"/>
      <c r="M443" s="4477"/>
      <c r="N443" s="4477"/>
      <c r="O443" s="4501"/>
      <c r="P443" s="4517"/>
      <c r="Q443" s="4517"/>
    </row>
    <row r="444" spans="2:17">
      <c r="B444" s="4477"/>
      <c r="C444" s="4477"/>
      <c r="D444" s="4477"/>
      <c r="E444" s="4477"/>
      <c r="F444" s="4477"/>
      <c r="G444" s="4477"/>
      <c r="H444" s="4477"/>
      <c r="I444" s="4477"/>
      <c r="J444" s="4477"/>
      <c r="K444" s="4477"/>
      <c r="L444" s="4477"/>
      <c r="M444" s="4477"/>
      <c r="N444" s="4477"/>
      <c r="O444" s="4501"/>
      <c r="P444" s="4517"/>
      <c r="Q444" s="4517"/>
    </row>
    <row r="445" spans="2:17">
      <c r="B445" s="4477"/>
      <c r="C445" s="4477"/>
      <c r="D445" s="4477"/>
      <c r="E445" s="4477"/>
      <c r="F445" s="4477"/>
      <c r="G445" s="4477"/>
      <c r="H445" s="4477"/>
      <c r="I445" s="4477"/>
      <c r="J445" s="4477"/>
      <c r="K445" s="4477"/>
      <c r="L445" s="4477"/>
      <c r="M445" s="4477"/>
      <c r="N445" s="4477"/>
      <c r="O445" s="4501"/>
      <c r="P445" s="4517"/>
      <c r="Q445" s="4517"/>
    </row>
    <row r="446" spans="2:17">
      <c r="B446" s="4477"/>
      <c r="C446" s="4477"/>
      <c r="D446" s="4477"/>
      <c r="E446" s="4477"/>
      <c r="F446" s="4477"/>
      <c r="G446" s="4477"/>
      <c r="H446" s="4477"/>
      <c r="I446" s="4477"/>
      <c r="J446" s="4477"/>
      <c r="K446" s="4477"/>
      <c r="L446" s="4477"/>
      <c r="M446" s="4477"/>
      <c r="N446" s="4477"/>
      <c r="O446" s="4501"/>
      <c r="P446" s="4517"/>
      <c r="Q446" s="4517"/>
    </row>
    <row r="447" spans="2:17">
      <c r="B447" s="4477"/>
      <c r="C447" s="4477"/>
      <c r="D447" s="4477"/>
      <c r="E447" s="4477"/>
      <c r="F447" s="4477"/>
      <c r="G447" s="4477"/>
      <c r="H447" s="4477"/>
      <c r="I447" s="4477"/>
      <c r="J447" s="4477"/>
      <c r="K447" s="4477"/>
      <c r="L447" s="4477"/>
      <c r="M447" s="4477"/>
      <c r="N447" s="4477"/>
      <c r="O447" s="4501"/>
      <c r="P447" s="4517"/>
      <c r="Q447" s="4517"/>
    </row>
    <row r="448" spans="2:17">
      <c r="B448" s="4477"/>
      <c r="C448" s="4477"/>
      <c r="D448" s="4477"/>
      <c r="E448" s="4477"/>
      <c r="F448" s="4477"/>
      <c r="G448" s="4477"/>
      <c r="H448" s="4477"/>
      <c r="I448" s="4477"/>
      <c r="J448" s="4477"/>
      <c r="K448" s="4477"/>
      <c r="L448" s="4477"/>
      <c r="M448" s="4477"/>
      <c r="N448" s="4477"/>
      <c r="O448" s="4501"/>
      <c r="P448" s="4517"/>
      <c r="Q448" s="4517"/>
    </row>
    <row r="449" spans="2:17">
      <c r="B449" s="4477"/>
      <c r="C449" s="4477"/>
      <c r="D449" s="4477"/>
      <c r="E449" s="4477"/>
      <c r="F449" s="4477"/>
      <c r="G449" s="4477"/>
      <c r="H449" s="4477"/>
      <c r="I449" s="4477"/>
      <c r="J449" s="4477"/>
      <c r="K449" s="4477"/>
      <c r="L449" s="4477"/>
      <c r="M449" s="4477"/>
      <c r="N449" s="4477"/>
      <c r="O449" s="4501"/>
      <c r="P449" s="4517"/>
      <c r="Q449" s="4517"/>
    </row>
    <row r="450" spans="2:17">
      <c r="B450" s="4477"/>
      <c r="C450" s="4477"/>
      <c r="D450" s="4477"/>
      <c r="E450" s="4477"/>
      <c r="F450" s="4477"/>
      <c r="G450" s="4477"/>
      <c r="H450" s="4477"/>
      <c r="I450" s="4477"/>
      <c r="J450" s="4477"/>
      <c r="K450" s="4477"/>
      <c r="L450" s="4477"/>
      <c r="M450" s="4477"/>
      <c r="N450" s="4477"/>
      <c r="O450" s="4501"/>
      <c r="P450" s="4517"/>
      <c r="Q450" s="4517"/>
    </row>
    <row r="451" spans="2:17">
      <c r="B451" s="4477"/>
      <c r="C451" s="4477"/>
      <c r="D451" s="4477"/>
      <c r="E451" s="4477"/>
      <c r="F451" s="4477"/>
      <c r="G451" s="4477"/>
      <c r="H451" s="4477"/>
      <c r="I451" s="4477"/>
      <c r="J451" s="4477"/>
      <c r="K451" s="4477"/>
      <c r="L451" s="4477"/>
      <c r="M451" s="4477"/>
      <c r="N451" s="4477"/>
      <c r="O451" s="4501"/>
      <c r="P451" s="4517"/>
      <c r="Q451" s="4517"/>
    </row>
    <row r="452" spans="2:17">
      <c r="B452" s="4477"/>
      <c r="C452" s="4477"/>
      <c r="D452" s="4477"/>
      <c r="E452" s="4477"/>
      <c r="F452" s="4477"/>
      <c r="G452" s="4477"/>
      <c r="H452" s="4477"/>
      <c r="I452" s="4477"/>
      <c r="J452" s="4477"/>
      <c r="K452" s="4477"/>
      <c r="L452" s="4477"/>
      <c r="M452" s="4477"/>
      <c r="N452" s="4477"/>
      <c r="O452" s="4501"/>
      <c r="P452" s="4517"/>
      <c r="Q452" s="4517"/>
    </row>
    <row r="453" spans="2:17">
      <c r="B453" s="4477"/>
      <c r="C453" s="4477"/>
      <c r="D453" s="4477"/>
      <c r="E453" s="4477"/>
      <c r="F453" s="4477"/>
      <c r="G453" s="4477"/>
      <c r="H453" s="4477"/>
      <c r="I453" s="4477"/>
      <c r="J453" s="4477"/>
      <c r="K453" s="4477"/>
      <c r="L453" s="4477"/>
      <c r="M453" s="4477"/>
      <c r="N453" s="4477"/>
      <c r="O453" s="4501"/>
      <c r="P453" s="4517"/>
      <c r="Q453" s="4517"/>
    </row>
    <row r="454" spans="2:17">
      <c r="B454" s="4477"/>
      <c r="C454" s="4477"/>
      <c r="D454" s="4477"/>
      <c r="E454" s="4477"/>
      <c r="F454" s="4477"/>
      <c r="G454" s="4477"/>
      <c r="H454" s="4477"/>
      <c r="I454" s="4477"/>
      <c r="J454" s="4477"/>
      <c r="K454" s="4477"/>
      <c r="L454" s="4477"/>
      <c r="M454" s="4477"/>
      <c r="N454" s="4477"/>
      <c r="O454" s="4501"/>
      <c r="P454" s="4517"/>
      <c r="Q454" s="4517"/>
    </row>
    <row r="455" spans="2:17">
      <c r="B455" s="4477"/>
      <c r="C455" s="4477"/>
      <c r="D455" s="4477"/>
      <c r="E455" s="4477"/>
      <c r="F455" s="4477"/>
      <c r="G455" s="4477"/>
      <c r="H455" s="4477"/>
      <c r="I455" s="4477"/>
      <c r="J455" s="4477"/>
      <c r="K455" s="4477"/>
      <c r="L455" s="4477"/>
      <c r="M455" s="4477"/>
      <c r="N455" s="4477"/>
      <c r="O455" s="4501"/>
      <c r="P455" s="4517"/>
      <c r="Q455" s="4517"/>
    </row>
    <row r="456" spans="2:17">
      <c r="B456" s="4477"/>
      <c r="C456" s="4477"/>
      <c r="D456" s="4477"/>
      <c r="E456" s="4477"/>
      <c r="F456" s="4477"/>
      <c r="G456" s="4477"/>
      <c r="H456" s="4477"/>
      <c r="I456" s="4477"/>
      <c r="J456" s="4477"/>
      <c r="K456" s="4477"/>
      <c r="L456" s="4477"/>
      <c r="M456" s="4477"/>
      <c r="N456" s="4477"/>
      <c r="O456" s="4501"/>
      <c r="P456" s="4517"/>
      <c r="Q456" s="4517"/>
    </row>
    <row r="457" spans="2:17">
      <c r="B457" s="4477"/>
      <c r="C457" s="4477"/>
      <c r="D457" s="4477"/>
      <c r="E457" s="4477"/>
      <c r="F457" s="4477"/>
      <c r="G457" s="4477"/>
      <c r="H457" s="4477"/>
      <c r="I457" s="4477"/>
      <c r="J457" s="4477"/>
      <c r="K457" s="4477"/>
      <c r="L457" s="4477"/>
      <c r="M457" s="4477"/>
      <c r="N457" s="4477"/>
      <c r="O457" s="4501"/>
      <c r="P457" s="4517"/>
      <c r="Q457" s="4517"/>
    </row>
    <row r="458" spans="2:17">
      <c r="B458" s="4477"/>
      <c r="C458" s="4477"/>
      <c r="D458" s="4477"/>
      <c r="E458" s="4477"/>
      <c r="F458" s="4477"/>
      <c r="G458" s="4477"/>
      <c r="H458" s="4477"/>
      <c r="I458" s="4477"/>
      <c r="J458" s="4477"/>
      <c r="K458" s="4477"/>
      <c r="L458" s="4477"/>
      <c r="M458" s="4477"/>
      <c r="N458" s="4477"/>
      <c r="O458" s="4501"/>
      <c r="P458" s="4517"/>
      <c r="Q458" s="4517"/>
    </row>
    <row r="459" spans="2:17">
      <c r="B459" s="4477"/>
      <c r="C459" s="4477"/>
      <c r="D459" s="4477"/>
      <c r="E459" s="4477"/>
      <c r="F459" s="4477"/>
      <c r="G459" s="4477"/>
      <c r="H459" s="4477"/>
      <c r="I459" s="4477"/>
      <c r="J459" s="4477"/>
      <c r="K459" s="4477"/>
      <c r="L459" s="4477"/>
      <c r="M459" s="4477"/>
      <c r="N459" s="4477"/>
      <c r="O459" s="4501"/>
      <c r="P459" s="4517"/>
      <c r="Q459" s="4517"/>
    </row>
    <row r="460" spans="2:17">
      <c r="B460" s="4477"/>
      <c r="C460" s="4477"/>
      <c r="D460" s="4477"/>
      <c r="E460" s="4477"/>
      <c r="F460" s="4477"/>
      <c r="G460" s="4477"/>
      <c r="H460" s="4477"/>
      <c r="I460" s="4477"/>
      <c r="J460" s="4477"/>
      <c r="K460" s="4477"/>
      <c r="L460" s="4477"/>
      <c r="M460" s="4477"/>
      <c r="N460" s="4477"/>
      <c r="O460" s="4501"/>
      <c r="P460" s="4517"/>
      <c r="Q460" s="4517"/>
    </row>
    <row r="461" spans="2:17">
      <c r="B461" s="4477"/>
      <c r="C461" s="4477"/>
      <c r="D461" s="4477"/>
      <c r="E461" s="4477"/>
      <c r="F461" s="4477"/>
      <c r="G461" s="4477"/>
      <c r="H461" s="4477"/>
      <c r="I461" s="4477"/>
      <c r="J461" s="4477"/>
      <c r="K461" s="4477"/>
      <c r="L461" s="4477"/>
      <c r="M461" s="4477"/>
      <c r="N461" s="4477"/>
      <c r="O461" s="4501"/>
      <c r="P461" s="4517"/>
      <c r="Q461" s="4517"/>
    </row>
    <row r="462" spans="2:17">
      <c r="B462" s="4477"/>
      <c r="C462" s="4477"/>
      <c r="D462" s="4477"/>
      <c r="E462" s="4477"/>
      <c r="F462" s="4477"/>
      <c r="G462" s="4477"/>
      <c r="H462" s="4477"/>
      <c r="I462" s="4477"/>
      <c r="J462" s="4477"/>
      <c r="K462" s="4477"/>
      <c r="L462" s="4477"/>
      <c r="M462" s="4477"/>
      <c r="N462" s="4477"/>
      <c r="O462" s="4501"/>
      <c r="P462" s="4517"/>
      <c r="Q462" s="4517"/>
    </row>
    <row r="463" spans="2:17">
      <c r="B463" s="4477"/>
      <c r="C463" s="4477"/>
      <c r="D463" s="4477"/>
      <c r="E463" s="4477"/>
      <c r="F463" s="4477"/>
      <c r="G463" s="4477"/>
      <c r="H463" s="4477"/>
      <c r="I463" s="4477"/>
      <c r="J463" s="4477"/>
      <c r="K463" s="4477"/>
      <c r="L463" s="4477"/>
      <c r="M463" s="4477"/>
      <c r="N463" s="4477"/>
      <c r="O463" s="4501"/>
      <c r="P463" s="4517"/>
      <c r="Q463" s="4517"/>
    </row>
    <row r="464" spans="2:17">
      <c r="B464" s="4477"/>
      <c r="C464" s="4477"/>
      <c r="D464" s="4477"/>
      <c r="E464" s="4477"/>
      <c r="F464" s="4477"/>
      <c r="G464" s="4477"/>
      <c r="H464" s="4477"/>
      <c r="I464" s="4477"/>
      <c r="J464" s="4477"/>
      <c r="K464" s="4477"/>
      <c r="L464" s="4477"/>
      <c r="M464" s="4477"/>
      <c r="N464" s="4477"/>
      <c r="O464" s="4501"/>
      <c r="P464" s="4517"/>
      <c r="Q464" s="4517"/>
    </row>
    <row r="465" spans="2:17">
      <c r="B465" s="4477"/>
      <c r="C465" s="4477"/>
      <c r="D465" s="4477"/>
      <c r="E465" s="4477"/>
      <c r="F465" s="4477"/>
      <c r="G465" s="4477"/>
      <c r="H465" s="4477"/>
      <c r="I465" s="4477"/>
      <c r="J465" s="4477"/>
      <c r="K465" s="4477"/>
      <c r="L465" s="4477"/>
      <c r="M465" s="4477"/>
      <c r="N465" s="4477"/>
      <c r="O465" s="4501"/>
      <c r="P465" s="4517"/>
      <c r="Q465" s="4517"/>
    </row>
    <row r="466" spans="2:17">
      <c r="B466" s="4477"/>
      <c r="C466" s="4477"/>
      <c r="D466" s="4477"/>
      <c r="E466" s="4477"/>
      <c r="F466" s="4477"/>
      <c r="G466" s="4477"/>
      <c r="H466" s="4477"/>
      <c r="I466" s="4477"/>
      <c r="J466" s="4477"/>
      <c r="K466" s="4477"/>
      <c r="L466" s="4477"/>
      <c r="M466" s="4477"/>
      <c r="N466" s="4477"/>
      <c r="O466" s="4501"/>
      <c r="P466" s="4517"/>
      <c r="Q466" s="4517"/>
    </row>
    <row r="467" spans="2:17">
      <c r="B467" s="4477"/>
      <c r="C467" s="4477"/>
      <c r="D467" s="4477"/>
      <c r="E467" s="4477"/>
      <c r="F467" s="4477"/>
      <c r="G467" s="4477"/>
      <c r="H467" s="4477"/>
      <c r="I467" s="4477"/>
      <c r="J467" s="4477"/>
      <c r="K467" s="4477"/>
      <c r="L467" s="4477"/>
      <c r="M467" s="4477"/>
      <c r="N467" s="4477"/>
      <c r="O467" s="4501"/>
      <c r="P467" s="4517"/>
      <c r="Q467" s="4517"/>
    </row>
    <row r="468" spans="2:17">
      <c r="B468" s="4477"/>
      <c r="C468" s="4477"/>
      <c r="D468" s="4477"/>
      <c r="E468" s="4477"/>
      <c r="F468" s="4477"/>
      <c r="G468" s="4477"/>
      <c r="H468" s="4477"/>
      <c r="I468" s="4477"/>
      <c r="J468" s="4477"/>
      <c r="K468" s="4477"/>
      <c r="L468" s="4477"/>
      <c r="M468" s="4477"/>
      <c r="N468" s="4477"/>
      <c r="O468" s="4501"/>
      <c r="P468" s="4517"/>
      <c r="Q468" s="4517"/>
    </row>
    <row r="469" spans="2:17">
      <c r="B469" s="4477"/>
      <c r="C469" s="4477"/>
      <c r="D469" s="4477"/>
      <c r="E469" s="4477"/>
      <c r="F469" s="4477"/>
      <c r="G469" s="4477"/>
      <c r="H469" s="4477"/>
      <c r="I469" s="4477"/>
      <c r="J469" s="4477"/>
      <c r="K469" s="4477"/>
      <c r="L469" s="4477"/>
      <c r="M469" s="4477"/>
      <c r="N469" s="4477"/>
      <c r="O469" s="4501"/>
      <c r="P469" s="4517"/>
      <c r="Q469" s="4517"/>
    </row>
    <row r="470" spans="2:17">
      <c r="B470" s="4477"/>
      <c r="C470" s="4477"/>
      <c r="D470" s="4477"/>
      <c r="E470" s="4477"/>
      <c r="F470" s="4477"/>
      <c r="G470" s="4477"/>
      <c r="H470" s="4477"/>
      <c r="I470" s="4477"/>
      <c r="J470" s="4477"/>
      <c r="K470" s="4477"/>
      <c r="L470" s="4477"/>
      <c r="M470" s="4477"/>
      <c r="N470" s="4477"/>
      <c r="O470" s="4501"/>
      <c r="P470" s="4517"/>
      <c r="Q470" s="4517"/>
    </row>
    <row r="471" spans="2:17">
      <c r="B471" s="4477"/>
      <c r="C471" s="4477"/>
      <c r="D471" s="4477"/>
      <c r="E471" s="4477"/>
      <c r="F471" s="4477"/>
      <c r="G471" s="4477"/>
      <c r="H471" s="4477"/>
      <c r="I471" s="4477"/>
      <c r="J471" s="4477"/>
      <c r="K471" s="4477"/>
      <c r="L471" s="4477"/>
      <c r="M471" s="4477"/>
      <c r="N471" s="4477"/>
      <c r="O471" s="4501"/>
      <c r="P471" s="4517"/>
      <c r="Q471" s="4517"/>
    </row>
    <row r="472" spans="2:17">
      <c r="B472" s="4477"/>
      <c r="C472" s="4477"/>
      <c r="D472" s="4477"/>
      <c r="E472" s="4477"/>
      <c r="F472" s="4477"/>
      <c r="G472" s="4477"/>
      <c r="H472" s="4477"/>
      <c r="I472" s="4477"/>
      <c r="J472" s="4477"/>
      <c r="K472" s="4477"/>
      <c r="L472" s="4477"/>
      <c r="M472" s="4477"/>
      <c r="N472" s="4477"/>
      <c r="O472" s="4501"/>
      <c r="P472" s="4517"/>
      <c r="Q472" s="4517"/>
    </row>
    <row r="473" spans="2:17">
      <c r="B473" s="4477"/>
      <c r="C473" s="4477"/>
      <c r="D473" s="4477"/>
      <c r="E473" s="4477"/>
      <c r="F473" s="4477"/>
      <c r="G473" s="4477"/>
      <c r="H473" s="4477"/>
      <c r="I473" s="4477"/>
      <c r="J473" s="4477"/>
      <c r="K473" s="4477"/>
      <c r="L473" s="4477"/>
      <c r="M473" s="4477"/>
      <c r="N473" s="4477"/>
      <c r="O473" s="4501"/>
      <c r="P473" s="4517"/>
      <c r="Q473" s="4517"/>
    </row>
    <row r="474" spans="2:17">
      <c r="B474" s="4477"/>
      <c r="C474" s="4477"/>
      <c r="D474" s="4477"/>
      <c r="E474" s="4477"/>
      <c r="F474" s="4477"/>
      <c r="G474" s="4477"/>
      <c r="H474" s="4477"/>
      <c r="I474" s="4477"/>
      <c r="J474" s="4477"/>
      <c r="K474" s="4477"/>
      <c r="L474" s="4477"/>
      <c r="M474" s="4477"/>
      <c r="N474" s="4477"/>
      <c r="O474" s="4501"/>
      <c r="P474" s="4517"/>
      <c r="Q474" s="4517"/>
    </row>
    <row r="475" spans="2:17">
      <c r="B475" s="4477"/>
      <c r="C475" s="4477"/>
      <c r="D475" s="4477"/>
      <c r="E475" s="4477"/>
      <c r="F475" s="4477"/>
      <c r="G475" s="4477"/>
      <c r="H475" s="4477"/>
      <c r="I475" s="4477"/>
      <c r="J475" s="4477"/>
      <c r="K475" s="4477"/>
      <c r="L475" s="4477"/>
      <c r="M475" s="4477"/>
      <c r="N475" s="4477"/>
      <c r="O475" s="4501"/>
      <c r="P475" s="4517"/>
      <c r="Q475" s="4517"/>
    </row>
    <row r="476" spans="2:17">
      <c r="B476" s="4477"/>
      <c r="C476" s="4477"/>
      <c r="D476" s="4477"/>
      <c r="E476" s="4477"/>
      <c r="F476" s="4477"/>
      <c r="G476" s="4477"/>
      <c r="H476" s="4477"/>
      <c r="I476" s="4477"/>
      <c r="J476" s="4477"/>
      <c r="K476" s="4477"/>
      <c r="L476" s="4477"/>
      <c r="M476" s="4477"/>
      <c r="N476" s="4477"/>
      <c r="O476" s="4501"/>
      <c r="P476" s="4517"/>
      <c r="Q476" s="4517"/>
    </row>
    <row r="477" spans="2:17">
      <c r="B477" s="4477"/>
      <c r="C477" s="4477"/>
      <c r="D477" s="4477"/>
      <c r="E477" s="4477"/>
      <c r="F477" s="4477"/>
      <c r="G477" s="4477"/>
      <c r="H477" s="4477"/>
      <c r="I477" s="4477"/>
      <c r="J477" s="4477"/>
      <c r="K477" s="4477"/>
      <c r="L477" s="4477"/>
      <c r="M477" s="4477"/>
      <c r="N477" s="4477"/>
      <c r="O477" s="4501"/>
      <c r="P477" s="4517"/>
      <c r="Q477" s="4517"/>
    </row>
    <row r="478" spans="2:17">
      <c r="B478" s="4477"/>
      <c r="C478" s="4477"/>
      <c r="D478" s="4477"/>
      <c r="E478" s="4477"/>
      <c r="F478" s="4477"/>
      <c r="G478" s="4477"/>
      <c r="H478" s="4477"/>
      <c r="I478" s="4477"/>
      <c r="J478" s="4477"/>
      <c r="K478" s="4477"/>
      <c r="L478" s="4477"/>
      <c r="M478" s="4477"/>
      <c r="N478" s="4477"/>
      <c r="O478" s="4501"/>
      <c r="P478" s="4517"/>
      <c r="Q478" s="4517"/>
    </row>
    <row r="479" spans="2:17">
      <c r="B479" s="4477"/>
      <c r="C479" s="4477"/>
      <c r="D479" s="4477"/>
      <c r="E479" s="4477"/>
      <c r="F479" s="4477"/>
      <c r="G479" s="4477"/>
      <c r="H479" s="4477"/>
      <c r="I479" s="4477"/>
      <c r="J479" s="4477"/>
      <c r="K479" s="4477"/>
      <c r="L479" s="4477"/>
      <c r="M479" s="4477"/>
      <c r="N479" s="4477"/>
      <c r="O479" s="4501"/>
      <c r="P479" s="4517"/>
      <c r="Q479" s="4517"/>
    </row>
    <row r="480" spans="2:17">
      <c r="B480" s="4477"/>
      <c r="C480" s="4477"/>
      <c r="D480" s="4477"/>
      <c r="E480" s="4477"/>
      <c r="F480" s="4477"/>
      <c r="G480" s="4477"/>
      <c r="H480" s="4477"/>
      <c r="I480" s="4477"/>
      <c r="J480" s="4477"/>
      <c r="K480" s="4477"/>
      <c r="L480" s="4477"/>
      <c r="M480" s="4477"/>
      <c r="N480" s="4477"/>
      <c r="O480" s="4501"/>
      <c r="P480" s="4517"/>
      <c r="Q480" s="4517"/>
    </row>
    <row r="481" spans="2:17">
      <c r="B481" s="4477"/>
      <c r="C481" s="4477"/>
      <c r="D481" s="4477"/>
      <c r="E481" s="4477"/>
      <c r="F481" s="4477"/>
      <c r="G481" s="4477"/>
      <c r="H481" s="4477"/>
      <c r="I481" s="4477"/>
      <c r="J481" s="4477"/>
      <c r="K481" s="4477"/>
      <c r="L481" s="4477"/>
      <c r="M481" s="4477"/>
      <c r="N481" s="4477"/>
      <c r="O481" s="4501"/>
      <c r="P481" s="4517"/>
      <c r="Q481" s="4517"/>
    </row>
    <row r="482" spans="2:17">
      <c r="B482" s="4477"/>
      <c r="C482" s="4477"/>
      <c r="D482" s="4477"/>
      <c r="E482" s="4477"/>
      <c r="F482" s="4477"/>
      <c r="G482" s="4477"/>
      <c r="H482" s="4477"/>
      <c r="I482" s="4477"/>
      <c r="J482" s="4477"/>
      <c r="K482" s="4477"/>
      <c r="L482" s="4477"/>
      <c r="M482" s="4477"/>
      <c r="N482" s="4477"/>
      <c r="O482" s="4501"/>
      <c r="P482" s="4517"/>
      <c r="Q482" s="4517"/>
    </row>
    <row r="483" spans="2:17">
      <c r="B483" s="4477"/>
      <c r="C483" s="4477"/>
      <c r="D483" s="4477"/>
      <c r="E483" s="4477"/>
      <c r="F483" s="4477"/>
      <c r="G483" s="4477"/>
      <c r="H483" s="4477"/>
      <c r="I483" s="4477"/>
      <c r="J483" s="4477"/>
      <c r="K483" s="4477"/>
      <c r="L483" s="4477"/>
      <c r="M483" s="4477"/>
      <c r="N483" s="4477"/>
      <c r="O483" s="4501"/>
      <c r="P483" s="4517"/>
      <c r="Q483" s="4517"/>
    </row>
    <row r="484" spans="2:17">
      <c r="B484" s="4477"/>
      <c r="C484" s="4477"/>
      <c r="D484" s="4477"/>
      <c r="E484" s="4477"/>
      <c r="F484" s="4477"/>
      <c r="G484" s="4477"/>
      <c r="H484" s="4477"/>
      <c r="I484" s="4477"/>
      <c r="J484" s="4477"/>
      <c r="K484" s="4477"/>
      <c r="L484" s="4477"/>
      <c r="M484" s="4477"/>
      <c r="N484" s="4477"/>
      <c r="O484" s="4501"/>
      <c r="P484" s="4517"/>
      <c r="Q484" s="4517"/>
    </row>
    <row r="485" spans="2:17">
      <c r="B485" s="4477"/>
      <c r="C485" s="4477"/>
      <c r="D485" s="4477"/>
      <c r="E485" s="4477"/>
      <c r="F485" s="4477"/>
      <c r="G485" s="4477"/>
      <c r="H485" s="4477"/>
      <c r="I485" s="4477"/>
      <c r="J485" s="4477"/>
      <c r="K485" s="4477"/>
      <c r="L485" s="4477"/>
      <c r="M485" s="4477"/>
      <c r="N485" s="4477"/>
      <c r="O485" s="4501"/>
      <c r="P485" s="4517"/>
      <c r="Q485" s="4517"/>
    </row>
    <row r="486" spans="2:17">
      <c r="B486" s="4477"/>
      <c r="C486" s="4477"/>
      <c r="D486" s="4477"/>
      <c r="E486" s="4477"/>
      <c r="F486" s="4477"/>
      <c r="G486" s="4477"/>
      <c r="H486" s="4477"/>
      <c r="I486" s="4477"/>
      <c r="J486" s="4477"/>
      <c r="K486" s="4477"/>
      <c r="L486" s="4477"/>
      <c r="M486" s="4477"/>
      <c r="N486" s="4477"/>
      <c r="O486" s="4501"/>
      <c r="P486" s="4517"/>
      <c r="Q486" s="4517"/>
    </row>
    <row r="487" spans="2:17">
      <c r="B487" s="4477"/>
      <c r="C487" s="4477"/>
      <c r="D487" s="4477"/>
      <c r="E487" s="4477"/>
      <c r="F487" s="4477"/>
      <c r="G487" s="4477"/>
      <c r="H487" s="4477"/>
      <c r="I487" s="4477"/>
      <c r="J487" s="4477"/>
      <c r="K487" s="4477"/>
      <c r="L487" s="4477"/>
      <c r="M487" s="4477"/>
      <c r="N487" s="4477"/>
      <c r="O487" s="4501"/>
      <c r="P487" s="4517"/>
      <c r="Q487" s="4517"/>
    </row>
    <row r="488" spans="2:17">
      <c r="B488" s="4477"/>
      <c r="C488" s="4477"/>
      <c r="D488" s="4477"/>
      <c r="E488" s="4477"/>
      <c r="F488" s="4477"/>
      <c r="G488" s="4477"/>
      <c r="H488" s="4477"/>
      <c r="I488" s="4477"/>
      <c r="J488" s="4477"/>
      <c r="K488" s="4477"/>
      <c r="L488" s="4477"/>
      <c r="M488" s="4477"/>
      <c r="N488" s="4477"/>
      <c r="O488" s="4501"/>
      <c r="P488" s="4517"/>
      <c r="Q488" s="4517"/>
    </row>
    <row r="489" spans="2:17">
      <c r="B489" s="4477"/>
      <c r="C489" s="4477"/>
      <c r="D489" s="4477"/>
      <c r="E489" s="4477"/>
      <c r="F489" s="4477"/>
      <c r="G489" s="4477"/>
      <c r="H489" s="4477"/>
      <c r="I489" s="4477"/>
      <c r="J489" s="4477"/>
      <c r="K489" s="4477"/>
      <c r="L489" s="4477"/>
      <c r="M489" s="4477"/>
      <c r="N489" s="4477"/>
      <c r="O489" s="4501"/>
      <c r="P489" s="4517"/>
      <c r="Q489" s="4517"/>
    </row>
    <row r="490" spans="2:17">
      <c r="B490" s="4477"/>
      <c r="C490" s="4477"/>
      <c r="D490" s="4477"/>
      <c r="E490" s="4477"/>
      <c r="F490" s="4477"/>
      <c r="G490" s="4477"/>
      <c r="H490" s="4477"/>
      <c r="I490" s="4477"/>
      <c r="J490" s="4477"/>
      <c r="K490" s="4477"/>
      <c r="L490" s="4477"/>
      <c r="M490" s="4477"/>
      <c r="N490" s="4477"/>
      <c r="O490" s="4501"/>
      <c r="P490" s="4517"/>
      <c r="Q490" s="4517"/>
    </row>
    <row r="491" spans="2:17">
      <c r="B491" s="4477"/>
      <c r="C491" s="4477"/>
      <c r="D491" s="4477"/>
      <c r="E491" s="4477"/>
      <c r="F491" s="4477"/>
      <c r="G491" s="4477"/>
      <c r="H491" s="4477"/>
      <c r="I491" s="4477"/>
      <c r="J491" s="4477"/>
      <c r="K491" s="4477"/>
      <c r="L491" s="4477"/>
      <c r="M491" s="4477"/>
      <c r="N491" s="4477"/>
      <c r="O491" s="4501"/>
      <c r="P491" s="4517"/>
      <c r="Q491" s="4517"/>
    </row>
    <row r="492" spans="2:17">
      <c r="B492" s="4477"/>
      <c r="C492" s="4477"/>
      <c r="D492" s="4477"/>
      <c r="E492" s="4477"/>
      <c r="F492" s="4477"/>
      <c r="G492" s="4477"/>
      <c r="H492" s="4477"/>
      <c r="I492" s="4477"/>
      <c r="J492" s="4477"/>
      <c r="K492" s="4477"/>
      <c r="L492" s="4477"/>
      <c r="M492" s="4477"/>
      <c r="N492" s="4477"/>
      <c r="O492" s="4501"/>
      <c r="P492" s="4517"/>
      <c r="Q492" s="4517"/>
    </row>
    <row r="493" spans="2:17">
      <c r="B493" s="4477"/>
      <c r="C493" s="4477"/>
      <c r="D493" s="4477"/>
      <c r="E493" s="4477"/>
      <c r="F493" s="4477"/>
      <c r="G493" s="4477"/>
      <c r="H493" s="4477"/>
      <c r="I493" s="4477"/>
      <c r="J493" s="4477"/>
      <c r="K493" s="4477"/>
      <c r="L493" s="4477"/>
      <c r="M493" s="4477"/>
      <c r="N493" s="4477"/>
      <c r="O493" s="4501"/>
      <c r="P493" s="4517"/>
      <c r="Q493" s="4517"/>
    </row>
    <row r="494" spans="2:17">
      <c r="B494" s="4477"/>
      <c r="C494" s="4477"/>
      <c r="D494" s="4477"/>
      <c r="E494" s="4477"/>
      <c r="F494" s="4477"/>
      <c r="G494" s="4477"/>
      <c r="H494" s="4477"/>
      <c r="I494" s="4477"/>
      <c r="J494" s="4477"/>
      <c r="K494" s="4477"/>
      <c r="L494" s="4477"/>
      <c r="M494" s="4477"/>
      <c r="N494" s="4477"/>
      <c r="O494" s="4501"/>
      <c r="P494" s="4517"/>
      <c r="Q494" s="4517"/>
    </row>
    <row r="495" spans="2:17">
      <c r="B495" s="4477"/>
      <c r="C495" s="4477"/>
      <c r="D495" s="4477"/>
      <c r="E495" s="4477"/>
      <c r="F495" s="4477"/>
      <c r="G495" s="4477"/>
      <c r="H495" s="4477"/>
      <c r="I495" s="4477"/>
      <c r="J495" s="4477"/>
      <c r="K495" s="4477"/>
      <c r="L495" s="4477"/>
      <c r="M495" s="4477"/>
      <c r="N495" s="4477"/>
      <c r="O495" s="4501"/>
      <c r="P495" s="4517"/>
      <c r="Q495" s="4517"/>
    </row>
    <row r="496" spans="2:17">
      <c r="B496" s="4477"/>
      <c r="C496" s="4477"/>
      <c r="D496" s="4477"/>
      <c r="E496" s="4477"/>
      <c r="F496" s="4477"/>
      <c r="G496" s="4477"/>
      <c r="H496" s="4477"/>
      <c r="I496" s="4477"/>
      <c r="J496" s="4477"/>
      <c r="K496" s="4477"/>
      <c r="L496" s="4477"/>
      <c r="M496" s="4477"/>
      <c r="N496" s="4477"/>
      <c r="O496" s="4501"/>
      <c r="P496" s="4517"/>
      <c r="Q496" s="4517"/>
    </row>
    <row r="497" spans="1:17">
      <c r="B497" s="4477"/>
      <c r="C497" s="4477"/>
      <c r="D497" s="4477"/>
      <c r="E497" s="4477"/>
      <c r="F497" s="4477"/>
      <c r="G497" s="4477"/>
      <c r="H497" s="4477"/>
      <c r="I497" s="4477"/>
      <c r="J497" s="4477"/>
      <c r="K497" s="4477"/>
      <c r="L497" s="4477"/>
      <c r="M497" s="4477"/>
      <c r="N497" s="4477"/>
      <c r="O497" s="4501"/>
      <c r="P497" s="4517"/>
      <c r="Q497" s="4517"/>
    </row>
    <row r="498" spans="1:17">
      <c r="B498" s="4477"/>
      <c r="C498" s="4477"/>
      <c r="D498" s="4477"/>
      <c r="E498" s="4477"/>
      <c r="F498" s="4477"/>
      <c r="G498" s="4477"/>
      <c r="H498" s="4477"/>
      <c r="I498" s="4477"/>
      <c r="J498" s="4477"/>
      <c r="K498" s="4477"/>
      <c r="L498" s="4477"/>
      <c r="M498" s="4477"/>
      <c r="N498" s="4477"/>
      <c r="O498" s="4501"/>
      <c r="P498" s="4517"/>
      <c r="Q498" s="4517"/>
    </row>
    <row r="499" spans="1:17">
      <c r="B499" s="4477"/>
      <c r="C499" s="4477"/>
      <c r="D499" s="4477"/>
      <c r="E499" s="4477"/>
      <c r="F499" s="4477"/>
      <c r="G499" s="4477"/>
      <c r="H499" s="4477"/>
      <c r="I499" s="4477"/>
      <c r="J499" s="4477"/>
      <c r="K499" s="4477"/>
      <c r="L499" s="4477"/>
      <c r="M499" s="4477"/>
      <c r="N499" s="4477"/>
      <c r="O499" s="4501"/>
      <c r="P499" s="4517"/>
      <c r="Q499" s="4517"/>
    </row>
    <row r="500" spans="1:17">
      <c r="B500" s="4477"/>
      <c r="C500" s="4477"/>
      <c r="D500" s="4477"/>
      <c r="E500" s="4477"/>
      <c r="F500" s="4477"/>
      <c r="G500" s="4477"/>
      <c r="H500" s="4477"/>
      <c r="I500" s="4477"/>
      <c r="J500" s="4477"/>
      <c r="K500" s="4477"/>
      <c r="L500" s="4477"/>
      <c r="M500" s="4477"/>
      <c r="N500" s="4477"/>
      <c r="O500" s="4501"/>
      <c r="P500" s="4517"/>
      <c r="Q500" s="4517"/>
    </row>
    <row r="501" spans="1:17">
      <c r="B501" s="4477"/>
      <c r="C501" s="4477"/>
      <c r="D501" s="4477"/>
      <c r="E501" s="4477"/>
      <c r="F501" s="4477"/>
      <c r="G501" s="4477"/>
      <c r="H501" s="4477"/>
      <c r="I501" s="4477"/>
      <c r="J501" s="4477"/>
      <c r="K501" s="4477"/>
      <c r="L501" s="4477"/>
      <c r="M501" s="4477"/>
      <c r="N501" s="4477"/>
      <c r="O501" s="4501"/>
      <c r="P501" s="4517"/>
      <c r="Q501" s="4517"/>
    </row>
    <row r="502" spans="1:17" ht="13.5" thickBot="1">
      <c r="B502" s="4477"/>
      <c r="C502" s="4477"/>
      <c r="D502" s="4477"/>
      <c r="E502" s="4477"/>
      <c r="F502" s="4477"/>
      <c r="G502" s="4477"/>
      <c r="H502" s="4477"/>
      <c r="I502" s="4477"/>
      <c r="J502" s="4477"/>
      <c r="K502" s="4477"/>
      <c r="L502" s="4477"/>
      <c r="M502" s="4477"/>
      <c r="N502" s="4477"/>
      <c r="O502" s="4501"/>
      <c r="P502" s="4517"/>
      <c r="Q502" s="4517"/>
    </row>
    <row r="503" spans="1:17" ht="33.75">
      <c r="A503" s="4159"/>
      <c r="B503" s="4518" t="s">
        <v>61</v>
      </c>
      <c r="C503" s="4518"/>
      <c r="D503" s="4508"/>
      <c r="E503" s="4508"/>
      <c r="F503" s="4508"/>
      <c r="G503" s="4508"/>
      <c r="H503" s="4508"/>
      <c r="I503" s="4508"/>
      <c r="J503" s="4508"/>
      <c r="K503" s="4508"/>
      <c r="L503" s="4508"/>
      <c r="M503" s="4508"/>
      <c r="N503" s="4508"/>
      <c r="O503" s="4519"/>
      <c r="P503" s="4517"/>
      <c r="Q503" s="4517"/>
    </row>
    <row r="504" spans="1:17">
      <c r="A504" s="4165"/>
      <c r="B504" s="4477"/>
      <c r="C504" s="4477"/>
      <c r="D504" s="4477"/>
      <c r="E504" s="4477"/>
      <c r="F504" s="4477"/>
      <c r="G504" s="4477"/>
      <c r="H504" s="4477"/>
      <c r="I504" s="4477"/>
      <c r="J504" s="4477"/>
      <c r="K504" s="4477"/>
      <c r="L504" s="4477"/>
      <c r="M504" s="4477"/>
      <c r="N504" s="4477"/>
      <c r="O504" s="4520"/>
      <c r="P504" s="4517"/>
      <c r="Q504" s="4517"/>
    </row>
    <row r="505" spans="1:17">
      <c r="A505" s="4165"/>
      <c r="B505" s="4477"/>
      <c r="C505" s="4477"/>
      <c r="D505" s="4477"/>
      <c r="E505" s="4477"/>
      <c r="F505" s="4477"/>
      <c r="G505" s="4477"/>
      <c r="H505" s="4477"/>
      <c r="I505" s="4477"/>
      <c r="J505" s="4477"/>
      <c r="K505" s="4477"/>
      <c r="L505" s="4477"/>
      <c r="M505" s="4477"/>
      <c r="N505" s="4477"/>
      <c r="O505" s="4520"/>
      <c r="P505" s="4517"/>
      <c r="Q505" s="4517"/>
    </row>
    <row r="506" spans="1:17">
      <c r="A506" s="4165"/>
      <c r="B506" s="4477"/>
      <c r="C506" s="4477"/>
      <c r="D506" s="4477"/>
      <c r="E506" s="4477"/>
      <c r="F506" s="4477"/>
      <c r="G506" s="4477"/>
      <c r="H506" s="4477"/>
      <c r="I506" s="4477"/>
      <c r="J506" s="4477"/>
      <c r="K506" s="4477"/>
      <c r="L506" s="4477"/>
      <c r="M506" s="4477"/>
      <c r="N506" s="4477"/>
      <c r="O506" s="4520"/>
      <c r="P506" s="4517"/>
      <c r="Q506" s="4517"/>
    </row>
    <row r="507" spans="1:17">
      <c r="A507" s="4165"/>
      <c r="B507" s="4477"/>
      <c r="C507" s="4477"/>
      <c r="D507" s="4477"/>
      <c r="E507" s="4477"/>
      <c r="F507" s="4477"/>
      <c r="G507" s="4477"/>
      <c r="H507" s="4477"/>
      <c r="I507" s="4477"/>
      <c r="J507" s="4477"/>
      <c r="K507" s="4477"/>
      <c r="L507" s="4477"/>
      <c r="M507" s="4477"/>
      <c r="N507" s="4477"/>
      <c r="O507" s="4520"/>
      <c r="P507" s="4517"/>
      <c r="Q507" s="4517"/>
    </row>
    <row r="508" spans="1:17">
      <c r="A508" s="4165"/>
      <c r="B508" s="4477"/>
      <c r="C508" s="4477"/>
      <c r="D508" s="4477"/>
      <c r="E508" s="4477"/>
      <c r="F508" s="4477"/>
      <c r="G508" s="4477"/>
      <c r="H508" s="4477"/>
      <c r="I508" s="4477"/>
      <c r="J508" s="4477"/>
      <c r="K508" s="4477"/>
      <c r="L508" s="4477"/>
      <c r="M508" s="4477"/>
      <c r="N508" s="4477"/>
      <c r="O508" s="4520"/>
      <c r="P508" s="4517"/>
      <c r="Q508" s="4517"/>
    </row>
    <row r="509" spans="1:17">
      <c r="A509" s="4165"/>
      <c r="B509" s="4477"/>
      <c r="C509" s="4477"/>
      <c r="D509" s="4477"/>
      <c r="E509" s="4477"/>
      <c r="F509" s="4477"/>
      <c r="G509" s="4477"/>
      <c r="H509" s="4477"/>
      <c r="I509" s="4477"/>
      <c r="J509" s="4477"/>
      <c r="K509" s="4477"/>
      <c r="L509" s="4477"/>
      <c r="M509" s="4477"/>
      <c r="N509" s="4477"/>
      <c r="O509" s="4520"/>
      <c r="P509" s="4517"/>
      <c r="Q509" s="4517"/>
    </row>
    <row r="510" spans="1:17">
      <c r="A510" s="4165"/>
      <c r="B510" s="4477"/>
      <c r="C510" s="4477"/>
      <c r="D510" s="4477"/>
      <c r="E510" s="4477"/>
      <c r="F510" s="4477"/>
      <c r="G510" s="4477"/>
      <c r="H510" s="4477"/>
      <c r="I510" s="4477"/>
      <c r="J510" s="4477"/>
      <c r="K510" s="4477"/>
      <c r="L510" s="4477"/>
      <c r="M510" s="4477"/>
      <c r="N510" s="4477"/>
      <c r="O510" s="4520"/>
      <c r="P510" s="4517"/>
      <c r="Q510" s="4517"/>
    </row>
    <row r="511" spans="1:17">
      <c r="A511" s="4165"/>
      <c r="B511" s="4477"/>
      <c r="C511" s="4477"/>
      <c r="D511" s="4477"/>
      <c r="E511" s="4477"/>
      <c r="F511" s="4477"/>
      <c r="G511" s="4477"/>
      <c r="H511" s="4477"/>
      <c r="I511" s="4477"/>
      <c r="J511" s="4477"/>
      <c r="K511" s="4477"/>
      <c r="L511" s="4477"/>
      <c r="M511" s="4477"/>
      <c r="N511" s="4477"/>
      <c r="O511" s="4520"/>
      <c r="P511" s="4517"/>
      <c r="Q511" s="4517"/>
    </row>
    <row r="512" spans="1:17">
      <c r="A512" s="4165"/>
      <c r="B512" s="4477"/>
      <c r="C512" s="4477"/>
      <c r="D512" s="4477"/>
      <c r="E512" s="4477"/>
      <c r="F512" s="4477"/>
      <c r="G512" s="4477"/>
      <c r="H512" s="4477"/>
      <c r="I512" s="4477"/>
      <c r="J512" s="4477"/>
      <c r="K512" s="4477"/>
      <c r="L512" s="4477"/>
      <c r="M512" s="4477"/>
      <c r="N512" s="4477"/>
      <c r="O512" s="4520"/>
      <c r="P512" s="4517"/>
      <c r="Q512" s="4517"/>
    </row>
    <row r="513" spans="1:17">
      <c r="A513" s="4165"/>
      <c r="B513" s="4477"/>
      <c r="C513" s="4477"/>
      <c r="D513" s="4477"/>
      <c r="E513" s="4477"/>
      <c r="F513" s="4477"/>
      <c r="G513" s="4477"/>
      <c r="H513" s="4477"/>
      <c r="I513" s="4477"/>
      <c r="J513" s="4477"/>
      <c r="K513" s="4477"/>
      <c r="L513" s="4477"/>
      <c r="M513" s="4477"/>
      <c r="N513" s="4477"/>
      <c r="O513" s="4520"/>
      <c r="P513" s="4517"/>
      <c r="Q513" s="4517"/>
    </row>
    <row r="514" spans="1:17" ht="13.5" thickBot="1">
      <c r="A514" s="4211"/>
      <c r="B514" s="4506"/>
      <c r="C514" s="4506"/>
      <c r="D514" s="4506"/>
      <c r="E514" s="4506"/>
      <c r="F514" s="4506"/>
      <c r="G514" s="4506"/>
      <c r="H514" s="4506"/>
      <c r="I514" s="4506"/>
      <c r="J514" s="4506"/>
      <c r="K514" s="4506"/>
      <c r="L514" s="4506"/>
      <c r="M514" s="4506"/>
      <c r="N514" s="4506"/>
      <c r="O514" s="4521"/>
      <c r="P514" s="4517"/>
      <c r="Q514" s="4517"/>
    </row>
    <row r="515" spans="1:17">
      <c r="B515" s="4477"/>
      <c r="C515" s="4477"/>
      <c r="D515" s="4477"/>
      <c r="E515" s="4477"/>
      <c r="F515" s="4477"/>
      <c r="G515" s="4477"/>
      <c r="H515" s="4477"/>
      <c r="I515" s="4477"/>
      <c r="J515" s="4477"/>
      <c r="K515" s="4477"/>
      <c r="L515" s="4477"/>
      <c r="M515" s="4477"/>
      <c r="N515" s="4477"/>
      <c r="O515" s="4501"/>
      <c r="P515" s="4517"/>
      <c r="Q515" s="4517"/>
    </row>
    <row r="516" spans="1:17" ht="13.5" thickBot="1">
      <c r="B516" s="4477"/>
      <c r="C516" s="4477"/>
      <c r="D516" s="4477"/>
      <c r="E516" s="4477"/>
      <c r="F516" s="4477"/>
      <c r="G516" s="4477"/>
      <c r="H516" s="4477"/>
      <c r="I516" s="4477"/>
      <c r="J516" s="4477"/>
      <c r="K516" s="4477"/>
      <c r="L516" s="4477"/>
      <c r="M516" s="4477"/>
      <c r="N516" s="4477"/>
      <c r="O516" s="4507"/>
      <c r="P516" s="4517"/>
      <c r="Q516" s="4517"/>
    </row>
    <row r="517" spans="1:17" ht="13.5" thickBot="1">
      <c r="B517" s="4477"/>
      <c r="C517" s="4477"/>
      <c r="D517" s="4477"/>
      <c r="E517" s="4477"/>
      <c r="F517" s="4477"/>
      <c r="G517" s="4477"/>
      <c r="H517" s="4477"/>
      <c r="I517" s="4477"/>
      <c r="J517" s="4477"/>
      <c r="K517" s="4477"/>
      <c r="L517" s="4477"/>
      <c r="M517" s="4477"/>
      <c r="N517" s="4477"/>
      <c r="O517" s="4511"/>
      <c r="P517" s="4517"/>
      <c r="Q517" s="4517"/>
    </row>
    <row r="518" spans="1:17" ht="13.5" thickBot="1">
      <c r="B518" s="4477"/>
      <c r="C518" s="4477"/>
      <c r="D518" s="4477"/>
      <c r="E518" s="4477"/>
      <c r="F518" s="4477"/>
      <c r="G518" s="4477"/>
      <c r="H518" s="4477"/>
      <c r="I518" s="4477"/>
      <c r="J518" s="4477"/>
      <c r="K518" s="4477"/>
      <c r="L518" s="4477"/>
      <c r="M518" s="4477"/>
      <c r="N518" s="4477"/>
      <c r="O518" s="4511"/>
      <c r="P518" s="4517"/>
      <c r="Q518" s="4517"/>
    </row>
    <row r="519" spans="1:17" ht="13.5" thickBot="1">
      <c r="B519" s="4477"/>
      <c r="C519" s="4477"/>
      <c r="D519" s="4477"/>
      <c r="E519" s="4477"/>
      <c r="F519" s="4477"/>
      <c r="G519" s="4477"/>
      <c r="H519" s="4477"/>
      <c r="I519" s="4477"/>
      <c r="J519" s="4477"/>
      <c r="K519" s="4477"/>
      <c r="L519" s="4477"/>
      <c r="M519" s="4477"/>
      <c r="N519" s="4477"/>
      <c r="O519" s="4511"/>
      <c r="P519" s="4517"/>
      <c r="Q519" s="4517"/>
    </row>
    <row r="520" spans="1:17" ht="13.5" thickBot="1">
      <c r="B520" s="4477"/>
      <c r="C520" s="4477"/>
      <c r="D520" s="4477"/>
      <c r="E520" s="4477"/>
      <c r="F520" s="4477"/>
      <c r="G520" s="4477"/>
      <c r="H520" s="4477"/>
      <c r="I520" s="4477"/>
      <c r="J520" s="4477"/>
      <c r="K520" s="4477"/>
      <c r="L520" s="4477"/>
      <c r="M520" s="4477"/>
      <c r="N520" s="4506"/>
      <c r="O520" s="4511"/>
      <c r="P520" s="4517"/>
      <c r="Q520" s="4517"/>
    </row>
    <row r="521" spans="1:17" ht="13.5" thickBot="1">
      <c r="B521" s="4477"/>
      <c r="C521" s="4477"/>
      <c r="D521" s="4477"/>
      <c r="E521" s="4477"/>
      <c r="F521" s="4477"/>
      <c r="G521" s="4477"/>
      <c r="H521" s="4477"/>
      <c r="I521" s="4477"/>
      <c r="J521" s="4477"/>
      <c r="K521" s="4477"/>
      <c r="L521" s="4477"/>
      <c r="M521" s="4477"/>
      <c r="N521" s="4510"/>
      <c r="O521" s="4511"/>
      <c r="P521" s="4517"/>
      <c r="Q521" s="4517"/>
    </row>
    <row r="522" spans="1:17" ht="13.5" thickBot="1">
      <c r="B522" s="4477"/>
      <c r="C522" s="4477"/>
      <c r="D522" s="4477"/>
      <c r="E522" s="4477"/>
      <c r="F522" s="4477"/>
      <c r="G522" s="4477"/>
      <c r="H522" s="4477"/>
      <c r="I522" s="4477"/>
      <c r="J522" s="4477"/>
      <c r="K522" s="4477"/>
      <c r="L522" s="4477"/>
      <c r="M522" s="4477"/>
      <c r="N522" s="4510"/>
      <c r="O522" s="4511"/>
      <c r="P522" s="4517"/>
      <c r="Q522" s="4517"/>
    </row>
    <row r="523" spans="1:17" ht="13.5" thickBot="1">
      <c r="B523" s="4477"/>
      <c r="C523" s="4477"/>
      <c r="D523" s="4477"/>
      <c r="E523" s="4477"/>
      <c r="F523" s="4477"/>
      <c r="G523" s="4477"/>
      <c r="H523" s="4477"/>
      <c r="I523" s="4477"/>
      <c r="J523" s="4477"/>
      <c r="K523" s="4477"/>
      <c r="L523" s="4477"/>
      <c r="M523" s="4477"/>
      <c r="N523" s="4510"/>
      <c r="O523" s="4511"/>
      <c r="P523" s="4517"/>
      <c r="Q523" s="4517"/>
    </row>
    <row r="524" spans="1:17" ht="13.5" thickBot="1">
      <c r="B524" s="4477"/>
      <c r="C524" s="4477"/>
      <c r="D524" s="4477"/>
      <c r="E524" s="4477"/>
      <c r="F524" s="4477"/>
      <c r="G524" s="4477"/>
      <c r="H524" s="4477"/>
      <c r="I524" s="4477"/>
      <c r="J524" s="4477"/>
      <c r="K524" s="4477"/>
      <c r="L524" s="4477"/>
      <c r="M524" s="4477"/>
      <c r="N524" s="4510"/>
      <c r="O524" s="4511"/>
      <c r="P524" s="4517"/>
      <c r="Q524" s="4517"/>
    </row>
    <row r="525" spans="1:17" ht="13.5" thickBot="1">
      <c r="A525" s="4505"/>
      <c r="B525" s="4506"/>
      <c r="C525" s="4506"/>
      <c r="D525" s="4506"/>
      <c r="E525" s="4506"/>
      <c r="F525" s="4506"/>
      <c r="G525" s="4506"/>
      <c r="H525" s="4506"/>
      <c r="I525" s="4506"/>
      <c r="J525" s="4506"/>
      <c r="K525" s="4506"/>
      <c r="L525" s="4506"/>
      <c r="M525" s="4477"/>
      <c r="N525" s="4510"/>
      <c r="O525" s="4511"/>
      <c r="P525" s="4517"/>
      <c r="Q525" s="4517"/>
    </row>
    <row r="526" spans="1:17" ht="13.5" thickBot="1">
      <c r="A526" s="4479"/>
      <c r="B526" s="4508"/>
      <c r="C526" s="4508"/>
      <c r="D526" s="4508"/>
      <c r="E526" s="4508"/>
      <c r="F526" s="4508"/>
      <c r="G526" s="4508"/>
      <c r="H526" s="4508"/>
      <c r="I526" s="4508"/>
      <c r="J526" s="4508"/>
      <c r="K526" s="4508"/>
      <c r="L526" s="4508"/>
      <c r="M526" s="4477"/>
      <c r="N526" s="4508"/>
      <c r="O526" s="4511"/>
      <c r="P526" s="4517"/>
      <c r="Q526" s="4517"/>
    </row>
    <row r="527" spans="1:17" ht="13.5" thickBot="1">
      <c r="A527" s="4479"/>
      <c r="B527" s="4477"/>
      <c r="C527" s="4477"/>
      <c r="D527" s="4477"/>
      <c r="E527" s="4477"/>
      <c r="F527" s="4477"/>
      <c r="G527" s="4477"/>
      <c r="H527" s="4477"/>
      <c r="I527" s="4477"/>
      <c r="J527" s="4477"/>
      <c r="K527" s="4477"/>
      <c r="L527" s="4477"/>
      <c r="M527" s="4477"/>
      <c r="N527" s="4477"/>
      <c r="O527" s="4511"/>
      <c r="P527" s="4517"/>
      <c r="Q527" s="4517"/>
    </row>
    <row r="528" spans="1:17" ht="13.5" thickBot="1">
      <c r="A528" s="4479"/>
      <c r="B528" s="4477"/>
      <c r="C528" s="4477"/>
      <c r="D528" s="4477"/>
      <c r="E528" s="4477"/>
      <c r="F528" s="4477"/>
      <c r="G528" s="4477"/>
      <c r="H528" s="4477"/>
      <c r="I528" s="4477"/>
      <c r="J528" s="4477"/>
      <c r="K528" s="4477"/>
      <c r="L528" s="4477"/>
      <c r="M528" s="4477"/>
      <c r="N528" s="4477"/>
      <c r="O528" s="4511"/>
      <c r="P528" s="4517"/>
      <c r="Q528" s="4517"/>
    </row>
    <row r="529" spans="1:17" ht="13.5" thickBot="1">
      <c r="A529" s="4479"/>
      <c r="B529" s="4477"/>
      <c r="C529" s="4477"/>
      <c r="D529" s="4477"/>
      <c r="E529" s="4477"/>
      <c r="F529" s="4477"/>
      <c r="G529" s="4477"/>
      <c r="H529" s="4477"/>
      <c r="I529" s="4477"/>
      <c r="J529" s="4477"/>
      <c r="K529" s="4477"/>
      <c r="L529" s="4477"/>
      <c r="M529" s="4477"/>
      <c r="N529" s="4477"/>
      <c r="O529" s="4511"/>
      <c r="P529" s="4517"/>
      <c r="Q529" s="4517"/>
    </row>
    <row r="530" spans="1:17" ht="13.5" thickBot="1">
      <c r="A530" s="4479"/>
      <c r="B530" s="4477"/>
      <c r="C530" s="4477"/>
      <c r="D530" s="4477"/>
      <c r="E530" s="4477"/>
      <c r="F530" s="4477"/>
      <c r="G530" s="4477"/>
      <c r="H530" s="4477"/>
      <c r="I530" s="4477"/>
      <c r="J530" s="4477"/>
      <c r="K530" s="4477"/>
      <c r="L530" s="4477"/>
      <c r="M530" s="4477"/>
      <c r="N530" s="4477"/>
      <c r="O530" s="4511"/>
      <c r="P530" s="4517"/>
      <c r="Q530" s="4517"/>
    </row>
    <row r="531" spans="1:17" ht="13.5" thickBot="1">
      <c r="A531" s="4479"/>
      <c r="B531" s="4477"/>
      <c r="C531" s="4477"/>
      <c r="D531" s="4477"/>
      <c r="E531" s="4477"/>
      <c r="F531" s="4477"/>
      <c r="G531" s="4477"/>
      <c r="H531" s="4477"/>
      <c r="I531" s="4477"/>
      <c r="J531" s="4477"/>
      <c r="K531" s="4477"/>
      <c r="L531" s="4477"/>
      <c r="M531" s="4477"/>
      <c r="N531" s="4477"/>
      <c r="O531" s="4511"/>
      <c r="P531" s="4517"/>
      <c r="Q531" s="4517"/>
    </row>
    <row r="532" spans="1:17" ht="13.5" thickBot="1">
      <c r="A532" s="4479"/>
      <c r="B532" s="4477"/>
      <c r="C532" s="4477"/>
      <c r="D532" s="4477"/>
      <c r="E532" s="4477"/>
      <c r="F532" s="4477"/>
      <c r="G532" s="4477"/>
      <c r="H532" s="4477"/>
      <c r="I532" s="4477"/>
      <c r="J532" s="4477"/>
      <c r="K532" s="4477"/>
      <c r="L532" s="4477"/>
      <c r="M532" s="4477"/>
      <c r="N532" s="4477"/>
      <c r="O532" s="4511"/>
      <c r="P532" s="4517"/>
      <c r="Q532" s="4517"/>
    </row>
    <row r="533" spans="1:17">
      <c r="A533" s="4512"/>
      <c r="B533" s="4477"/>
      <c r="C533" s="4477"/>
      <c r="D533" s="4477"/>
      <c r="E533" s="4477"/>
      <c r="F533" s="4477"/>
      <c r="G533" s="4477"/>
      <c r="H533" s="4477"/>
      <c r="I533" s="4477"/>
      <c r="J533" s="4477"/>
      <c r="K533" s="4477"/>
      <c r="L533" s="4477"/>
      <c r="M533" s="4477"/>
      <c r="N533" s="4477"/>
      <c r="O533" s="4513"/>
      <c r="P533" s="4517"/>
      <c r="Q533" s="4517"/>
    </row>
  </sheetData>
  <mergeCells count="66">
    <mergeCell ref="A83:A87"/>
    <mergeCell ref="G3:L3"/>
    <mergeCell ref="M3:M4"/>
    <mergeCell ref="N3:N4"/>
    <mergeCell ref="O3:O4"/>
    <mergeCell ref="A3:A4"/>
    <mergeCell ref="B3:B4"/>
    <mergeCell ref="C3:C4"/>
    <mergeCell ref="D3:D4"/>
    <mergeCell ref="F3:F4"/>
    <mergeCell ref="O83:O87"/>
    <mergeCell ref="C85:C87"/>
    <mergeCell ref="L48:L49"/>
    <mergeCell ref="M47:M49"/>
    <mergeCell ref="M64:M69"/>
    <mergeCell ref="F47:F49"/>
    <mergeCell ref="Q70:S80"/>
    <mergeCell ref="C72:C77"/>
    <mergeCell ref="C80:C82"/>
    <mergeCell ref="N79:N82"/>
    <mergeCell ref="A70:A82"/>
    <mergeCell ref="O70:O82"/>
    <mergeCell ref="M79:M82"/>
    <mergeCell ref="G48:G49"/>
    <mergeCell ref="H48:H49"/>
    <mergeCell ref="I48:I49"/>
    <mergeCell ref="J48:J49"/>
    <mergeCell ref="O47:O49"/>
    <mergeCell ref="N47:N49"/>
    <mergeCell ref="N64:N69"/>
    <mergeCell ref="G47:L47"/>
    <mergeCell ref="K48:K49"/>
    <mergeCell ref="A105:O105"/>
    <mergeCell ref="A102:O102"/>
    <mergeCell ref="A104:I104"/>
    <mergeCell ref="A103:L103"/>
    <mergeCell ref="C90:C92"/>
    <mergeCell ref="A88:A92"/>
    <mergeCell ref="A93:A97"/>
    <mergeCell ref="A98:A101"/>
    <mergeCell ref="O98:O101"/>
    <mergeCell ref="C100:C101"/>
    <mergeCell ref="O93:O97"/>
    <mergeCell ref="C95:C97"/>
    <mergeCell ref="O88:O92"/>
    <mergeCell ref="A46:E46"/>
    <mergeCell ref="C47:C49"/>
    <mergeCell ref="D47:D49"/>
    <mergeCell ref="E47:E49"/>
    <mergeCell ref="C42:C45"/>
    <mergeCell ref="O34:O40"/>
    <mergeCell ref="O41:O45"/>
    <mergeCell ref="A2:O2"/>
    <mergeCell ref="N16:N20"/>
    <mergeCell ref="A21:A33"/>
    <mergeCell ref="C23:C28"/>
    <mergeCell ref="M29:M31"/>
    <mergeCell ref="N29:N31"/>
    <mergeCell ref="C30:C33"/>
    <mergeCell ref="M16:M20"/>
    <mergeCell ref="O21:O28"/>
    <mergeCell ref="O29:O33"/>
    <mergeCell ref="A34:A45"/>
    <mergeCell ref="C36:C40"/>
    <mergeCell ref="M41:M43"/>
    <mergeCell ref="N41:N43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0" firstPageNumber="41" orientation="landscape" useFirstPageNumber="1" r:id="rId1"/>
  <headerFooter alignWithMargins="0">
    <oddHeader>&amp;C&amp;"Arial,Kursywa"Wieloletnia prognoza finansowa Województwa Zachodniopomorskiego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45" max="1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15"/>
  </sheetPr>
  <dimension ref="A1:S1012"/>
  <sheetViews>
    <sheetView zoomScale="98" zoomScaleNormal="98" zoomScaleSheetLayoutView="90" workbookViewId="0">
      <pane xSplit="7" ySplit="8" topLeftCell="H41" activePane="bottomRight" state="frozen"/>
      <selection pane="topRight" activeCell="H1" sqref="H1"/>
      <selection pane="bottomLeft" activeCell="A9" sqref="A9"/>
      <selection pane="bottomRight" sqref="A1:XFD1048576"/>
    </sheetView>
  </sheetViews>
  <sheetFormatPr defaultColWidth="9.140625" defaultRowHeight="12.75" outlineLevelCol="1"/>
  <cols>
    <col min="1" max="1" width="13.28515625" style="4611" customWidth="1"/>
    <col min="2" max="2" width="35.85546875" style="4528" customWidth="1"/>
    <col min="3" max="3" width="14.7109375" style="4612" customWidth="1"/>
    <col min="4" max="10" width="12.7109375" style="4528" customWidth="1"/>
    <col min="11" max="11" width="15.28515625" style="4528" customWidth="1"/>
    <col min="12" max="12" width="14.42578125" style="4528" hidden="1" customWidth="1"/>
    <col min="13" max="13" width="14.42578125" style="4528" customWidth="1"/>
    <col min="14" max="14" width="7.85546875" style="4528" customWidth="1"/>
    <col min="15" max="15" width="13.5703125" style="4528" customWidth="1"/>
    <col min="16" max="16" width="14.85546875" style="4526" bestFit="1" customWidth="1"/>
    <col min="17" max="17" width="11.85546875" style="4527" hidden="1" customWidth="1" outlineLevel="1"/>
    <col min="18" max="18" width="13.28515625" style="4527" hidden="1" customWidth="1" outlineLevel="1"/>
    <col min="19" max="19" width="20.140625" style="4528" customWidth="1" collapsed="1"/>
    <col min="20" max="21" width="9.140625" style="4528"/>
    <col min="22" max="22" width="9.7109375" style="4528" bestFit="1" customWidth="1"/>
    <col min="23" max="16384" width="9.140625" style="4528"/>
  </cols>
  <sheetData>
    <row r="1" spans="1:19" ht="68.25" customHeight="1">
      <c r="A1" s="4523" t="s">
        <v>167</v>
      </c>
      <c r="B1" s="4523"/>
      <c r="C1" s="4523"/>
      <c r="D1" s="4523"/>
      <c r="E1" s="4523"/>
      <c r="F1" s="4523"/>
      <c r="G1" s="4523"/>
      <c r="H1" s="4523"/>
      <c r="I1" s="4523"/>
      <c r="J1" s="4523"/>
      <c r="K1" s="4523"/>
      <c r="L1" s="4523"/>
      <c r="M1" s="4524"/>
      <c r="N1" s="4525"/>
      <c r="O1" s="4525"/>
    </row>
    <row r="2" spans="1:19" ht="15.75" customHeight="1">
      <c r="A2" s="4529"/>
      <c r="B2" s="4529"/>
      <c r="C2" s="4529"/>
      <c r="D2" s="4529"/>
      <c r="E2" s="4529"/>
      <c r="F2" s="4529"/>
      <c r="G2" s="4529"/>
      <c r="H2" s="4529"/>
      <c r="I2" s="4529"/>
      <c r="J2" s="4529"/>
      <c r="K2" s="4529"/>
      <c r="L2" s="4525"/>
      <c r="M2" s="4525"/>
      <c r="N2" s="4525"/>
      <c r="O2" s="4525"/>
    </row>
    <row r="3" spans="1:19" ht="34.5" customHeight="1">
      <c r="A3" s="4530" t="s">
        <v>4</v>
      </c>
      <c r="B3" s="4531"/>
      <c r="C3" s="4532" t="s">
        <v>255</v>
      </c>
      <c r="D3" s="4533" t="s">
        <v>573</v>
      </c>
      <c r="E3" s="4534" t="s">
        <v>513</v>
      </c>
      <c r="F3" s="4535"/>
      <c r="G3" s="4535"/>
      <c r="H3" s="4535"/>
      <c r="I3" s="4535"/>
      <c r="J3" s="4536"/>
      <c r="K3" s="4537" t="s">
        <v>3</v>
      </c>
      <c r="L3" s="4538" t="s">
        <v>531</v>
      </c>
      <c r="M3" s="4538" t="s">
        <v>519</v>
      </c>
      <c r="N3" s="4539"/>
      <c r="O3" s="4539"/>
    </row>
    <row r="4" spans="1:19" ht="19.5" customHeight="1">
      <c r="A4" s="4530"/>
      <c r="B4" s="4531"/>
      <c r="C4" s="4532"/>
      <c r="D4" s="4533"/>
      <c r="E4" s="4533" t="s">
        <v>6</v>
      </c>
      <c r="F4" s="4533" t="s">
        <v>202</v>
      </c>
      <c r="G4" s="4533" t="s">
        <v>203</v>
      </c>
      <c r="H4" s="4533" t="s">
        <v>248</v>
      </c>
      <c r="I4" s="4533" t="s">
        <v>249</v>
      </c>
      <c r="J4" s="4533" t="s">
        <v>250</v>
      </c>
      <c r="K4" s="4537"/>
      <c r="L4" s="4538"/>
      <c r="M4" s="4538"/>
      <c r="N4" s="4539"/>
      <c r="O4" s="4539"/>
    </row>
    <row r="5" spans="1:19" ht="18.75" customHeight="1">
      <c r="A5" s="4530"/>
      <c r="B5" s="4531"/>
      <c r="C5" s="4540" t="s">
        <v>497</v>
      </c>
      <c r="D5" s="4533"/>
      <c r="E5" s="4533"/>
      <c r="F5" s="4533"/>
      <c r="G5" s="4533"/>
      <c r="H5" s="4533"/>
      <c r="I5" s="4533"/>
      <c r="J5" s="4533"/>
      <c r="K5" s="4537"/>
      <c r="L5" s="4538"/>
      <c r="M5" s="4538"/>
      <c r="N5" s="4539"/>
      <c r="O5" s="4539"/>
    </row>
    <row r="6" spans="1:19" s="4549" customFormat="1" ht="14.25" customHeight="1">
      <c r="A6" s="4541">
        <v>1</v>
      </c>
      <c r="B6" s="4542"/>
      <c r="C6" s="4543">
        <v>2</v>
      </c>
      <c r="D6" s="4544">
        <v>3</v>
      </c>
      <c r="E6" s="4544">
        <v>4</v>
      </c>
      <c r="F6" s="4544">
        <v>5</v>
      </c>
      <c r="G6" s="4544">
        <v>6</v>
      </c>
      <c r="H6" s="4544">
        <v>7</v>
      </c>
      <c r="I6" s="4544">
        <v>8</v>
      </c>
      <c r="J6" s="4544">
        <v>9</v>
      </c>
      <c r="K6" s="4544">
        <v>10</v>
      </c>
      <c r="L6" s="4545">
        <v>11</v>
      </c>
      <c r="M6" s="4545">
        <v>11</v>
      </c>
      <c r="N6" s="4546"/>
      <c r="O6" s="4546"/>
      <c r="P6" s="4547"/>
      <c r="Q6" s="4548"/>
      <c r="R6" s="4548"/>
    </row>
    <row r="7" spans="1:19" s="4557" customFormat="1" ht="24.75" customHeight="1">
      <c r="A7" s="4550" t="s">
        <v>168</v>
      </c>
      <c r="B7" s="4551"/>
      <c r="C7" s="4552">
        <f>'Tab. 6A -Drogi'!E35+'Tab. 6B Polit społ i rozwój prz'!E45+'Tab. 6B Polit społ i rozwój prz'!E86+'Tab. 6B Polit społ i rozwój prz'!E98+'Tab. 6B Polit społ i rozwój prz'!E123+'Tab. 6B Polit społ i rozwój prz'!E136+'Tab. 6B Polit społ i rozwój prz'!E148+'Tab. 6B Polit społ i rozwój prz'!E158+'Tab. 6B Polit społ i rozwój prz'!E176+'Tab. 6B Polit społ i rozwój prz'!E188+'Tab. 6B Polit społ i rozwój prz'!E221+'Tab. 6B Polit społ i rozwój prz'!E239+'Tab. 6B Polit społ i rozwój prz'!E254+'Tab. 6E - Administracja'!E94-'Tab. 6E - Administracja'!E102+'Tab. 6E - Administracja'!E124+'Tab. 6E - Administracja'!E138+'Tab. 6G - Roln i ochrona środ.'!E69+'Tab. 6G - Roln i ochrona środ.'!E78+'Tab. 6G - Roln i ochrona środ.'!E87+'Tab. 6G - Roln i ochrona środ.'!E96+'Tab. 6H - Kultura fiz. i turyst'!E26+'Tab. 6H - Kultura fiz. i turyst'!E38+'Tab. 6H - Kultura fiz. i turyst'!E50+'Tab. 6H - Kultura fiz. i turyst'!E74+'Tab. 6H - Kultura fiz. i turyst'!E83+'Tab. 6H - Kultura fiz. i turyst'!E118+'Tab. 6H - Kultura fiz. i turyst'!E127+'Tab. 6B Polit społ i rozwój prz'!E110-'Tab. 6B Polit społ i rozwój prz'!E114+'Tab. 6H - Kultura fiz. i turyst'!E96+'Tab. 6C - Ochrona zdrowia'!E22-'Tab. 6C - Ochrona zdrowia'!E25+'Tab. 6C - Ochrona zdrowia'!E35</f>
        <v>78755518</v>
      </c>
      <c r="D7" s="4552">
        <f>'Tab. 6A -Drogi'!F35+'Tab. 6B Polit społ i rozwój prz'!F45+'Tab. 6B Polit społ i rozwój prz'!F86+'Tab. 6B Polit społ i rozwój prz'!F98+'Tab. 6B Polit społ i rozwój prz'!F123+'Tab. 6B Polit społ i rozwój prz'!F136+'Tab. 6B Polit społ i rozwój prz'!F148+'Tab. 6B Polit społ i rozwój prz'!F158+'Tab. 6B Polit społ i rozwój prz'!F176+'Tab. 6B Polit społ i rozwój prz'!F188+'Tab. 6B Polit społ i rozwój prz'!F221+'Tab. 6B Polit społ i rozwój prz'!F239+'Tab. 6B Polit społ i rozwój prz'!F254+'Tab. 6E - Administracja'!F94-'Tab. 6E - Administracja'!F102+'Tab. 6E - Administracja'!F124+'Tab. 6E - Administracja'!F138+'Tab. 6G - Roln i ochrona środ.'!F69+'Tab. 6G - Roln i ochrona środ.'!F78+'Tab. 6G - Roln i ochrona środ.'!F87+'Tab. 6G - Roln i ochrona środ.'!F96+'Tab. 6H - Kultura fiz. i turyst'!F26+'Tab. 6H - Kultura fiz. i turyst'!F38+'Tab. 6H - Kultura fiz. i turyst'!F50+'Tab. 6H - Kultura fiz. i turyst'!F74+'Tab. 6H - Kultura fiz. i turyst'!F83+'Tab. 6H - Kultura fiz. i turyst'!F118+'Tab. 6H - Kultura fiz. i turyst'!F127+'Tab. 6B Polit społ i rozwój prz'!F110-'Tab. 6B Polit społ i rozwój prz'!F114+'Tab. 6H - Kultura fiz. i turyst'!F96+'Tab. 6C - Ochrona zdrowia'!F22-'Tab. 6C - Ochrona zdrowia'!F25+'Tab. 6C - Ochrona zdrowia'!F35</f>
        <v>252003940</v>
      </c>
      <c r="E7" s="4552">
        <f>'Tab. 6A -Drogi'!G35+'Tab. 6B Polit społ i rozwój prz'!G45+'Tab. 6B Polit społ i rozwój prz'!G86+'Tab. 6B Polit społ i rozwój prz'!G98+'Tab. 6B Polit społ i rozwój prz'!G123+'Tab. 6B Polit społ i rozwój prz'!G136+'Tab. 6B Polit społ i rozwój prz'!G148+'Tab. 6B Polit społ i rozwój prz'!G158+'Tab. 6B Polit społ i rozwój prz'!G176+'Tab. 6B Polit społ i rozwój prz'!G188+'Tab. 6B Polit społ i rozwój prz'!G221+'Tab. 6B Polit społ i rozwój prz'!G239+'Tab. 6B Polit społ i rozwój prz'!G254+'Tab. 6E - Administracja'!G94-'Tab. 6E - Administracja'!G102+'Tab. 6E - Administracja'!G124+'Tab. 6E - Administracja'!G138+'Tab. 6G - Roln i ochrona środ.'!G69+'Tab. 6G - Roln i ochrona środ.'!G78+'Tab. 6G - Roln i ochrona środ.'!G87+'Tab. 6G - Roln i ochrona środ.'!G96+'Tab. 6H - Kultura fiz. i turyst'!G26+'Tab. 6H - Kultura fiz. i turyst'!G38+'Tab. 6H - Kultura fiz. i turyst'!G50+'Tab. 6H - Kultura fiz. i turyst'!G74+'Tab. 6H - Kultura fiz. i turyst'!G83+'Tab. 6H - Kultura fiz. i turyst'!G118+'Tab. 6H - Kultura fiz. i turyst'!G127+'Tab. 6B Polit społ i rozwój prz'!G110-'Tab. 6B Polit społ i rozwój prz'!G114+'Tab. 6H - Kultura fiz. i turyst'!G96+'Tab. 6C - Ochrona zdrowia'!G22-'Tab. 6C - Ochrona zdrowia'!G25+'Tab. 6C - Ochrona zdrowia'!G35</f>
        <v>413858441</v>
      </c>
      <c r="F7" s="4552">
        <f>'Tab. 6A -Drogi'!H35+'Tab. 6B Polit społ i rozwój prz'!H45+'Tab. 6B Polit społ i rozwój prz'!H86+'Tab. 6B Polit społ i rozwój prz'!H98+'Tab. 6B Polit społ i rozwój prz'!H123+'Tab. 6B Polit społ i rozwój prz'!H136+'Tab. 6B Polit społ i rozwój prz'!H148+'Tab. 6B Polit społ i rozwój prz'!H158+'Tab. 6B Polit społ i rozwój prz'!H176+'Tab. 6B Polit społ i rozwój prz'!H188+'Tab. 6B Polit społ i rozwój prz'!H221+'Tab. 6B Polit społ i rozwój prz'!H239+'Tab. 6B Polit społ i rozwój prz'!H254+'Tab. 6E - Administracja'!H94-'Tab. 6E - Administracja'!H102+'Tab. 6E - Administracja'!H124+'Tab. 6E - Administracja'!H138+'Tab. 6G - Roln i ochrona środ.'!H69+'Tab. 6G - Roln i ochrona środ.'!H78+'Tab. 6G - Roln i ochrona środ.'!H87+'Tab. 6G - Roln i ochrona środ.'!H96+'Tab. 6H - Kultura fiz. i turyst'!H26+'Tab. 6H - Kultura fiz. i turyst'!H38+'Tab. 6H - Kultura fiz. i turyst'!H50+'Tab. 6H - Kultura fiz. i turyst'!H74+'Tab. 6H - Kultura fiz. i turyst'!H83+'Tab. 6H - Kultura fiz. i turyst'!H118+'Tab. 6H - Kultura fiz. i turyst'!H127+'Tab. 6B Polit społ i rozwój prz'!H110-'Tab. 6B Polit społ i rozwój prz'!H114+'Tab. 6H - Kultura fiz. i turyst'!H96+'Tab. 6C - Ochrona zdrowia'!H22-'Tab. 6C - Ochrona zdrowia'!H25+'Tab. 6C - Ochrona zdrowia'!H35+'Tab.6I - Planow. przestrz.'!H74</f>
        <v>304989921</v>
      </c>
      <c r="G7" s="4552">
        <f>'Tab. 6A -Drogi'!I35+'Tab. 6B Polit społ i rozwój prz'!I45+'Tab. 6B Polit społ i rozwój prz'!I86+'Tab. 6B Polit społ i rozwój prz'!I98+'Tab. 6B Polit społ i rozwój prz'!I123+'Tab. 6B Polit społ i rozwój prz'!I136+'Tab. 6B Polit społ i rozwój prz'!I148+'Tab. 6B Polit społ i rozwój prz'!I158+'Tab. 6B Polit społ i rozwój prz'!I176+'Tab. 6B Polit społ i rozwój prz'!I188+'Tab. 6B Polit społ i rozwój prz'!I221+'Tab. 6B Polit społ i rozwój prz'!I239+'Tab. 6B Polit społ i rozwój prz'!I254+'Tab. 6E - Administracja'!I94-'Tab. 6E - Administracja'!I102+'Tab. 6E - Administracja'!I124+'Tab. 6E - Administracja'!I138+'Tab. 6G - Roln i ochrona środ.'!I69+'Tab. 6G - Roln i ochrona środ.'!I78+'Tab. 6G - Roln i ochrona środ.'!I87+'Tab. 6G - Roln i ochrona środ.'!I96+'Tab. 6H - Kultura fiz. i turyst'!I26+'Tab. 6H - Kultura fiz. i turyst'!I38+'Tab. 6H - Kultura fiz. i turyst'!I50+'Tab. 6H - Kultura fiz. i turyst'!I74+'Tab. 6H - Kultura fiz. i turyst'!I83+'Tab. 6H - Kultura fiz. i turyst'!I118+'Tab. 6H - Kultura fiz. i turyst'!I127+'Tab. 6B Polit społ i rozwój prz'!I110-'Tab. 6B Polit społ i rozwój prz'!I114+'Tab. 6H - Kultura fiz. i turyst'!I96+'Tab. 6C - Ochrona zdrowia'!I22-'Tab. 6C - Ochrona zdrowia'!I25+'Tab. 6C - Ochrona zdrowia'!I35+'Tab.6I - Planow. przestrz.'!I74</f>
        <v>299191082</v>
      </c>
      <c r="H7" s="4552">
        <f>'Tab. 6A -Drogi'!J35+'Tab. 6B Polit społ i rozwój prz'!J45+'Tab. 6B Polit społ i rozwój prz'!J86+'Tab. 6B Polit społ i rozwój prz'!J98+'Tab. 6B Polit społ i rozwój prz'!J123+'Tab. 6B Polit społ i rozwój prz'!J136+'Tab. 6B Polit społ i rozwój prz'!J148+'Tab. 6B Polit społ i rozwój prz'!J158+'Tab. 6B Polit społ i rozwój prz'!J176+'Tab. 6B Polit społ i rozwój prz'!J188+'Tab. 6B Polit społ i rozwój prz'!J221+'Tab. 6B Polit społ i rozwój prz'!J239+'Tab. 6B Polit społ i rozwój prz'!J254+'Tab. 6E - Administracja'!J94-'Tab. 6E - Administracja'!J102+'Tab. 6E - Administracja'!J124+'Tab. 6E - Administracja'!J138+'Tab. 6G - Roln i ochrona środ.'!J69+'Tab. 6G - Roln i ochrona środ.'!J78+'Tab. 6G - Roln i ochrona środ.'!J87+'Tab. 6G - Roln i ochrona środ.'!J96+'Tab. 6H - Kultura fiz. i turyst'!J26+'Tab. 6H - Kultura fiz. i turyst'!J38+'Tab. 6H - Kultura fiz. i turyst'!J50+'Tab. 6H - Kultura fiz. i turyst'!J74+'Tab. 6H - Kultura fiz. i turyst'!J83+'Tab. 6H - Kultura fiz. i turyst'!J118+'Tab. 6H - Kultura fiz. i turyst'!J127+'Tab. 6B Polit społ i rozwój prz'!J110-'Tab. 6B Polit społ i rozwój prz'!J114+'Tab. 6H - Kultura fiz. i turyst'!J96+'Tab. 6C - Ochrona zdrowia'!J22-'Tab. 6C - Ochrona zdrowia'!J25+'Tab. 6C - Ochrona zdrowia'!J35+'Tab.6I - Planow. przestrz.'!J74</f>
        <v>121046033</v>
      </c>
      <c r="I7" s="4552">
        <f>'Tab. 6A -Drogi'!K35+'Tab. 6B Polit społ i rozwój prz'!K45+'Tab. 6B Polit społ i rozwój prz'!K86+'Tab. 6B Polit społ i rozwój prz'!K98+'Tab. 6B Polit społ i rozwój prz'!K123+'Tab. 6B Polit społ i rozwój prz'!K136+'Tab. 6B Polit społ i rozwój prz'!K148+'Tab. 6B Polit społ i rozwój prz'!K158+'Tab. 6B Polit społ i rozwój prz'!K176+'Tab. 6B Polit społ i rozwój prz'!K188+'Tab. 6B Polit społ i rozwój prz'!K221+'Tab. 6B Polit społ i rozwój prz'!K239+'Tab. 6B Polit społ i rozwój prz'!K254+'Tab. 6E - Administracja'!K94-'Tab. 6E - Administracja'!K102+'Tab. 6E - Administracja'!K124+'Tab. 6E - Administracja'!K138+'Tab. 6G - Roln i ochrona środ.'!K69+'Tab. 6G - Roln i ochrona środ.'!K78+'Tab. 6G - Roln i ochrona środ.'!K87+'Tab. 6G - Roln i ochrona środ.'!K96+'Tab. 6H - Kultura fiz. i turyst'!K26+'Tab. 6H - Kultura fiz. i turyst'!K38+'Tab. 6H - Kultura fiz. i turyst'!K50+'Tab. 6H - Kultura fiz. i turyst'!K74+'Tab. 6H - Kultura fiz. i turyst'!K83+'Tab. 6H - Kultura fiz. i turyst'!K118+'Tab. 6H - Kultura fiz. i turyst'!K127+'Tab. 6B Polit społ i rozwój prz'!K110-'Tab. 6B Polit społ i rozwój prz'!K114+'Tab. 6H - Kultura fiz. i turyst'!K96+'Tab. 6C - Ochrona zdrowia'!K22-'Tab. 6C - Ochrona zdrowia'!K25+'Tab. 6C - Ochrona zdrowia'!K35+'Tab.6I - Planow. przestrz.'!K74</f>
        <v>35521033</v>
      </c>
      <c r="J7" s="4552">
        <f>'Tab. 6A -Drogi'!L35+'Tab. 6B Polit społ i rozwój prz'!L45+'Tab. 6B Polit społ i rozwój prz'!L86+'Tab. 6B Polit społ i rozwój prz'!L98+'Tab. 6B Polit społ i rozwój prz'!L123+'Tab. 6B Polit społ i rozwój prz'!L136+'Tab. 6B Polit społ i rozwój prz'!L148+'Tab. 6B Polit społ i rozwój prz'!L158+'Tab. 6B Polit społ i rozwój prz'!L176+'Tab. 6B Polit społ i rozwój prz'!L188+'Tab. 6B Polit społ i rozwój prz'!L221+'Tab. 6B Polit społ i rozwój prz'!L239+'Tab. 6B Polit społ i rozwój prz'!L254+'Tab. 6E - Administracja'!L94-'Tab. 6E - Administracja'!L102+'Tab. 6E - Administracja'!L124+'Tab. 6E - Administracja'!L138+'Tab. 6G - Roln i ochrona środ.'!L69+'Tab. 6G - Roln i ochrona środ.'!L78+'Tab. 6G - Roln i ochrona środ.'!L87+'Tab. 6G - Roln i ochrona środ.'!L96+'Tab. 6H - Kultura fiz. i turyst'!L26+'Tab. 6H - Kultura fiz. i turyst'!L38+'Tab. 6H - Kultura fiz. i turyst'!L50+'Tab. 6H - Kultura fiz. i turyst'!L74+'Tab. 6H - Kultura fiz. i turyst'!L83+'Tab. 6H - Kultura fiz. i turyst'!L118+'Tab. 6H - Kultura fiz. i turyst'!L127+'Tab. 6B Polit społ i rozwój prz'!L110-'Tab. 6B Polit społ i rozwój prz'!L114+'Tab. 6H - Kultura fiz. i turyst'!L96+'Tab. 6C - Ochrona zdrowia'!L22-'Tab. 6C - Ochrona zdrowia'!L25+'Tab. 6C - Ochrona zdrowia'!L35+'Tab.6I - Planow. przestrz.'!L74</f>
        <v>33308752</v>
      </c>
      <c r="K7" s="4552">
        <f>C7+D7+E7+F7+G7+H7+I7+J7</f>
        <v>1538674720</v>
      </c>
      <c r="L7" s="4553">
        <f>+D7+E7+F7+G7+H7+I7+J7</f>
        <v>1459919202</v>
      </c>
      <c r="M7" s="4553">
        <f>+E7+F7+G7+H7+I7+J7</f>
        <v>1207915262</v>
      </c>
      <c r="N7" s="4554">
        <f>E7/$E$45%</f>
        <v>94.465738144502353</v>
      </c>
      <c r="O7" s="4554">
        <f>E7/$O$48%</f>
        <v>34.589513016059122</v>
      </c>
      <c r="P7" s="4555"/>
      <c r="Q7" s="4556"/>
      <c r="R7" s="4556"/>
      <c r="S7" s="4556"/>
    </row>
    <row r="8" spans="1:19" s="4557" customFormat="1" ht="24.75" customHeight="1">
      <c r="A8" s="4558" t="s">
        <v>169</v>
      </c>
      <c r="B8" s="4559"/>
      <c r="C8" s="4560">
        <f>'Tab. 6A -Drogi'!E43+'Tab. 6B Polit społ i rozwój prz'!E55+'Tab. 6B Polit społ i rozwój prz'!E92+'Tab. 6B Polit społ i rozwój prz'!E104+'Tab. 6B Polit społ i rozwój prz'!E132+'Tab. 6B Polit społ i rozwój prz'!E144+'Tab. 6B Polit społ i rozwój prz'!E154+'Tab. 6B Polit społ i rozwój prz'!E170+'Tab. 6B Polit społ i rozwój prz'!E182+'Tab. 6B Polit społ i rozwój prz'!E200+'Tab. 6B Polit społ i rozwój prz'!E233+'Tab. 6B Polit społ i rozwój prz'!E248+'Tab. 6B Polit społ i rozwój prz'!E259+'Tab. 6E - Administracja'!E115+'Tab. 6E - Administracja'!E134+'Tab. 6E - Administracja'!E147+'Tab. 6G - Roln i ochrona środ.'!E74+'Tab. 6G - Roln i ochrona środ.'!E83+'Tab. 6G - Roln i ochrona środ.'!E92+'Tab. 6G - Roln i ochrona środ.'!E101+'Tab. 6H - Kultura fiz. i turyst'!E32+'Tab. 6H - Kultura fiz. i turyst'!E44+'Tab. 6H - Kultura fiz. i turyst'!E56+'Tab. 6H - Kultura fiz. i turyst'!E79+'Tab. 6H - Kultura fiz. i turyst'!E92+'Tab. 6H - Kultura fiz. i turyst'!E123+'Tab. 6H - Kultura fiz. i turyst'!E133+'Tab. 6B Polit społ i rozwój prz'!E117+'Tab. 6C - Ochrona zdrowia'!E29+'Tab. 6C - Ochrona zdrowia'!E41+'Tab. 6H - Kultura fiz. i turyst'!E105</f>
        <v>57131181</v>
      </c>
      <c r="D8" s="4560">
        <f>'Tab. 6A -Drogi'!F43+'Tab. 6B Polit społ i rozwój prz'!F55+'Tab. 6B Polit społ i rozwój prz'!F92+'Tab. 6B Polit społ i rozwój prz'!F104+'Tab. 6B Polit społ i rozwój prz'!F132+'Tab. 6B Polit społ i rozwój prz'!F144+'Tab. 6B Polit społ i rozwój prz'!F154+'Tab. 6B Polit społ i rozwój prz'!F170+'Tab. 6B Polit społ i rozwój prz'!F182+'Tab. 6B Polit społ i rozwój prz'!F200+'Tab. 6B Polit społ i rozwój prz'!F233+'Tab. 6B Polit społ i rozwój prz'!F248+'Tab. 6B Polit społ i rozwój prz'!F259+'Tab. 6E - Administracja'!F115+'Tab. 6E - Administracja'!F134+'Tab. 6E - Administracja'!F147+'Tab. 6G - Roln i ochrona środ.'!F74+'Tab. 6G - Roln i ochrona środ.'!F83+'Tab. 6G - Roln i ochrona środ.'!F92+'Tab. 6G - Roln i ochrona środ.'!F101+'Tab. 6H - Kultura fiz. i turyst'!F32+'Tab. 6H - Kultura fiz. i turyst'!F44+'Tab. 6H - Kultura fiz. i turyst'!F56+'Tab. 6H - Kultura fiz. i turyst'!F79+'Tab. 6H - Kultura fiz. i turyst'!F92+'Tab. 6H - Kultura fiz. i turyst'!F123+'Tab. 6H - Kultura fiz. i turyst'!F133+'Tab. 6B Polit społ i rozwój prz'!F117+'Tab. 6C - Ochrona zdrowia'!F29+'Tab. 6C - Ochrona zdrowia'!F41+'Tab. 6H - Kultura fiz. i turyst'!F105</f>
        <v>211682354</v>
      </c>
      <c r="E8" s="4560">
        <f>'Tab. 6A -Drogi'!G43+'Tab. 6B Polit społ i rozwój prz'!G55+'Tab. 6B Polit społ i rozwój prz'!G92+'Tab. 6B Polit społ i rozwój prz'!G104+'Tab. 6B Polit społ i rozwój prz'!G132+'Tab. 6B Polit społ i rozwój prz'!G144+'Tab. 6B Polit społ i rozwój prz'!G154+'Tab. 6B Polit społ i rozwój prz'!G170+'Tab. 6B Polit społ i rozwój prz'!G182+'Tab. 6B Polit społ i rozwój prz'!G200+'Tab. 6B Polit społ i rozwój prz'!G233+'Tab. 6B Polit społ i rozwój prz'!G248+'Tab. 6B Polit społ i rozwój prz'!G259+'Tab. 6E - Administracja'!G115+'Tab. 6E - Administracja'!G134+'Tab. 6E - Administracja'!G147+'Tab. 6G - Roln i ochrona środ.'!G74+'Tab. 6G - Roln i ochrona środ.'!G83+'Tab. 6G - Roln i ochrona środ.'!G92+'Tab. 6G - Roln i ochrona środ.'!G101+'Tab. 6H - Kultura fiz. i turyst'!G32+'Tab. 6H - Kultura fiz. i turyst'!G44+'Tab. 6H - Kultura fiz. i turyst'!G56+'Tab. 6H - Kultura fiz. i turyst'!G79+'Tab. 6H - Kultura fiz. i turyst'!G92+'Tab. 6H - Kultura fiz. i turyst'!G123+'Tab. 6H - Kultura fiz. i turyst'!G133+'Tab. 6B Polit społ i rozwój prz'!G117+'Tab. 6C - Ochrona zdrowia'!G29+'Tab. 6C - Ochrona zdrowia'!G41+'Tab. 6H - Kultura fiz. i turyst'!G105</f>
        <v>370287975</v>
      </c>
      <c r="F8" s="4560">
        <f>'Tab. 6A -Drogi'!H43+'Tab. 6B Polit społ i rozwój prz'!H55+'Tab. 6B Polit społ i rozwój prz'!H92+'Tab. 6B Polit społ i rozwój prz'!H104+'Tab. 6B Polit społ i rozwój prz'!H132+'Tab. 6B Polit społ i rozwój prz'!H144+'Tab. 6B Polit społ i rozwój prz'!H154+'Tab. 6B Polit społ i rozwój prz'!H170+'Tab. 6B Polit społ i rozwój prz'!H182+'Tab. 6B Polit społ i rozwój prz'!H200+'Tab. 6B Polit społ i rozwój prz'!H233+'Tab. 6B Polit społ i rozwój prz'!H248+'Tab. 6B Polit społ i rozwój prz'!H259+'Tab. 6E - Administracja'!H115+'Tab. 6E - Administracja'!H134+'Tab. 6E - Administracja'!H147+'Tab. 6G - Roln i ochrona środ.'!H74+'Tab. 6G - Roln i ochrona środ.'!H83+'Tab. 6G - Roln i ochrona środ.'!H92+'Tab. 6G - Roln i ochrona środ.'!H101+'Tab. 6H - Kultura fiz. i turyst'!H32+'Tab. 6H - Kultura fiz. i turyst'!H44+'Tab. 6H - Kultura fiz. i turyst'!H56+'Tab. 6H - Kultura fiz. i turyst'!H79+'Tab. 6H - Kultura fiz. i turyst'!H92+'Tab. 6H - Kultura fiz. i turyst'!H123+'Tab. 6H - Kultura fiz. i turyst'!H133+'Tab. 6B Polit społ i rozwój prz'!H117+'Tab. 6C - Ochrona zdrowia'!H29+'Tab. 6C - Ochrona zdrowia'!H41+'Tab. 6H - Kultura fiz. i turyst'!H105+'Tab.6I - Planow. przestrz.'!H80</f>
        <v>258839634</v>
      </c>
      <c r="G8" s="4560">
        <f>'Tab. 6A -Drogi'!I43+'Tab. 6B Polit społ i rozwój prz'!I55+'Tab. 6B Polit społ i rozwój prz'!I92+'Tab. 6B Polit społ i rozwój prz'!I104+'Tab. 6B Polit społ i rozwój prz'!I132+'Tab. 6B Polit społ i rozwój prz'!I144+'Tab. 6B Polit społ i rozwój prz'!I154+'Tab. 6B Polit społ i rozwój prz'!I170+'Tab. 6B Polit społ i rozwój prz'!I182+'Tab. 6B Polit społ i rozwój prz'!I200+'Tab. 6B Polit społ i rozwój prz'!I233+'Tab. 6B Polit społ i rozwój prz'!I248+'Tab. 6B Polit społ i rozwój prz'!I259+'Tab. 6E - Administracja'!I115+'Tab. 6E - Administracja'!I134+'Tab. 6E - Administracja'!I147+'Tab. 6G - Roln i ochrona środ.'!I74+'Tab. 6G - Roln i ochrona środ.'!I83+'Tab. 6G - Roln i ochrona środ.'!I92+'Tab. 6G - Roln i ochrona środ.'!I101+'Tab. 6H - Kultura fiz. i turyst'!I32+'Tab. 6H - Kultura fiz. i turyst'!I44+'Tab. 6H - Kultura fiz. i turyst'!I56+'Tab. 6H - Kultura fiz. i turyst'!I79+'Tab. 6H - Kultura fiz. i turyst'!I92+'Tab. 6H - Kultura fiz. i turyst'!I123+'Tab. 6H - Kultura fiz. i turyst'!I133+'Tab. 6B Polit społ i rozwój prz'!I117+'Tab. 6C - Ochrona zdrowia'!I29+'Tab. 6C - Ochrona zdrowia'!I41+'Tab. 6H - Kultura fiz. i turyst'!I105+'Tab.6I - Planow. przestrz.'!I80</f>
        <v>230268044</v>
      </c>
      <c r="H8" s="4560">
        <f>'Tab. 6A -Drogi'!J43+'Tab. 6B Polit społ i rozwój prz'!J55+'Tab. 6B Polit społ i rozwój prz'!J92+'Tab. 6B Polit społ i rozwój prz'!J104+'Tab. 6B Polit społ i rozwój prz'!J132+'Tab. 6B Polit społ i rozwój prz'!J144+'Tab. 6B Polit społ i rozwój prz'!J154+'Tab. 6B Polit społ i rozwój prz'!J170+'Tab. 6B Polit społ i rozwój prz'!J182+'Tab. 6B Polit społ i rozwój prz'!J200+'Tab. 6B Polit społ i rozwój prz'!J233+'Tab. 6B Polit społ i rozwój prz'!J248+'Tab. 6B Polit społ i rozwój prz'!J259+'Tab. 6E - Administracja'!J115+'Tab. 6E - Administracja'!J134+'Tab. 6E - Administracja'!J147+'Tab. 6G - Roln i ochrona środ.'!J74+'Tab. 6G - Roln i ochrona środ.'!J83+'Tab. 6G - Roln i ochrona środ.'!J92+'Tab. 6G - Roln i ochrona środ.'!J101+'Tab. 6H - Kultura fiz. i turyst'!J32+'Tab. 6H - Kultura fiz. i turyst'!J44+'Tab. 6H - Kultura fiz. i turyst'!J56+'Tab. 6H - Kultura fiz. i turyst'!J79+'Tab. 6H - Kultura fiz. i turyst'!J92+'Tab. 6H - Kultura fiz. i turyst'!J123+'Tab. 6H - Kultura fiz. i turyst'!J133+'Tab. 6B Polit społ i rozwój prz'!J117+'Tab. 6C - Ochrona zdrowia'!J29+'Tab. 6C - Ochrona zdrowia'!J41+'Tab. 6H - Kultura fiz. i turyst'!J105+'Tab.6I - Planow. przestrz.'!J80</f>
        <v>117992973</v>
      </c>
      <c r="I8" s="4560">
        <f>'Tab. 6A -Drogi'!K43+'Tab. 6B Polit społ i rozwój prz'!K55+'Tab. 6B Polit społ i rozwój prz'!K92+'Tab. 6B Polit społ i rozwój prz'!K104+'Tab. 6B Polit społ i rozwój prz'!K132+'Tab. 6B Polit społ i rozwój prz'!K144+'Tab. 6B Polit społ i rozwój prz'!K154+'Tab. 6B Polit społ i rozwój prz'!K170+'Tab. 6B Polit społ i rozwój prz'!K182+'Tab. 6B Polit społ i rozwój prz'!K200+'Tab. 6B Polit społ i rozwój prz'!K233+'Tab. 6B Polit społ i rozwój prz'!K248+'Tab. 6B Polit społ i rozwój prz'!K259+'Tab. 6E - Administracja'!K115+'Tab. 6E - Administracja'!K134+'Tab. 6E - Administracja'!K147+'Tab. 6G - Roln i ochrona środ.'!K74+'Tab. 6G - Roln i ochrona środ.'!K83+'Tab. 6G - Roln i ochrona środ.'!K92+'Tab. 6G - Roln i ochrona środ.'!K101+'Tab. 6H - Kultura fiz. i turyst'!K32+'Tab. 6H - Kultura fiz. i turyst'!K44+'Tab. 6H - Kultura fiz. i turyst'!K56+'Tab. 6H - Kultura fiz. i turyst'!K79+'Tab. 6H - Kultura fiz. i turyst'!K92+'Tab. 6H - Kultura fiz. i turyst'!K123+'Tab. 6H - Kultura fiz. i turyst'!K133+'Tab. 6B Polit społ i rozwój prz'!K117+'Tab. 6C - Ochrona zdrowia'!K29+'Tab. 6C - Ochrona zdrowia'!K41+'Tab. 6H - Kultura fiz. i turyst'!K105+'Tab.6I - Planow. przestrz.'!K80</f>
        <v>31803156</v>
      </c>
      <c r="J8" s="4560">
        <f>'Tab. 6A -Drogi'!L43+'Tab. 6B Polit społ i rozwój prz'!L55+'Tab. 6B Polit społ i rozwój prz'!L92+'Tab. 6B Polit społ i rozwój prz'!L104+'Tab. 6B Polit społ i rozwój prz'!L132+'Tab. 6B Polit społ i rozwój prz'!L144+'Tab. 6B Polit społ i rozwój prz'!L154+'Tab. 6B Polit społ i rozwój prz'!L170+'Tab. 6B Polit społ i rozwój prz'!L182+'Tab. 6B Polit społ i rozwój prz'!L200+'Tab. 6B Polit społ i rozwój prz'!L233+'Tab. 6B Polit społ i rozwój prz'!L248+'Tab. 6B Polit społ i rozwój prz'!L259+'Tab. 6E - Administracja'!L115+'Tab. 6E - Administracja'!L134+'Tab. 6E - Administracja'!L147+'Tab. 6G - Roln i ochrona środ.'!L74+'Tab. 6G - Roln i ochrona środ.'!L83+'Tab. 6G - Roln i ochrona środ.'!L92+'Tab. 6G - Roln i ochrona środ.'!L101+'Tab. 6H - Kultura fiz. i turyst'!L32+'Tab. 6H - Kultura fiz. i turyst'!L44+'Tab. 6H - Kultura fiz. i turyst'!L56+'Tab. 6H - Kultura fiz. i turyst'!L79+'Tab. 6H - Kultura fiz. i turyst'!L92+'Tab. 6H - Kultura fiz. i turyst'!L123+'Tab. 6H - Kultura fiz. i turyst'!L133+'Tab. 6B Polit społ i rozwój prz'!L117+'Tab. 6C - Ochrona zdrowia'!L29+'Tab. 6C - Ochrona zdrowia'!L41+'Tab. 6H - Kultura fiz. i turyst'!L105+'Tab.6I - Planow. przestrz.'!L80</f>
        <v>29080422</v>
      </c>
      <c r="K8" s="4560">
        <f>+C8+D8+E8+F8+G8+H8+I8+J8+2029435+2998719+2055406+3812897+11590+299481-61071</f>
        <v>1318232196</v>
      </c>
      <c r="L8" s="4561" t="s">
        <v>53</v>
      </c>
      <c r="M8" s="4561" t="s">
        <v>53</v>
      </c>
      <c r="N8" s="4562"/>
      <c r="O8" s="4562"/>
      <c r="P8" s="4555"/>
      <c r="Q8" s="4556"/>
      <c r="R8" s="4556"/>
      <c r="S8" s="4556"/>
    </row>
    <row r="9" spans="1:19" s="4557" customFormat="1" ht="24.75" hidden="1" customHeight="1" thickBot="1">
      <c r="A9" s="4563" t="s">
        <v>170</v>
      </c>
      <c r="B9" s="4564"/>
      <c r="C9" s="4552"/>
      <c r="D9" s="4552"/>
      <c r="E9" s="4552"/>
      <c r="F9" s="4552"/>
      <c r="G9" s="4552"/>
      <c r="H9" s="4552"/>
      <c r="I9" s="4552"/>
      <c r="J9" s="4552"/>
      <c r="K9" s="4552"/>
      <c r="L9" s="4553">
        <f>+D9+E9+F9+G9+H9+I9+J9</f>
        <v>0</v>
      </c>
      <c r="M9" s="4553">
        <f>+E9+F9+G9+H9+I9+J9</f>
        <v>0</v>
      </c>
      <c r="N9" s="4565"/>
      <c r="O9" s="4565"/>
      <c r="P9" s="4555"/>
      <c r="Q9" s="4556"/>
      <c r="R9" s="4556"/>
      <c r="S9" s="4555"/>
    </row>
    <row r="10" spans="1:19" s="4557" customFormat="1" ht="24.75" hidden="1" customHeight="1" thickBot="1">
      <c r="A10" s="4558" t="s">
        <v>171</v>
      </c>
      <c r="B10" s="4559"/>
      <c r="C10" s="4560"/>
      <c r="D10" s="4560"/>
      <c r="E10" s="4560"/>
      <c r="F10" s="4560"/>
      <c r="G10" s="4560"/>
      <c r="H10" s="4560"/>
      <c r="I10" s="4560"/>
      <c r="J10" s="4560"/>
      <c r="K10" s="4560"/>
      <c r="L10" s="4561" t="s">
        <v>53</v>
      </c>
      <c r="M10" s="4561" t="s">
        <v>53</v>
      </c>
      <c r="N10" s="4562"/>
      <c r="O10" s="4562"/>
      <c r="P10" s="4555"/>
      <c r="Q10" s="4556"/>
      <c r="R10" s="4556"/>
    </row>
    <row r="11" spans="1:19" s="4557" customFormat="1" ht="24.75" hidden="1" customHeight="1" thickBot="1">
      <c r="A11" s="4550" t="s">
        <v>172</v>
      </c>
      <c r="B11" s="4551"/>
      <c r="C11" s="4552"/>
      <c r="D11" s="4552"/>
      <c r="E11" s="4552"/>
      <c r="F11" s="4552"/>
      <c r="G11" s="4552"/>
      <c r="H11" s="4552"/>
      <c r="I11" s="4552"/>
      <c r="J11" s="4552"/>
      <c r="K11" s="4552"/>
      <c r="L11" s="4553">
        <f>+D11+E11+F11+G11+H11+I11+J11</f>
        <v>0</v>
      </c>
      <c r="M11" s="4553">
        <f>+E11+F11+G11+H11+I11+J11</f>
        <v>0</v>
      </c>
      <c r="N11" s="4565"/>
      <c r="O11" s="4565"/>
      <c r="P11" s="4555"/>
      <c r="Q11" s="4556"/>
      <c r="R11" s="4556"/>
    </row>
    <row r="12" spans="1:19" s="4557" customFormat="1" ht="24.75" hidden="1" customHeight="1" thickBot="1">
      <c r="A12" s="4558" t="s">
        <v>173</v>
      </c>
      <c r="B12" s="4559"/>
      <c r="C12" s="4560"/>
      <c r="D12" s="4560"/>
      <c r="E12" s="4560"/>
      <c r="F12" s="4560"/>
      <c r="G12" s="4560"/>
      <c r="H12" s="4560"/>
      <c r="I12" s="4560"/>
      <c r="J12" s="4560"/>
      <c r="K12" s="4560"/>
      <c r="L12" s="4561" t="s">
        <v>53</v>
      </c>
      <c r="M12" s="4561" t="s">
        <v>53</v>
      </c>
      <c r="N12" s="4562"/>
      <c r="O12" s="4562"/>
      <c r="P12" s="4555"/>
      <c r="Q12" s="4556"/>
      <c r="R12" s="4556"/>
    </row>
    <row r="13" spans="1:19" s="4557" customFormat="1" ht="24.75" customHeight="1">
      <c r="A13" s="4550" t="s">
        <v>174</v>
      </c>
      <c r="B13" s="4551"/>
      <c r="C13" s="4552">
        <f>+'Tab. 6G - Roln i ochrona środ.'!E44</f>
        <v>5960282</v>
      </c>
      <c r="D13" s="4552">
        <f>+'Tab. 6G - Roln i ochrona środ.'!F44</f>
        <v>3712693</v>
      </c>
      <c r="E13" s="4552">
        <f>+'Tab. 6G - Roln i ochrona środ.'!G44</f>
        <v>5300000</v>
      </c>
      <c r="F13" s="4552">
        <f>+'Tab. 6G - Roln i ochrona środ.'!H44</f>
        <v>6500000</v>
      </c>
      <c r="G13" s="4552">
        <f>+'Tab. 6G - Roln i ochrona środ.'!I44</f>
        <v>6000000</v>
      </c>
      <c r="H13" s="4552">
        <f>+'Tab. 6G - Roln i ochrona środ.'!J44</f>
        <v>1883242</v>
      </c>
      <c r="I13" s="4552">
        <f>+'Tab. 6G - Roln i ochrona środ.'!K44</f>
        <v>1607578</v>
      </c>
      <c r="J13" s="4552">
        <f>+'Tab. 6G - Roln i ochrona środ.'!L44</f>
        <v>1747513</v>
      </c>
      <c r="K13" s="4552">
        <f>C13+D13+E13+F13+G13+H13+I13+J13</f>
        <v>32711308</v>
      </c>
      <c r="L13" s="4553">
        <f>+D13+E13+F13+G13+H13+I13+J13</f>
        <v>26751026</v>
      </c>
      <c r="M13" s="4553">
        <f>+E13+F13+G13+H13+I13+J13</f>
        <v>23038333</v>
      </c>
      <c r="N13" s="4554">
        <f>E13/$E$45%</f>
        <v>1.2097576431112649</v>
      </c>
      <c r="O13" s="4554">
        <f>E13/$O$48%</f>
        <v>0.44296406892692414</v>
      </c>
      <c r="P13" s="4555"/>
      <c r="Q13" s="4556"/>
      <c r="R13" s="4556"/>
    </row>
    <row r="14" spans="1:19" s="4557" customFormat="1" ht="24.75" customHeight="1">
      <c r="A14" s="4558" t="s">
        <v>175</v>
      </c>
      <c r="B14" s="4559"/>
      <c r="C14" s="4560">
        <f>+'Tab. 6G - Roln i ochrona środ.'!E50</f>
        <v>5960282</v>
      </c>
      <c r="D14" s="4560">
        <f>+'Tab. 6G - Roln i ochrona środ.'!F50</f>
        <v>3712693</v>
      </c>
      <c r="E14" s="4560">
        <f>+'Tab. 6G - Roln i ochrona środ.'!G50</f>
        <v>5300000</v>
      </c>
      <c r="F14" s="4560">
        <f>+'Tab. 6G - Roln i ochrona środ.'!H50</f>
        <v>6500000</v>
      </c>
      <c r="G14" s="4560">
        <f>+'Tab. 6G - Roln i ochrona środ.'!I50</f>
        <v>6000000</v>
      </c>
      <c r="H14" s="4560">
        <f>+'Tab. 6G - Roln i ochrona środ.'!J50</f>
        <v>1883242</v>
      </c>
      <c r="I14" s="4560">
        <f>+'Tab. 6G - Roln i ochrona środ.'!K50</f>
        <v>1607578</v>
      </c>
      <c r="J14" s="4560">
        <f>+'Tab. 6G - Roln i ochrona środ.'!L50</f>
        <v>1747513</v>
      </c>
      <c r="K14" s="4560">
        <f>+C14+D14+E14+F14+G14+H14+I14+J14</f>
        <v>32711308</v>
      </c>
      <c r="L14" s="4561" t="s">
        <v>53</v>
      </c>
      <c r="M14" s="4561" t="s">
        <v>53</v>
      </c>
      <c r="N14" s="4562"/>
      <c r="O14" s="4562"/>
      <c r="P14" s="4555"/>
      <c r="Q14" s="4556"/>
      <c r="R14" s="4556"/>
    </row>
    <row r="15" spans="1:19" s="4557" customFormat="1" ht="24.75" customHeight="1">
      <c r="A15" s="4563" t="s">
        <v>176</v>
      </c>
      <c r="B15" s="4564"/>
      <c r="C15" s="4552">
        <f>'Tab. 6G - Roln i ochrona środ.'!E58</f>
        <v>1484321</v>
      </c>
      <c r="D15" s="4552">
        <f>'Tab. 6G - Roln i ochrona środ.'!F58</f>
        <v>1170222</v>
      </c>
      <c r="E15" s="4552">
        <f>'Tab. 6G - Roln i ochrona środ.'!G58</f>
        <v>1060000</v>
      </c>
      <c r="F15" s="4552">
        <f>'Tab. 6G - Roln i ochrona środ.'!H58</f>
        <v>1200000</v>
      </c>
      <c r="G15" s="4552">
        <f>'Tab. 6G - Roln i ochrona środ.'!I58</f>
        <v>940000</v>
      </c>
      <c r="H15" s="4552">
        <f>'Tab. 6G - Roln i ochrona środ.'!J58</f>
        <v>50000</v>
      </c>
      <c r="I15" s="4552">
        <f>'Tab. 6G - Roln i ochrona środ.'!K58</f>
        <v>50000</v>
      </c>
      <c r="J15" s="4552">
        <f>'Tab. 6G - Roln i ochrona środ.'!L58</f>
        <v>21779</v>
      </c>
      <c r="K15" s="4552">
        <f>C15+D15+E15+F15+G15+H15+I15+J15</f>
        <v>5976322</v>
      </c>
      <c r="L15" s="4553">
        <f>+D15+E15+F15+G15+H15+I15+J15</f>
        <v>4492001</v>
      </c>
      <c r="M15" s="4553">
        <f>+E15+F15+G15+H15+I15+J15</f>
        <v>3321779</v>
      </c>
      <c r="N15" s="4565"/>
      <c r="O15" s="4565"/>
      <c r="P15" s="4555"/>
      <c r="Q15" s="4556"/>
      <c r="R15" s="4556"/>
    </row>
    <row r="16" spans="1:19" s="4557" customFormat="1" ht="24.75" customHeight="1">
      <c r="A16" s="4558" t="s">
        <v>177</v>
      </c>
      <c r="B16" s="4559"/>
      <c r="C16" s="4560">
        <f>'Tab. 6G - Roln i ochrona środ.'!E63</f>
        <v>1484321</v>
      </c>
      <c r="D16" s="4560">
        <f>'Tab. 6G - Roln i ochrona środ.'!F63</f>
        <v>1170222</v>
      </c>
      <c r="E16" s="4560">
        <f>'Tab. 6G - Roln i ochrona środ.'!G63</f>
        <v>1060000</v>
      </c>
      <c r="F16" s="4560">
        <f>'Tab. 6G - Roln i ochrona środ.'!H63</f>
        <v>1200000</v>
      </c>
      <c r="G16" s="4560">
        <f>'Tab. 6G - Roln i ochrona środ.'!I63</f>
        <v>940000</v>
      </c>
      <c r="H16" s="4560">
        <f>'Tab. 6G - Roln i ochrona środ.'!J63</f>
        <v>50000</v>
      </c>
      <c r="I16" s="4560">
        <f>'Tab. 6G - Roln i ochrona środ.'!K63</f>
        <v>50000</v>
      </c>
      <c r="J16" s="4560">
        <f>'Tab. 6G - Roln i ochrona środ.'!L63</f>
        <v>21779</v>
      </c>
      <c r="K16" s="4560">
        <f>+C16+D16+E16+F16+G16+H16+I16+J16</f>
        <v>5976322</v>
      </c>
      <c r="L16" s="4561" t="s">
        <v>53</v>
      </c>
      <c r="M16" s="4561" t="s">
        <v>53</v>
      </c>
      <c r="N16" s="4562"/>
      <c r="O16" s="4562"/>
      <c r="P16" s="4555"/>
      <c r="Q16" s="4556"/>
      <c r="R16" s="4556"/>
    </row>
    <row r="17" spans="1:19" s="4557" customFormat="1" ht="24.75" hidden="1" customHeight="1" thickBot="1">
      <c r="A17" s="4566" t="s">
        <v>178</v>
      </c>
      <c r="B17" s="4567"/>
      <c r="C17" s="4552">
        <f>+'Tab. 6G - Roln i ochrona środ.'!E33</f>
        <v>0</v>
      </c>
      <c r="D17" s="4552">
        <f>+'Tab. 6G - Roln i ochrona środ.'!F33</f>
        <v>0</v>
      </c>
      <c r="E17" s="4552">
        <f>+'Tab. 6G - Roln i ochrona środ.'!G33</f>
        <v>0</v>
      </c>
      <c r="F17" s="4552">
        <f>+'Tab. 6G - Roln i ochrona środ.'!H33</f>
        <v>0</v>
      </c>
      <c r="G17" s="4552">
        <f>+'Tab. 6G - Roln i ochrona środ.'!I33</f>
        <v>0</v>
      </c>
      <c r="H17" s="4552">
        <f>+'Tab. 6G - Roln i ochrona środ.'!J33</f>
        <v>0</v>
      </c>
      <c r="I17" s="4552">
        <f>+'Tab. 6G - Roln i ochrona środ.'!K33</f>
        <v>0</v>
      </c>
      <c r="J17" s="4552">
        <f>+'Tab. 6G - Roln i ochrona środ.'!L33</f>
        <v>0</v>
      </c>
      <c r="K17" s="4552">
        <f>C17+D17+E17+F17+G17+H17+I17+J17</f>
        <v>0</v>
      </c>
      <c r="L17" s="4553">
        <f>+D17+E17+F17+G17+H17+I17+J17</f>
        <v>0</v>
      </c>
      <c r="M17" s="4553">
        <f>+E17+F17+G17+H17+I17+J17</f>
        <v>0</v>
      </c>
      <c r="N17" s="4554">
        <f>E17/$E$45%</f>
        <v>0</v>
      </c>
      <c r="O17" s="4554">
        <f>E17/$O$48%</f>
        <v>0</v>
      </c>
      <c r="P17" s="4555"/>
      <c r="Q17" s="4556"/>
      <c r="R17" s="4556"/>
    </row>
    <row r="18" spans="1:19" s="4557" customFormat="1" ht="24.75" hidden="1" customHeight="1" thickBot="1">
      <c r="A18" s="4558" t="s">
        <v>179</v>
      </c>
      <c r="B18" s="4559"/>
      <c r="C18" s="4560">
        <f>+'Tab. 6G - Roln i ochrona środ.'!E38</f>
        <v>0</v>
      </c>
      <c r="D18" s="4560">
        <f>+'Tab. 6G - Roln i ochrona środ.'!F38</f>
        <v>0</v>
      </c>
      <c r="E18" s="4560">
        <f>+'Tab. 6G - Roln i ochrona środ.'!G38</f>
        <v>0</v>
      </c>
      <c r="F18" s="4560">
        <f>+'Tab. 6G - Roln i ochrona środ.'!H38</f>
        <v>0</v>
      </c>
      <c r="G18" s="4560">
        <f>+'Tab. 6G - Roln i ochrona środ.'!I38</f>
        <v>0</v>
      </c>
      <c r="H18" s="4560">
        <f>+'Tab. 6G - Roln i ochrona środ.'!J38</f>
        <v>0</v>
      </c>
      <c r="I18" s="4560">
        <f>+'Tab. 6G - Roln i ochrona środ.'!K38</f>
        <v>0</v>
      </c>
      <c r="J18" s="4560">
        <f>+'Tab. 6G - Roln i ochrona środ.'!L38</f>
        <v>0</v>
      </c>
      <c r="K18" s="4560">
        <f>+C18+D18+E18+F18+G18+H18+I18+J18</f>
        <v>0</v>
      </c>
      <c r="L18" s="4561" t="s">
        <v>53</v>
      </c>
      <c r="M18" s="4561" t="s">
        <v>53</v>
      </c>
      <c r="N18" s="4562"/>
      <c r="O18" s="4562"/>
      <c r="P18" s="4555"/>
      <c r="Q18" s="4556"/>
      <c r="R18" s="4556"/>
    </row>
    <row r="19" spans="1:19" s="4557" customFormat="1" ht="24.75" customHeight="1">
      <c r="A19" s="4568" t="s">
        <v>180</v>
      </c>
      <c r="B19" s="4569"/>
      <c r="C19" s="4552">
        <f>+'Tab. 6E - Administracja'!E72+'Tab. 6E - Administracja'!E83+'Tab. 6E - Administracja'!E215+'Tab. 6E - Administracja'!E216+'Tab. 6E - Administracja'!E219+'Tab. 6E - Administracja'!E226</f>
        <v>2763981</v>
      </c>
      <c r="D19" s="4552">
        <f>+'Tab. 6E - Administracja'!F72+'Tab. 6E - Administracja'!F83+'Tab. 6E - Administracja'!F215+'Tab. 6E - Administracja'!F216+'Tab. 6E - Administracja'!F219+'Tab. 6E - Administracja'!F226</f>
        <v>2489362</v>
      </c>
      <c r="E19" s="4552">
        <f>+'Tab. 6E - Administracja'!G72+'Tab. 6E - Administracja'!G83+'Tab. 6E - Administracja'!G215+'Tab. 6E - Administracja'!G216+'Tab. 6E - Administracja'!G219+'Tab. 6E - Administracja'!G226</f>
        <v>5832972</v>
      </c>
      <c r="F19" s="4552">
        <f>+'Tab. 6E - Administracja'!H72+'Tab. 6E - Administracja'!H83+'Tab. 6E - Administracja'!H215+'Tab. 6E - Administracja'!H216+'Tab. 6E - Administracja'!H219+'Tab. 6E - Administracja'!H226</f>
        <v>1500000</v>
      </c>
      <c r="G19" s="4552">
        <f>+'Tab. 6E - Administracja'!I72+'Tab. 6E - Administracja'!I83+'Tab. 6E - Administracja'!I215+'Tab. 6E - Administracja'!I216+'Tab. 6E - Administracja'!I219+'Tab. 6E - Administracja'!I226</f>
        <v>1400000</v>
      </c>
      <c r="H19" s="4552">
        <f>+'Tab. 6E - Administracja'!J72+'Tab. 6E - Administracja'!J83+'Tab. 6E - Administracja'!J215+'Tab. 6E - Administracja'!J216+'Tab. 6E - Administracja'!J219+'Tab. 6E - Administracja'!J226</f>
        <v>0</v>
      </c>
      <c r="I19" s="4552">
        <f>+'Tab. 6E - Administracja'!K72+'Tab. 6E - Administracja'!K83+'Tab. 6E - Administracja'!K215+'Tab. 6E - Administracja'!K216+'Tab. 6E - Administracja'!K219+'Tab. 6E - Administracja'!K226</f>
        <v>0</v>
      </c>
      <c r="J19" s="4552">
        <f>+'Tab. 6E - Administracja'!L72+'Tab. 6E - Administracja'!L83+'Tab. 6E - Administracja'!L215+'Tab. 6E - Administracja'!L216+'Tab. 6E - Administracja'!L219+'Tab. 6E - Administracja'!L226</f>
        <v>0</v>
      </c>
      <c r="K19" s="4552">
        <f>C19+D19+E19+F19+G19+H19+I19+J19</f>
        <v>13986315</v>
      </c>
      <c r="L19" s="4553">
        <f>+D19+E19+F19+G19+H19+I19+J19</f>
        <v>11222334</v>
      </c>
      <c r="M19" s="4553">
        <f>+E19+F19+G19+H19+I19+J19</f>
        <v>8732972</v>
      </c>
      <c r="N19" s="4554">
        <f>E19/$E$45%</f>
        <v>1.33141178472717</v>
      </c>
      <c r="O19" s="4554">
        <f>E19/$O$48%</f>
        <v>0.48750887001072046</v>
      </c>
      <c r="P19" s="4555"/>
      <c r="Q19" s="4556"/>
      <c r="R19" s="4556"/>
    </row>
    <row r="20" spans="1:19" s="4557" customFormat="1" ht="24.75" customHeight="1">
      <c r="A20" s="4558" t="s">
        <v>181</v>
      </c>
      <c r="B20" s="4559"/>
      <c r="C20" s="4560">
        <f>+'Tab. 6E - Administracja'!E77+'Tab. 6E - Administracja'!E88+'Tab. 6E - Administracja'!E220+'Tab. 6E - Administracja'!E231</f>
        <v>2753370</v>
      </c>
      <c r="D20" s="4560">
        <f>+'Tab. 6E - Administracja'!F77+'Tab. 6E - Administracja'!F88+'Tab. 6E - Administracja'!F220+'Tab. 6E - Administracja'!F231</f>
        <v>2463831</v>
      </c>
      <c r="E20" s="4560">
        <f>+'Tab. 6E - Administracja'!G77+'Tab. 6E - Administracja'!G88+'Tab. 6E - Administracja'!G220+'Tab. 6E - Administracja'!G231</f>
        <v>5769114</v>
      </c>
      <c r="F20" s="4560">
        <f>+'Tab. 6E - Administracja'!H77+'Tab. 6E - Administracja'!H88+'Tab. 6E - Administracja'!H220+'Tab. 6E - Administracja'!H231</f>
        <v>1500000</v>
      </c>
      <c r="G20" s="4560">
        <f>+'Tab. 6E - Administracja'!I77+'Tab. 6E - Administracja'!I88+'Tab. 6E - Administracja'!I220+'Tab. 6E - Administracja'!I231</f>
        <v>1400000</v>
      </c>
      <c r="H20" s="4560">
        <f>+'Tab. 6E - Administracja'!J77+'Tab. 6E - Administracja'!J88+'Tab. 6E - Administracja'!J220+'Tab. 6E - Administracja'!J231</f>
        <v>0</v>
      </c>
      <c r="I20" s="4560">
        <f>+'Tab. 6E - Administracja'!K77+'Tab. 6E - Administracja'!K88+'Tab. 6E - Administracja'!K220+'Tab. 6E - Administracja'!K231</f>
        <v>0</v>
      </c>
      <c r="J20" s="4560">
        <f>+'Tab. 6E - Administracja'!L77+'Tab. 6E - Administracja'!L88+'Tab. 6E - Administracja'!L220+'Tab. 6E - Administracja'!L231</f>
        <v>0</v>
      </c>
      <c r="K20" s="4560">
        <f>+C20+D20+E20+F20+G20+H20+I20+J20</f>
        <v>13886315</v>
      </c>
      <c r="L20" s="4561" t="s">
        <v>53</v>
      </c>
      <c r="M20" s="4561" t="s">
        <v>53</v>
      </c>
      <c r="N20" s="4562"/>
      <c r="O20" s="4562"/>
      <c r="P20" s="4555"/>
      <c r="Q20" s="4556"/>
      <c r="R20" s="4556"/>
    </row>
    <row r="21" spans="1:19" s="4557" customFormat="1" ht="24.75" hidden="1" customHeight="1" thickBot="1">
      <c r="A21" s="4568" t="s">
        <v>182</v>
      </c>
      <c r="B21" s="4569"/>
      <c r="C21" s="4552"/>
      <c r="D21" s="4552"/>
      <c r="E21" s="4552"/>
      <c r="F21" s="4552"/>
      <c r="G21" s="4552"/>
      <c r="H21" s="4552"/>
      <c r="I21" s="4552"/>
      <c r="J21" s="4552"/>
      <c r="K21" s="4552">
        <f>C21+D21+E21+F21+G21+H21+I21+J21</f>
        <v>0</v>
      </c>
      <c r="L21" s="4553">
        <f>+D21+E21+F21+G21+H21+I21+J21</f>
        <v>0</v>
      </c>
      <c r="M21" s="4553">
        <f>+E21+F21+G21+H21+I21+J21</f>
        <v>0</v>
      </c>
      <c r="N21" s="4554">
        <f>E21/$E$45%</f>
        <v>0</v>
      </c>
      <c r="O21" s="4554">
        <f>E21/$O$48%</f>
        <v>0</v>
      </c>
      <c r="P21" s="4555"/>
      <c r="Q21" s="4556"/>
      <c r="R21" s="4556"/>
    </row>
    <row r="22" spans="1:19" s="4557" customFormat="1" ht="22.5" hidden="1" customHeight="1" thickBot="1">
      <c r="A22" s="4570" t="s">
        <v>183</v>
      </c>
      <c r="B22" s="4571"/>
      <c r="C22" s="4560"/>
      <c r="D22" s="4560"/>
      <c r="E22" s="4560"/>
      <c r="F22" s="4560"/>
      <c r="G22" s="4560"/>
      <c r="H22" s="4560"/>
      <c r="I22" s="4560"/>
      <c r="J22" s="4560"/>
      <c r="K22" s="4560"/>
      <c r="L22" s="4561" t="s">
        <v>53</v>
      </c>
      <c r="M22" s="4561" t="s">
        <v>53</v>
      </c>
      <c r="N22" s="4562"/>
      <c r="O22" s="4562"/>
      <c r="P22" s="4555"/>
      <c r="Q22" s="4556"/>
      <c r="R22" s="4556"/>
    </row>
    <row r="23" spans="1:19" s="4557" customFormat="1" ht="23.25" customHeight="1">
      <c r="A23" s="4568" t="s">
        <v>579</v>
      </c>
      <c r="B23" s="4569"/>
      <c r="C23" s="4552">
        <f>'Tab. 6B Polit społ i rozwój prz'!E62+'Tab. 6B Polit społ i rozwój prz'!E74+'Tab. 6B Polit społ i rozwój prz'!E206+'Tab. 6B Polit społ i rozwój prz'!E265+'Tab. 6D - Oświata'!E77</f>
        <v>1759846</v>
      </c>
      <c r="D23" s="4552">
        <f>'Tab. 6B Polit społ i rozwój prz'!F62+'Tab. 6B Polit społ i rozwój prz'!F74+'Tab. 6B Polit społ i rozwój prz'!F206+'Tab. 6B Polit społ i rozwój prz'!F265+'Tab. 6D - Oświata'!F77</f>
        <v>1284123</v>
      </c>
      <c r="E23" s="4552">
        <f>'Tab. 6B Polit społ i rozwój prz'!G62+'Tab. 6B Polit społ i rozwój prz'!G74+'Tab. 6B Polit społ i rozwój prz'!G206+'Tab. 6B Polit społ i rozwój prz'!G265+'Tab. 6D - Oświata'!G77</f>
        <v>3098651</v>
      </c>
      <c r="F23" s="4552">
        <f>'Tab. 6B Polit społ i rozwój prz'!H62+'Tab. 6B Polit społ i rozwój prz'!H74+'Tab. 6B Polit społ i rozwój prz'!H206+'Tab. 6B Polit społ i rozwój prz'!H265+'Tab. 6D - Oświata'!H77</f>
        <v>6425551</v>
      </c>
      <c r="G23" s="4552">
        <f>'Tab. 6B Polit społ i rozwój prz'!I62+'Tab. 6B Polit społ i rozwój prz'!I74+'Tab. 6B Polit społ i rozwój prz'!I206+'Tab. 6B Polit społ i rozwój prz'!I265+'Tab. 6D - Oświata'!I77</f>
        <v>4976540</v>
      </c>
      <c r="H23" s="4552">
        <f>'Tab. 6B Polit społ i rozwój prz'!J62+'Tab. 6B Polit społ i rozwój prz'!J74+'Tab. 6B Polit społ i rozwój prz'!J206+'Tab. 6B Polit społ i rozwój prz'!J265+'Tab. 6D - Oświata'!J77</f>
        <v>4257485</v>
      </c>
      <c r="I23" s="4552">
        <f>'Tab. 6B Polit społ i rozwój prz'!K62+'Tab. 6B Polit społ i rozwój prz'!K74+'Tab. 6B Polit społ i rozwój prz'!K206+'Tab. 6B Polit społ i rozwój prz'!K265+'Tab. 6D - Oświata'!K77</f>
        <v>1323384</v>
      </c>
      <c r="J23" s="4552">
        <f>'Tab. 6B Polit społ i rozwój prz'!L62+'Tab. 6B Polit społ i rozwój prz'!L74+'Tab. 6B Polit społ i rozwój prz'!L206+'Tab. 6B Polit społ i rozwój prz'!L265+'Tab. 6D - Oświata'!L77</f>
        <v>886135</v>
      </c>
      <c r="K23" s="4552">
        <f>C23+D23+E23+F23+G23+H23+I23+J23</f>
        <v>24011715</v>
      </c>
      <c r="L23" s="4553">
        <f>+D23+E23+F23+G23+H23+I23+J23</f>
        <v>22251869</v>
      </c>
      <c r="M23" s="4553">
        <f>+E23+F23+G23+H23+I23+J23</f>
        <v>20967746</v>
      </c>
      <c r="N23" s="4554">
        <f>E23/$E$45%</f>
        <v>0.7072861755819555</v>
      </c>
      <c r="O23" s="4554">
        <f>E23/$O$48%</f>
        <v>0.25897944436688347</v>
      </c>
      <c r="P23" s="4555"/>
      <c r="Q23" s="4556"/>
      <c r="R23" s="4556"/>
    </row>
    <row r="24" spans="1:19" s="4557" customFormat="1" ht="25.5" customHeight="1">
      <c r="A24" s="4558" t="s">
        <v>578</v>
      </c>
      <c r="B24" s="4559"/>
      <c r="C24" s="4560">
        <f>'Tab. 6B Polit społ i rozwój prz'!E68+'Tab. 6B Polit społ i rozwój prz'!E80+'Tab. 6B Polit społ i rozwój prz'!E215+'Tab. 6B Polit społ i rozwój prz'!E277+'Tab. 6D - Oświata'!E82</f>
        <v>1483198</v>
      </c>
      <c r="D24" s="4560">
        <f>'Tab. 6B Polit społ i rozwój prz'!F68+'Tab. 6B Polit społ i rozwój prz'!F80+'Tab. 6B Polit społ i rozwój prz'!F215+'Tab. 6B Polit społ i rozwój prz'!F277+'Tab. 6D - Oświata'!F82</f>
        <v>1082259</v>
      </c>
      <c r="E24" s="4560">
        <f>'Tab. 6B Polit społ i rozwój prz'!G68+'Tab. 6B Polit społ i rozwój prz'!G80+'Tab. 6B Polit społ i rozwój prz'!G215+'Tab. 6B Polit społ i rozwój prz'!G277+'Tab. 6D - Oświata'!G82</f>
        <v>2779532</v>
      </c>
      <c r="F24" s="4560">
        <f>'Tab. 6B Polit społ i rozwój prz'!H68+'Tab. 6B Polit społ i rozwój prz'!H80+'Tab. 6B Polit społ i rozwój prz'!H215+'Tab. 6B Polit społ i rozwój prz'!H277+'Tab. 6D - Oświata'!H82</f>
        <v>6129169</v>
      </c>
      <c r="G24" s="4560">
        <f>'Tab. 6B Polit społ i rozwój prz'!I68+'Tab. 6B Polit społ i rozwój prz'!I80+'Tab. 6B Polit społ i rozwój prz'!I215+'Tab. 6B Polit społ i rozwój prz'!I277+'Tab. 6D - Oświata'!I82</f>
        <v>4680158</v>
      </c>
      <c r="H24" s="4560">
        <f>'Tab. 6B Polit społ i rozwój prz'!J68+'Tab. 6B Polit społ i rozwój prz'!J80+'Tab. 6B Polit społ i rozwój prz'!J215+'Tab. 6B Polit społ i rozwój prz'!J277+'Tab. 6D - Oświata'!J82</f>
        <v>3965766</v>
      </c>
      <c r="I24" s="4560">
        <f>'Tab. 6B Polit społ i rozwój prz'!K68+'Tab. 6B Polit społ i rozwój prz'!K80+'Tab. 6B Polit społ i rozwój prz'!K215+'Tab. 6B Polit społ i rozwój prz'!K277+'Tab. 6D - Oświata'!K82</f>
        <v>1184084</v>
      </c>
      <c r="J24" s="4560">
        <f>'Tab. 6B Polit społ i rozwój prz'!L68+'Tab. 6B Polit społ i rozwój prz'!L80+'Tab. 6B Polit społ i rozwój prz'!L215+'Tab. 6B Polit społ i rozwój prz'!L277+'Tab. 6D - Oświata'!L82</f>
        <v>746835</v>
      </c>
      <c r="K24" s="4560">
        <f>+C24+D24+E24+F24+G24+H24+I24+J24</f>
        <v>22051001</v>
      </c>
      <c r="L24" s="4561" t="s">
        <v>53</v>
      </c>
      <c r="M24" s="4561" t="s">
        <v>53</v>
      </c>
      <c r="N24" s="4562"/>
      <c r="O24" s="4562"/>
      <c r="P24" s="4555"/>
      <c r="Q24" s="4556"/>
      <c r="R24" s="4556"/>
    </row>
    <row r="25" spans="1:19" s="4574" customFormat="1" ht="24" customHeight="1">
      <c r="A25" s="4568" t="s">
        <v>184</v>
      </c>
      <c r="B25" s="4569"/>
      <c r="C25" s="4552">
        <f>C28+C30+C32+C34+C36+C38</f>
        <v>1708118</v>
      </c>
      <c r="D25" s="4552">
        <f t="shared" ref="D25:J25" si="0">D28+D30+D32+D34+D36+D38</f>
        <v>9115157</v>
      </c>
      <c r="E25" s="4552">
        <f t="shared" si="0"/>
        <v>8725496</v>
      </c>
      <c r="F25" s="4552">
        <f t="shared" si="0"/>
        <v>40269455</v>
      </c>
      <c r="G25" s="4552">
        <f t="shared" si="0"/>
        <v>14307527</v>
      </c>
      <c r="H25" s="4552">
        <f t="shared" si="0"/>
        <v>280970</v>
      </c>
      <c r="I25" s="4552">
        <f t="shared" si="0"/>
        <v>504840</v>
      </c>
      <c r="J25" s="4552">
        <f t="shared" si="0"/>
        <v>0</v>
      </c>
      <c r="K25" s="4552">
        <f>C25+D25+E25+F25+G25+H25+I25+J25</f>
        <v>74911563</v>
      </c>
      <c r="L25" s="4553">
        <f>+D25+E25+F25+G25+H25+I25+J25</f>
        <v>73203445</v>
      </c>
      <c r="M25" s="4553">
        <f>+E25+F25+G25+H25+I25+J25</f>
        <v>64088288</v>
      </c>
      <c r="N25" s="4554">
        <f>E25/$E$45%</f>
        <v>1.9916482030069376</v>
      </c>
      <c r="O25" s="4554">
        <f>E25/$O$48%</f>
        <v>0.7292606059557738</v>
      </c>
      <c r="P25" s="4572"/>
      <c r="Q25" s="4573"/>
      <c r="R25" s="4573"/>
    </row>
    <row r="26" spans="1:19" s="4574" customFormat="1" ht="24" customHeight="1">
      <c r="A26" s="4570" t="s">
        <v>185</v>
      </c>
      <c r="B26" s="4571"/>
      <c r="C26" s="4560">
        <f>C29+C31+C33+C35+C37+C39</f>
        <v>177003</v>
      </c>
      <c r="D26" s="4560">
        <f t="shared" ref="D26:J26" si="1">D29+D31+D33+D35+D37+D39</f>
        <v>643155</v>
      </c>
      <c r="E26" s="4560">
        <f t="shared" si="1"/>
        <v>8681559</v>
      </c>
      <c r="F26" s="4560">
        <f t="shared" si="1"/>
        <v>12387346</v>
      </c>
      <c r="G26" s="4560">
        <f t="shared" si="1"/>
        <v>16587509</v>
      </c>
      <c r="H26" s="4560">
        <f t="shared" si="1"/>
        <v>5801475</v>
      </c>
      <c r="I26" s="4560">
        <f t="shared" si="1"/>
        <v>317922</v>
      </c>
      <c r="J26" s="4560">
        <f t="shared" si="1"/>
        <v>398188</v>
      </c>
      <c r="K26" s="4560">
        <f>+C26+D26+E26+F26+G26+H26+I26+J26</f>
        <v>44994157</v>
      </c>
      <c r="L26" s="4561" t="s">
        <v>53</v>
      </c>
      <c r="M26" s="4561" t="s">
        <v>53</v>
      </c>
      <c r="N26" s="4562"/>
      <c r="O26" s="4562"/>
      <c r="P26" s="4572"/>
      <c r="Q26" s="4573"/>
      <c r="R26" s="4573"/>
      <c r="S26" s="4572"/>
    </row>
    <row r="27" spans="1:19" s="4574" customFormat="1" ht="15">
      <c r="A27" s="4575" t="s">
        <v>141</v>
      </c>
      <c r="B27" s="4576"/>
      <c r="C27" s="4577"/>
      <c r="D27" s="4577"/>
      <c r="E27" s="4577"/>
      <c r="F27" s="4577"/>
      <c r="G27" s="4577"/>
      <c r="H27" s="4577"/>
      <c r="I27" s="4577"/>
      <c r="J27" s="4577"/>
      <c r="K27" s="4577"/>
      <c r="L27" s="4578"/>
      <c r="M27" s="4578"/>
      <c r="N27" s="4579"/>
      <c r="O27" s="4579"/>
      <c r="P27" s="4555"/>
      <c r="Q27" s="4573"/>
      <c r="R27" s="4573"/>
    </row>
    <row r="28" spans="1:19" s="4574" customFormat="1" ht="17.25" customHeight="1">
      <c r="A28" s="4580" t="s">
        <v>412</v>
      </c>
      <c r="B28" s="4581"/>
      <c r="C28" s="4582">
        <f>'Tab. 6A -Drogi'!E363-'Tab. 6A -Drogi'!E435-'Tab. 6A -Drogi'!E450</f>
        <v>415916</v>
      </c>
      <c r="D28" s="4582">
        <f>'Tab. 6A -Drogi'!F363-'Tab. 6A -Drogi'!F435-'Tab. 6A -Drogi'!F450</f>
        <v>7431430</v>
      </c>
      <c r="E28" s="4582">
        <f>'Tab. 6A -Drogi'!G363-'Tab. 6A -Drogi'!G435-'Tab. 6A -Drogi'!G450</f>
        <v>5533692</v>
      </c>
      <c r="F28" s="4582">
        <f>'Tab. 6A -Drogi'!H363-'Tab. 6A -Drogi'!H435-'Tab. 6A -Drogi'!H450</f>
        <v>29340284</v>
      </c>
      <c r="G28" s="4582">
        <f>'Tab. 6A -Drogi'!I363-'Tab. 6A -Drogi'!I435-'Tab. 6A -Drogi'!I450</f>
        <v>8074384</v>
      </c>
      <c r="H28" s="4582">
        <f>'Tab. 6A -Drogi'!J363-'Tab. 6A -Drogi'!J435</f>
        <v>0</v>
      </c>
      <c r="I28" s="4582">
        <f>'Tab. 6A -Drogi'!K363-'Tab. 6A -Drogi'!K435</f>
        <v>0</v>
      </c>
      <c r="J28" s="4582">
        <f>'Tab. 6A -Drogi'!L363-'Tab. 6A -Drogi'!L435</f>
        <v>0</v>
      </c>
      <c r="K28" s="4582">
        <f>C28+D28+E28+F28+G28+H28+I28+J28</f>
        <v>50795706</v>
      </c>
      <c r="L28" s="4583">
        <f>+D28+E28+F28+G28+H28+I28</f>
        <v>50379790</v>
      </c>
      <c r="M28" s="4583">
        <f>+E28+F28+G28+H28+I28+J28</f>
        <v>42948360</v>
      </c>
      <c r="N28" s="4584"/>
      <c r="O28" s="4584"/>
      <c r="P28" s="4555"/>
      <c r="Q28" s="4573"/>
      <c r="R28" s="4573"/>
    </row>
    <row r="29" spans="1:19" s="4574" customFormat="1" ht="17.25" customHeight="1">
      <c r="A29" s="4585" t="s">
        <v>413</v>
      </c>
      <c r="B29" s="4586"/>
      <c r="C29" s="4587">
        <f>'Tab. 6A -Drogi'!E370-'Tab. 6A -Drogi'!E446-'Tab. 6A -Drogi'!E461</f>
        <v>57003</v>
      </c>
      <c r="D29" s="4587">
        <f>'Tab. 6A -Drogi'!F370-'Tab. 6A -Drogi'!F446-'Tab. 6A -Drogi'!F461</f>
        <v>0</v>
      </c>
      <c r="E29" s="4587">
        <f>'Tab. 6A -Drogi'!G370-'Tab. 6A -Drogi'!G446-'Tab. 6A -Drogi'!G461</f>
        <v>6245404</v>
      </c>
      <c r="F29" s="4587">
        <f>'Tab. 6A -Drogi'!H370-'Tab. 6A -Drogi'!H446-'Tab. 6A -Drogi'!H461</f>
        <v>7413186</v>
      </c>
      <c r="G29" s="4587">
        <f>'Tab. 6A -Drogi'!I370-'Tab. 6A -Drogi'!I446-'Tab. 6A -Drogi'!I461</f>
        <v>8479587</v>
      </c>
      <c r="H29" s="4587">
        <f>'Tab. 6A -Drogi'!J370-'Tab. 6A -Drogi'!J446-'Tab. 6A -Drogi'!J461</f>
        <v>1917368</v>
      </c>
      <c r="I29" s="4587">
        <f>'Tab. 6A -Drogi'!K370-'Tab. 6A -Drogi'!K446-'Tab. 6A -Drogi'!K461</f>
        <v>0</v>
      </c>
      <c r="J29" s="4587">
        <f>'Tab. 6A -Drogi'!L370-'Tab. 6A -Drogi'!L446-'Tab. 6A -Drogi'!L461</f>
        <v>0</v>
      </c>
      <c r="K29" s="4587">
        <f>+C29+D29+E29+F29+G29+H29+I29+J29</f>
        <v>24112548</v>
      </c>
      <c r="L29" s="4588" t="s">
        <v>53</v>
      </c>
      <c r="M29" s="4588" t="s">
        <v>53</v>
      </c>
      <c r="N29" s="4589"/>
      <c r="O29" s="4589"/>
      <c r="P29" s="4555"/>
      <c r="Q29" s="4573"/>
      <c r="R29" s="4573"/>
    </row>
    <row r="30" spans="1:19" s="4574" customFormat="1" ht="24" customHeight="1">
      <c r="A30" s="4590" t="s">
        <v>468</v>
      </c>
      <c r="B30" s="4591"/>
      <c r="C30" s="4582">
        <f>'Tab. 6E - Administracja'!E27+'Tab.6I - Planow. przestrz.'!E45+'Tab.6I - Planow. przestrz.'!E63+'Tab. 6E - Administracja'!E39+'Tab. 6E - Administracja'!E60</f>
        <v>364328</v>
      </c>
      <c r="D30" s="4582">
        <f>'Tab. 6E - Administracja'!F27+'Tab.6I - Planow. przestrz.'!F45+'Tab.6I - Planow. przestrz.'!F63+'Tab. 6E - Administracja'!F39+'Tab. 6E - Administracja'!F60</f>
        <v>510165</v>
      </c>
      <c r="E30" s="4582">
        <f>'Tab. 6E - Administracja'!G27+'Tab.6I - Planow. przestrz.'!G45+'Tab.6I - Planow. przestrz.'!G63+'Tab. 6E - Administracja'!G39+'Tab. 6E - Administracja'!G60</f>
        <v>620855</v>
      </c>
      <c r="F30" s="4582">
        <f>'Tab. 6E - Administracja'!H27+'Tab.6I - Planow. przestrz.'!H45+'Tab.6I - Planow. przestrz.'!H63+'Tab. 6E - Administracja'!H39+'Tab. 6E - Administracja'!H60</f>
        <v>645055</v>
      </c>
      <c r="G30" s="4582">
        <f>'Tab. 6E - Administracja'!I27+'Tab.6I - Planow. przestrz.'!I45+'Tab.6I - Planow. przestrz.'!I63+'Tab. 6E - Administracja'!I39+'Tab. 6E - Administracja'!I60</f>
        <v>756179</v>
      </c>
      <c r="H30" s="4582">
        <f>'Tab. 6E - Administracja'!J27+'Tab.6I - Planow. przestrz.'!J45+'Tab.6I - Planow. przestrz.'!J63+'Tab. 6E - Administracja'!J39+'Tab. 6E - Administracja'!J60</f>
        <v>280970</v>
      </c>
      <c r="I30" s="4582">
        <f>'Tab. 6E - Administracja'!K27+'Tab.6I - Planow. przestrz.'!K45+'Tab.6I - Planow. przestrz.'!K63+'Tab. 6E - Administracja'!K39+'Tab. 6E - Administracja'!K60</f>
        <v>504840</v>
      </c>
      <c r="J30" s="4582">
        <f>'Tab. 6E - Administracja'!L27+'Tab.6I - Planow. przestrz.'!L45+'Tab.6I - Planow. przestrz.'!L63+'Tab. 6E - Administracja'!L39+'Tab. 6E - Administracja'!L60</f>
        <v>0</v>
      </c>
      <c r="K30" s="4582">
        <f>C30+D30+E30+F30+G30+H30+I30+J30</f>
        <v>3682392</v>
      </c>
      <c r="L30" s="4583">
        <f>+D30+E30+F30+G30+H30+I30</f>
        <v>3318064</v>
      </c>
      <c r="M30" s="4583">
        <f>+E30+F30+G30+H30+I30+J30</f>
        <v>2807899</v>
      </c>
      <c r="N30" s="4584"/>
      <c r="O30" s="4584"/>
      <c r="P30" s="4555"/>
      <c r="Q30" s="4573"/>
      <c r="R30" s="4573"/>
    </row>
    <row r="31" spans="1:19" s="4574" customFormat="1" ht="24" customHeight="1">
      <c r="A31" s="4592" t="s">
        <v>469</v>
      </c>
      <c r="B31" s="4593"/>
      <c r="C31" s="4587">
        <f>'Tab. 6E - Administracja'!E35+'Tab.6I - Planow. przestrz.'!E57+'Tab.6I - Planow. przestrz.'!E68+'Tab. 6E - Administracja'!E54+'Tab. 6E - Administracja'!E66</f>
        <v>0</v>
      </c>
      <c r="D31" s="4587">
        <f>'Tab. 6E - Administracja'!F35+'Tab.6I - Planow. przestrz.'!F57+'Tab.6I - Planow. przestrz.'!F68+'Tab. 6E - Administracja'!F54+'Tab. 6E - Administracja'!F66</f>
        <v>92447</v>
      </c>
      <c r="E31" s="4587">
        <f>'Tab. 6E - Administracja'!G35+'Tab.6I - Planow. przestrz.'!G57+'Tab.6I - Planow. przestrz.'!G68+'Tab. 6E - Administracja'!G54+'Tab. 6E - Administracja'!G66</f>
        <v>877187</v>
      </c>
      <c r="F31" s="4587">
        <f>'Tab. 6E - Administracja'!H35+'Tab.6I - Planow. przestrz.'!H57+'Tab.6I - Planow. przestrz.'!H68+'Tab. 6E - Administracja'!H54+'Tab. 6E - Administracja'!H66</f>
        <v>715033</v>
      </c>
      <c r="G31" s="4587">
        <f>'Tab. 6E - Administracja'!I35+'Tab.6I - Planow. przestrz.'!I57+'Tab.6I - Planow. przestrz.'!I68+'Tab. 6E - Administracja'!I54+'Tab. 6E - Administracja'!I66</f>
        <v>682023</v>
      </c>
      <c r="H31" s="4587">
        <f>'Tab. 6E - Administracja'!J35+'Tab.6I - Planow. przestrz.'!J57+'Tab.6I - Planow. przestrz.'!J68+'Tab. 6E - Administracja'!J54+'Tab. 6E - Administracja'!J66</f>
        <v>526319</v>
      </c>
      <c r="I31" s="4587">
        <f>'Tab. 6E - Administracja'!K35+'Tab.6I - Planow. przestrz.'!K57+'Tab.6I - Planow. przestrz.'!K68+'Tab. 6E - Administracja'!K54+'Tab. 6E - Administracja'!K66</f>
        <v>317922</v>
      </c>
      <c r="J31" s="4587">
        <f>'Tab. 6E - Administracja'!L35+'Tab.6I - Planow. przestrz.'!L57+'Tab.6I - Planow. przestrz.'!L68+'Tab. 6E - Administracja'!L54+'Tab. 6E - Administracja'!L66</f>
        <v>398188</v>
      </c>
      <c r="K31" s="4587">
        <f>+C31+D31+E31+F31+G31+H31+I31+J31</f>
        <v>3609119</v>
      </c>
      <c r="L31" s="4588" t="s">
        <v>53</v>
      </c>
      <c r="M31" s="4588" t="s">
        <v>53</v>
      </c>
      <c r="N31" s="4589"/>
      <c r="O31" s="4589"/>
      <c r="P31" s="4555"/>
      <c r="Q31" s="4573"/>
      <c r="R31" s="4573"/>
    </row>
    <row r="32" spans="1:19" s="4574" customFormat="1" ht="24" customHeight="1">
      <c r="A32" s="4590" t="s">
        <v>465</v>
      </c>
      <c r="B32" s="4591"/>
      <c r="C32" s="4582">
        <f>'Tab. 6A -Drogi'!E435+'Tab. 6A -Drogi'!E450</f>
        <v>48374</v>
      </c>
      <c r="D32" s="4582">
        <f>'Tab. 6A -Drogi'!F435+'Tab. 6A -Drogi'!F450</f>
        <v>150710</v>
      </c>
      <c r="E32" s="4582">
        <f>'Tab. 6A -Drogi'!G435+'Tab. 6A -Drogi'!G450</f>
        <v>387960</v>
      </c>
      <c r="F32" s="4582">
        <f>'Tab. 6A -Drogi'!H435+'Tab. 6A -Drogi'!H450</f>
        <v>275371</v>
      </c>
      <c r="G32" s="4582">
        <f>'Tab. 6A -Drogi'!I435+'Tab. 6A -Drogi'!I450</f>
        <v>82172</v>
      </c>
      <c r="H32" s="4582">
        <f>'Tab. 6A -Drogi'!J435+'Tab. 6A -Drogi'!J450</f>
        <v>0</v>
      </c>
      <c r="I32" s="4582">
        <f>'Tab. 6A -Drogi'!K435+'Tab. 6A -Drogi'!K450</f>
        <v>0</v>
      </c>
      <c r="J32" s="4582">
        <f>'Tab. 6A -Drogi'!L435</f>
        <v>0</v>
      </c>
      <c r="K32" s="4582">
        <f>C32+D32+E32+F32+G32+H32+I32+J32</f>
        <v>944587</v>
      </c>
      <c r="L32" s="4583">
        <f>+D32+E32+F32+G32+H32+I32</f>
        <v>896213</v>
      </c>
      <c r="M32" s="4583">
        <f>+E32+F32+G32+H32+I32+J32</f>
        <v>745503</v>
      </c>
      <c r="N32" s="4584"/>
      <c r="O32" s="4584"/>
      <c r="P32" s="4572"/>
      <c r="Q32" s="4573"/>
      <c r="R32" s="4573"/>
      <c r="S32" s="4573"/>
    </row>
    <row r="33" spans="1:18" s="4574" customFormat="1" ht="28.5" customHeight="1">
      <c r="A33" s="4592" t="s">
        <v>466</v>
      </c>
      <c r="B33" s="4593"/>
      <c r="C33" s="4587">
        <f>'Tab. 6A -Drogi'!E446+'Tab. 6A -Drogi'!E461</f>
        <v>0</v>
      </c>
      <c r="D33" s="4587">
        <f>'Tab. 6A -Drogi'!F446+'Tab. 6A -Drogi'!F461</f>
        <v>45734</v>
      </c>
      <c r="E33" s="4587">
        <f>'Tab. 6A -Drogi'!G446+'Tab. 6A -Drogi'!G461</f>
        <v>224074</v>
      </c>
      <c r="F33" s="4587">
        <f>'Tab. 6A -Drogi'!H446+'Tab. 6A -Drogi'!H461</f>
        <v>376810</v>
      </c>
      <c r="G33" s="4587">
        <f>'Tab. 6A -Drogi'!I446+'Tab. 6A -Drogi'!I461</f>
        <v>152504</v>
      </c>
      <c r="H33" s="4587">
        <f>'Tab. 6A -Drogi'!J446+'Tab. 6A -Drogi'!J461</f>
        <v>0</v>
      </c>
      <c r="I33" s="4587">
        <f>'Tab. 6A -Drogi'!K446+'Tab. 6A -Drogi'!K461</f>
        <v>0</v>
      </c>
      <c r="J33" s="4587">
        <f>'Tab. 6A -Drogi'!L446</f>
        <v>0</v>
      </c>
      <c r="K33" s="4587">
        <f>+C33+D33+E33+F33+G33+H33+I33+J33</f>
        <v>799122</v>
      </c>
      <c r="L33" s="4588" t="s">
        <v>53</v>
      </c>
      <c r="M33" s="4588" t="s">
        <v>53</v>
      </c>
      <c r="N33" s="4589"/>
      <c r="O33" s="4589"/>
      <c r="P33" s="4572"/>
      <c r="Q33" s="4573"/>
      <c r="R33" s="4573"/>
    </row>
    <row r="34" spans="1:18" s="4574" customFormat="1" ht="17.25" customHeight="1">
      <c r="A34" s="4594" t="s">
        <v>414</v>
      </c>
      <c r="B34" s="4595"/>
      <c r="C34" s="4582">
        <f>'Tab. 6B Polit społ i rozwój prz'!E25</f>
        <v>53431</v>
      </c>
      <c r="D34" s="4582">
        <f>'Tab. 6B Polit społ i rozwój prz'!F25</f>
        <v>203738</v>
      </c>
      <c r="E34" s="4582">
        <f>'Tab. 6B Polit społ i rozwój prz'!G25</f>
        <v>183147</v>
      </c>
      <c r="F34" s="4582">
        <f>'Tab. 6B Polit społ i rozwój prz'!H25</f>
        <v>30624</v>
      </c>
      <c r="G34" s="4582">
        <f>'Tab. 6B Polit społ i rozwój prz'!I25</f>
        <v>16350</v>
      </c>
      <c r="H34" s="4582">
        <f>'Tab. 6B Polit społ i rozwój prz'!J25</f>
        <v>0</v>
      </c>
      <c r="I34" s="4582">
        <f>'Tab. 6B Polit społ i rozwój prz'!K25</f>
        <v>0</v>
      </c>
      <c r="J34" s="4582">
        <f>'Tab. 6B Polit społ i rozwój prz'!L25</f>
        <v>0</v>
      </c>
      <c r="K34" s="4582">
        <f>C34+D34+E34+F34+G34+H34+I34+J34</f>
        <v>487290</v>
      </c>
      <c r="L34" s="4583">
        <f>+D34+E34+F34+G34+H34+I34</f>
        <v>433859</v>
      </c>
      <c r="M34" s="4583">
        <f>+E34+F34+G34+H34+I34+J34</f>
        <v>230121</v>
      </c>
      <c r="N34" s="4584"/>
      <c r="O34" s="4584"/>
      <c r="P34" s="4572"/>
      <c r="Q34" s="4573"/>
      <c r="R34" s="4573"/>
    </row>
    <row r="35" spans="1:18" s="4574" customFormat="1" ht="17.25" customHeight="1">
      <c r="A35" s="4585" t="s">
        <v>415</v>
      </c>
      <c r="B35" s="4586"/>
      <c r="C35" s="4587">
        <f>'Tab. 6B Polit społ i rozwój prz'!E38</f>
        <v>0</v>
      </c>
      <c r="D35" s="4587">
        <f>'Tab. 6B Polit społ i rozwój prz'!F38</f>
        <v>84212</v>
      </c>
      <c r="E35" s="4587">
        <f>'Tab. 6B Polit społ i rozwój prz'!G38</f>
        <v>176983</v>
      </c>
      <c r="F35" s="4587">
        <f>'Tab. 6B Polit społ i rozwój prz'!H38</f>
        <v>114384</v>
      </c>
      <c r="G35" s="4587">
        <f>'Tab. 6B Polit społ i rozwój prz'!I38</f>
        <v>35219</v>
      </c>
      <c r="H35" s="4587">
        <f>'Tab. 6B Polit społ i rozwój prz'!J38</f>
        <v>0</v>
      </c>
      <c r="I35" s="4587">
        <f>'Tab. 6B Polit społ i rozwój prz'!K38</f>
        <v>0</v>
      </c>
      <c r="J35" s="4587">
        <f>'Tab. 6B Polit społ i rozwój prz'!L38</f>
        <v>0</v>
      </c>
      <c r="K35" s="4587">
        <f>+C35+D35+E35+F35+G35+H35+I35+J35</f>
        <v>410798</v>
      </c>
      <c r="L35" s="4588" t="s">
        <v>53</v>
      </c>
      <c r="M35" s="4588" t="s">
        <v>53</v>
      </c>
      <c r="N35" s="4589"/>
      <c r="O35" s="4589"/>
      <c r="P35" s="4572"/>
      <c r="Q35" s="4573"/>
      <c r="R35" s="4573"/>
    </row>
    <row r="36" spans="1:18" s="4598" customFormat="1" ht="23.25" customHeight="1">
      <c r="A36" s="4590" t="s">
        <v>467</v>
      </c>
      <c r="B36" s="4591"/>
      <c r="C36" s="4582">
        <f>'Tab. 6H - Kultura fiz. i turyst'!E139+'Tab. 6H - Kultura fiz. i turyst'!E152+'Tab. 6H - Kultura fiz. i turyst'!E161+'Tab.6I - Planow. przestrz.'!E27+'Tab.6I - Planow. przestrz.'!E36+'Tab. 6H - Kultura fiz. i turyst'!E192+'Tab. 6H - Kultura fiz. i turyst'!E205+'Tab. 6H - Kultura fiz. i turyst'!E214</f>
        <v>349775</v>
      </c>
      <c r="D36" s="4582">
        <f>'Tab. 6H - Kultura fiz. i turyst'!F139+'Tab. 6H - Kultura fiz. i turyst'!F152+'Tab. 6H - Kultura fiz. i turyst'!F161+'Tab.6I - Planow. przestrz.'!F27+'Tab.6I - Planow. przestrz.'!F36+'Tab. 6H - Kultura fiz. i turyst'!F192+'Tab. 6H - Kultura fiz. i turyst'!F205+'Tab. 6H - Kultura fiz. i turyst'!F214</f>
        <v>789114</v>
      </c>
      <c r="E36" s="4582">
        <f>'Tab. 6H - Kultura fiz. i turyst'!G139+'Tab. 6H - Kultura fiz. i turyst'!G152+'Tab. 6H - Kultura fiz. i turyst'!G161+'Tab.6I - Planow. przestrz.'!G27+'Tab.6I - Planow. przestrz.'!G36+'Tab. 6H - Kultura fiz. i turyst'!G192+'Tab. 6H - Kultura fiz. i turyst'!G205+'Tab. 6H - Kultura fiz. i turyst'!G214</f>
        <v>1896923</v>
      </c>
      <c r="F36" s="4582">
        <f>'Tab. 6H - Kultura fiz. i turyst'!H139+'Tab. 6H - Kultura fiz. i turyst'!H152+'Tab. 6H - Kultura fiz. i turyst'!H161+'Tab.6I - Planow. przestrz.'!H27+'Tab.6I - Planow. przestrz.'!H36+'Tab. 6H - Kultura fiz. i turyst'!H192+'Tab. 6H - Kultura fiz. i turyst'!H205+'Tab. 6H - Kultura fiz. i turyst'!H214</f>
        <v>1875519</v>
      </c>
      <c r="G36" s="4582">
        <f>'Tab. 6H - Kultura fiz. i turyst'!I139+'Tab. 6H - Kultura fiz. i turyst'!I152+'Tab. 6H - Kultura fiz. i turyst'!I161+'Tab.6I - Planow. przestrz.'!I27+'Tab.6I - Planow. przestrz.'!I36+'Tab. 6H - Kultura fiz. i turyst'!I192+'Tab. 6H - Kultura fiz. i turyst'!I205+'Tab. 6H - Kultura fiz. i turyst'!I214</f>
        <v>238881</v>
      </c>
      <c r="H36" s="4582">
        <f>'Tab. 6H - Kultura fiz. i turyst'!J139+'Tab. 6H - Kultura fiz. i turyst'!J152+'Tab. 6H - Kultura fiz. i turyst'!J161+'Tab.6I - Planow. przestrz.'!J27+'Tab.6I - Planow. przestrz.'!J36+'Tab. 6H - Kultura fiz. i turyst'!J192+'Tab. 6H - Kultura fiz. i turyst'!J205+'Tab. 6H - Kultura fiz. i turyst'!J214</f>
        <v>0</v>
      </c>
      <c r="I36" s="4582">
        <f>'Tab. 6H - Kultura fiz. i turyst'!K139+'Tab. 6H - Kultura fiz. i turyst'!K152+'Tab. 6H - Kultura fiz. i turyst'!K161+'Tab.6I - Planow. przestrz.'!K27+'Tab.6I - Planow. przestrz.'!K36+'Tab. 6H - Kultura fiz. i turyst'!K192+'Tab. 6H - Kultura fiz. i turyst'!K205+'Tab. 6H - Kultura fiz. i turyst'!K214</f>
        <v>0</v>
      </c>
      <c r="J36" s="4582">
        <f>'Tab. 6H - Kultura fiz. i turyst'!L139+'Tab. 6H - Kultura fiz. i turyst'!L152+'Tab. 6H - Kultura fiz. i turyst'!L161+'Tab.6I - Planow. przestrz.'!L27+'Tab.6I - Planow. przestrz.'!L36+'Tab. 6H - Kultura fiz. i turyst'!L192+'Tab. 6H - Kultura fiz. i turyst'!L205+'Tab. 6H - Kultura fiz. i turyst'!L214</f>
        <v>0</v>
      </c>
      <c r="K36" s="4582">
        <f>C36+D36+E36+F36+G36+H36+I36+J36</f>
        <v>5150212</v>
      </c>
      <c r="L36" s="4583">
        <f>+D36+E36+F36+G36+H36+I36</f>
        <v>4800437</v>
      </c>
      <c r="M36" s="4583">
        <f>+E36+F36+G36+H36+I36+J36</f>
        <v>4011323</v>
      </c>
      <c r="N36" s="4584"/>
      <c r="O36" s="4584"/>
      <c r="P36" s="4596"/>
      <c r="Q36" s="4597"/>
      <c r="R36" s="4597"/>
    </row>
    <row r="37" spans="1:18" s="4598" customFormat="1" ht="26.25" customHeight="1">
      <c r="A37" s="4592" t="s">
        <v>470</v>
      </c>
      <c r="B37" s="4593"/>
      <c r="C37" s="4587">
        <f>'Tab. 6H - Kultura fiz. i turyst'!E148+'Tab. 6H - Kultura fiz. i turyst'!E157+'Tab. 6H - Kultura fiz. i turyst'!E170+'Tab.6I - Planow. przestrz.'!E32+'Tab.6I - Planow. przestrz.'!E41+'Tab. 6H - Kultura fiz. i turyst'!E201+'Tab. 6H - Kultura fiz. i turyst'!E210+'Tab. 6H - Kultura fiz. i turyst'!E223</f>
        <v>0</v>
      </c>
      <c r="D37" s="4587">
        <f>'Tab. 6H - Kultura fiz. i turyst'!F148+'Tab. 6H - Kultura fiz. i turyst'!F157+'Tab. 6H - Kultura fiz. i turyst'!F170+'Tab.6I - Planow. przestrz.'!F32+'Tab.6I - Planow. przestrz.'!F41+'Tab. 6H - Kultura fiz. i turyst'!F201+'Tab. 6H - Kultura fiz. i turyst'!F210+'Tab. 6H - Kultura fiz. i turyst'!F223</f>
        <v>390762</v>
      </c>
      <c r="E37" s="4587">
        <f>'Tab. 6H - Kultura fiz. i turyst'!G148+'Tab. 6H - Kultura fiz. i turyst'!G157+'Tab. 6H - Kultura fiz. i turyst'!G170+'Tab.6I - Planow. przestrz.'!G32+'Tab.6I - Planow. przestrz.'!G41+'Tab. 6H - Kultura fiz. i turyst'!G201+'Tab. 6H - Kultura fiz. i turyst'!G210+'Tab. 6H - Kultura fiz. i turyst'!G223</f>
        <v>1157911</v>
      </c>
      <c r="F37" s="4587">
        <f>'Tab. 6H - Kultura fiz. i turyst'!H148+'Tab. 6H - Kultura fiz. i turyst'!H157+'Tab. 6H - Kultura fiz. i turyst'!H170+'Tab.6I - Planow. przestrz.'!H32+'Tab.6I - Planow. przestrz.'!H41+'Tab. 6H - Kultura fiz. i turyst'!H201+'Tab. 6H - Kultura fiz. i turyst'!H210+'Tab. 6H - Kultura fiz. i turyst'!H223</f>
        <v>1749522</v>
      </c>
      <c r="G37" s="4587">
        <f>'Tab. 6H - Kultura fiz. i turyst'!I148+'Tab. 6H - Kultura fiz. i turyst'!I157+'Tab. 6H - Kultura fiz. i turyst'!I170+'Tab.6I - Planow. przestrz.'!I32+'Tab.6I - Planow. przestrz.'!I41+'Tab. 6H - Kultura fiz. i turyst'!I201+'Tab. 6H - Kultura fiz. i turyst'!I210+'Tab. 6H - Kultura fiz. i turyst'!I223</f>
        <v>1053690</v>
      </c>
      <c r="H37" s="4587">
        <f>'Tab. 6H - Kultura fiz. i turyst'!J148+'Tab. 6H - Kultura fiz. i turyst'!J157+'Tab. 6H - Kultura fiz. i turyst'!J170+'Tab.6I - Planow. przestrz.'!J32+'Tab.6I - Planow. przestrz.'!J41+'Tab. 6H - Kultura fiz. i turyst'!J201+'Tab. 6H - Kultura fiz. i turyst'!J210+'Tab. 6H - Kultura fiz. i turyst'!J223</f>
        <v>10000</v>
      </c>
      <c r="I37" s="4587">
        <f>'Tab. 6H - Kultura fiz. i turyst'!K148+'Tab. 6H - Kultura fiz. i turyst'!K157+'Tab. 6H - Kultura fiz. i turyst'!K170+'Tab.6I - Planow. przestrz.'!K32+'Tab.6I - Planow. przestrz.'!K41+'Tab. 6H - Kultura fiz. i turyst'!K201+'Tab. 6H - Kultura fiz. i turyst'!K210+'Tab. 6H - Kultura fiz. i turyst'!K223</f>
        <v>0</v>
      </c>
      <c r="J37" s="4587">
        <f>'Tab. 6H - Kultura fiz. i turyst'!L148+'Tab. 6H - Kultura fiz. i turyst'!L157+'Tab. 6H - Kultura fiz. i turyst'!L170+'Tab.6I - Planow. przestrz.'!L32+'Tab.6I - Planow. przestrz.'!L41+'Tab. 6H - Kultura fiz. i turyst'!L201+'Tab. 6H - Kultura fiz. i turyst'!L210+'Tab. 6H - Kultura fiz. i turyst'!L223</f>
        <v>0</v>
      </c>
      <c r="K37" s="4587">
        <f>+C37+D37+E37+F37+G37+H37+I37+J37</f>
        <v>4361885</v>
      </c>
      <c r="L37" s="4599" t="s">
        <v>53</v>
      </c>
      <c r="M37" s="4599" t="s">
        <v>53</v>
      </c>
      <c r="N37" s="4600"/>
      <c r="O37" s="4600"/>
      <c r="P37" s="4596"/>
      <c r="Q37" s="4597"/>
      <c r="R37" s="4597"/>
    </row>
    <row r="38" spans="1:18" s="4598" customFormat="1" ht="26.25" customHeight="1">
      <c r="A38" s="4601" t="s">
        <v>547</v>
      </c>
      <c r="B38" s="4602"/>
      <c r="C38" s="4603">
        <f>'Tab. 6H - Kultura fiz. i turyst'!E227+'Tab. 6H - Kultura fiz. i turyst'!E236+'Tab. 6H - Kultura fiz. i turyst'!E248+'Tab. 6H - Kultura fiz. i turyst'!E257</f>
        <v>476294</v>
      </c>
      <c r="D38" s="4603">
        <f>'Tab. 6H - Kultura fiz. i turyst'!F227+'Tab. 6H - Kultura fiz. i turyst'!F236+'Tab. 6H - Kultura fiz. i turyst'!F248+'Tab. 6H - Kultura fiz. i turyst'!F257</f>
        <v>30000</v>
      </c>
      <c r="E38" s="4603">
        <f>'Tab. 6H - Kultura fiz. i turyst'!G227+'Tab. 6H - Kultura fiz. i turyst'!G236+'Tab. 6H - Kultura fiz. i turyst'!G248+'Tab. 6H - Kultura fiz. i turyst'!G257</f>
        <v>102919</v>
      </c>
      <c r="F38" s="4603">
        <f>'Tab. 6H - Kultura fiz. i turyst'!H227+'Tab. 6H - Kultura fiz. i turyst'!H236+'Tab. 6H - Kultura fiz. i turyst'!H248+'Tab. 6H - Kultura fiz. i turyst'!H257</f>
        <v>8102602</v>
      </c>
      <c r="G38" s="4603">
        <f>'Tab. 6H - Kultura fiz. i turyst'!I227+'Tab. 6H - Kultura fiz. i turyst'!I236+'Tab. 6H - Kultura fiz. i turyst'!I248+'Tab. 6H - Kultura fiz. i turyst'!I257</f>
        <v>5139561</v>
      </c>
      <c r="H38" s="4603">
        <f>'Tab. 6H - Kultura fiz. i turyst'!J227+'Tab. 6H - Kultura fiz. i turyst'!J236+'Tab. 6H - Kultura fiz. i turyst'!J248+'Tab. 6H - Kultura fiz. i turyst'!J257</f>
        <v>0</v>
      </c>
      <c r="I38" s="4603">
        <f>'Tab. 6H - Kultura fiz. i turyst'!K227+'Tab. 6H - Kultura fiz. i turyst'!K236+'Tab. 6H - Kultura fiz. i turyst'!K248+'Tab. 6H - Kultura fiz. i turyst'!K257</f>
        <v>0</v>
      </c>
      <c r="J38" s="4603">
        <f>'Tab. 6H - Kultura fiz. i turyst'!L227+'Tab. 6H - Kultura fiz. i turyst'!L236+'Tab. 6H - Kultura fiz. i turyst'!L248+'Tab. 6H - Kultura fiz. i turyst'!L257</f>
        <v>0</v>
      </c>
      <c r="K38" s="4603">
        <f>C38+D38+E38+F38+G38+H38+I38+J38</f>
        <v>13851376</v>
      </c>
      <c r="L38" s="4604">
        <f>+D38+E38+F38+G38+H38+I38</f>
        <v>13375082</v>
      </c>
      <c r="M38" s="4604">
        <f>+E38+F38+G38+H38+I38+J38</f>
        <v>13345082</v>
      </c>
      <c r="N38" s="4605"/>
      <c r="O38" s="4605"/>
      <c r="P38" s="4596"/>
      <c r="Q38" s="4597"/>
      <c r="R38" s="4597"/>
    </row>
    <row r="39" spans="1:18" s="4598" customFormat="1" ht="26.25" customHeight="1">
      <c r="A39" s="4606" t="s">
        <v>548</v>
      </c>
      <c r="B39" s="4607"/>
      <c r="C39" s="4608">
        <f>'Tab. 6H - Kultura fiz. i turyst'!E232+'Tab. 6H - Kultura fiz. i turyst'!E242+'Tab. 6H - Kultura fiz. i turyst'!E253+'Tab. 6H - Kultura fiz. i turyst'!E263</f>
        <v>120000</v>
      </c>
      <c r="D39" s="4608">
        <f>'Tab. 6H - Kultura fiz. i turyst'!F232+'Tab. 6H - Kultura fiz. i turyst'!F242+'Tab. 6H - Kultura fiz. i turyst'!F253+'Tab. 6H - Kultura fiz. i turyst'!F263</f>
        <v>30000</v>
      </c>
      <c r="E39" s="4608">
        <f>'Tab. 6H - Kultura fiz. i turyst'!G232+'Tab. 6H - Kultura fiz. i turyst'!G242+'Tab. 6H - Kultura fiz. i turyst'!G253+'Tab. 6H - Kultura fiz. i turyst'!G263</f>
        <v>0</v>
      </c>
      <c r="F39" s="4608">
        <f>'Tab. 6H - Kultura fiz. i turyst'!H232+'Tab. 6H - Kultura fiz. i turyst'!H242+'Tab. 6H - Kultura fiz. i turyst'!H253+'Tab. 6H - Kultura fiz. i turyst'!H263</f>
        <v>2018411</v>
      </c>
      <c r="G39" s="4608">
        <f>'Tab. 6H - Kultura fiz. i turyst'!I232+'Tab. 6H - Kultura fiz. i turyst'!I242+'Tab. 6H - Kultura fiz. i turyst'!I253+'Tab. 6H - Kultura fiz. i turyst'!I263</f>
        <v>6184486</v>
      </c>
      <c r="H39" s="4608">
        <f>'Tab. 6H - Kultura fiz. i turyst'!J232+'Tab. 6H - Kultura fiz. i turyst'!J242+'Tab. 6H - Kultura fiz. i turyst'!J253+'Tab. 6H - Kultura fiz. i turyst'!J263</f>
        <v>3347788</v>
      </c>
      <c r="I39" s="4608">
        <f>'Tab. 6H - Kultura fiz. i turyst'!K232+'Tab. 6H - Kultura fiz. i turyst'!K242+'Tab. 6H - Kultura fiz. i turyst'!K253+'Tab. 6H - Kultura fiz. i turyst'!K263</f>
        <v>0</v>
      </c>
      <c r="J39" s="4608">
        <f>'Tab. 6H - Kultura fiz. i turyst'!L232+'Tab. 6H - Kultura fiz. i turyst'!L242+'Tab. 6H - Kultura fiz. i turyst'!L253+'Tab. 6H - Kultura fiz. i turyst'!L263</f>
        <v>0</v>
      </c>
      <c r="K39" s="4608">
        <f>+C39+D39+E39+F39+G39+H39+I39+J39</f>
        <v>11700685</v>
      </c>
      <c r="L39" s="4609" t="s">
        <v>53</v>
      </c>
      <c r="M39" s="4609" t="s">
        <v>53</v>
      </c>
      <c r="N39" s="4610"/>
      <c r="O39" s="4610"/>
      <c r="P39" s="4596"/>
      <c r="Q39" s="4597"/>
      <c r="R39" s="4597"/>
    </row>
    <row r="40" spans="1:18" s="4557" customFormat="1" ht="48" customHeight="1">
      <c r="A40" s="4568" t="s">
        <v>457</v>
      </c>
      <c r="B40" s="4569"/>
      <c r="C40" s="4552">
        <f>+'Tab. 6D - Oświata'!E27+'Tab. 6D - Oświata'!E38+'Tab. 6D - Oświata'!E49</f>
        <v>593887</v>
      </c>
      <c r="D40" s="4552">
        <f>+'Tab. 6D - Oświata'!F27+'Tab. 6D - Oświata'!F38+'Tab. 6D - Oświata'!F49</f>
        <v>144526</v>
      </c>
      <c r="E40" s="4552">
        <f>+'Tab. 6D - Oświata'!G27+'Tab. 6D - Oświata'!G38+'Tab. 6D - Oświata'!G49</f>
        <v>199080</v>
      </c>
      <c r="F40" s="4552">
        <f>+'Tab. 6D - Oświata'!H27+'Tab. 6D - Oświata'!H38+'Tab. 6D - Oświata'!H49</f>
        <v>199084</v>
      </c>
      <c r="G40" s="4552">
        <f>+'Tab. 6D - Oświata'!I27+'Tab. 6D - Oświata'!I38+'Tab. 6D - Oświata'!I49</f>
        <v>199080</v>
      </c>
      <c r="H40" s="4552">
        <f>+'Tab. 6D - Oświata'!J27+'Tab. 6D - Oświata'!J38+'Tab. 6D - Oświata'!J49</f>
        <v>0</v>
      </c>
      <c r="I40" s="4552">
        <f>+'Tab. 6D - Oświata'!K27+'Tab. 6D - Oświata'!K38+'Tab. 6D - Oświata'!K49</f>
        <v>0</v>
      </c>
      <c r="J40" s="4552">
        <f>+'Tab. 6D - Oświata'!L27+'Tab. 6D - Oświata'!L38+'Tab. 6D - Oświata'!L49</f>
        <v>0</v>
      </c>
      <c r="K40" s="4552">
        <f>C40+D40+E40+F40+G40+H40+I40+J40</f>
        <v>1335657</v>
      </c>
      <c r="L40" s="4553">
        <f>+D40+E40+F40+G40+H40+I40+J40</f>
        <v>741770</v>
      </c>
      <c r="M40" s="4553">
        <f>+E40+F40+G40+H40+I40+J40</f>
        <v>597244</v>
      </c>
      <c r="N40" s="4554">
        <f>E40/$E$45%</f>
        <v>4.5441236149168035E-2</v>
      </c>
      <c r="O40" s="4554">
        <f>E40/$O$48%</f>
        <v>1.6638733366409822E-2</v>
      </c>
      <c r="P40" s="4555">
        <f>K40-'[5]projekty UE'!$K$40</f>
        <v>0</v>
      </c>
      <c r="Q40" s="4556"/>
      <c r="R40" s="4556"/>
    </row>
    <row r="41" spans="1:18" s="4557" customFormat="1" ht="48" customHeight="1">
      <c r="A41" s="4570" t="s">
        <v>458</v>
      </c>
      <c r="B41" s="4571"/>
      <c r="C41" s="4560">
        <f>+'Tab. 6D - Oświata'!E32+'Tab. 6D - Oświata'!E43+'Tab. 6D - Oświata'!E52</f>
        <v>291312</v>
      </c>
      <c r="D41" s="4560">
        <f>+'Tab. 6D - Oświata'!F32+'Tab. 6D - Oświata'!F43+'Tab. 6D - Oświata'!F52</f>
        <v>79154</v>
      </c>
      <c r="E41" s="4560">
        <f>+'Tab. 6D - Oświata'!G32+'Tab. 6D - Oświata'!G43+'Tab. 6D - Oświata'!G52</f>
        <v>95897</v>
      </c>
      <c r="F41" s="4560">
        <f>+'Tab. 6D - Oświata'!H32+'Tab. 6D - Oświata'!H43+'Tab. 6D - Oświata'!H52</f>
        <v>99540</v>
      </c>
      <c r="G41" s="4560">
        <f>+'Tab. 6D - Oświata'!I32+'Tab. 6D - Oświata'!I43+'Tab. 6D - Oświata'!I52</f>
        <v>99540</v>
      </c>
      <c r="H41" s="4560">
        <f>+'Tab. 6D - Oświata'!J32+'Tab. 6D - Oświata'!J43+'Tab. 6D - Oświata'!J52</f>
        <v>29862</v>
      </c>
      <c r="I41" s="4560">
        <f>+'Tab. 6D - Oświata'!K32+'Tab. 6D - Oświata'!K43+'Tab. 6D - Oświata'!K52</f>
        <v>0</v>
      </c>
      <c r="J41" s="4560">
        <f>+'Tab. 6D - Oświata'!L32+'Tab. 6D - Oświata'!L43+'Tab. 6D - Oświata'!L52</f>
        <v>0</v>
      </c>
      <c r="K41" s="4560">
        <f>+C41+D41+E41+F41+G41+H41+I41+J41</f>
        <v>695305</v>
      </c>
      <c r="L41" s="4561" t="s">
        <v>53</v>
      </c>
      <c r="M41" s="4561" t="s">
        <v>53</v>
      </c>
      <c r="N41" s="4562"/>
      <c r="O41" s="4562"/>
      <c r="P41" s="4555"/>
      <c r="Q41" s="4556"/>
      <c r="R41" s="4556"/>
    </row>
    <row r="42" spans="1:18" s="4557" customFormat="1" ht="35.25" customHeight="1">
      <c r="A42" s="4568" t="s">
        <v>215</v>
      </c>
      <c r="B42" s="4569"/>
      <c r="C42" s="4552">
        <f>'Tab. 6D - Oświata'!E56+'Tab. 6A -Drogi'!E508+'Tab. 6D - Oświata'!E70+'Tab. 6D - Oświata'!E65</f>
        <v>803</v>
      </c>
      <c r="D42" s="4552">
        <f>'Tab. 6D - Oświata'!F56+'Tab. 6A -Drogi'!F508+'Tab. 6D - Oświata'!F70+'Tab. 6D - Oświata'!F65</f>
        <v>20291</v>
      </c>
      <c r="E42" s="4552">
        <f>'Tab. 6D - Oświata'!G56+'Tab. 6A -Drogi'!G508+'Tab. 6D - Oświata'!G70+'Tab. 6D - Oświata'!G65</f>
        <v>29639</v>
      </c>
      <c r="F42" s="4552">
        <f>'Tab. 6D - Oświata'!H56+'Tab. 6A -Drogi'!H508+'Tab. 6D - Oświata'!H70+'Tab. 6D - Oświata'!H65</f>
        <v>21882</v>
      </c>
      <c r="G42" s="4552">
        <f>'Tab. 6D - Oświata'!I56+'Tab. 6A -Drogi'!I508+'Tab. 6D - Oświata'!I70+'Tab. 6D - Oświata'!I65</f>
        <v>0</v>
      </c>
      <c r="H42" s="4552">
        <f>'Tab. 6D - Oświata'!J56+'Tab. 6A -Drogi'!J508+'Tab. 6D - Oświata'!J70+'Tab. 6D - Oświata'!J65</f>
        <v>0</v>
      </c>
      <c r="I42" s="4552">
        <f>'Tab. 6D - Oświata'!K56+'Tab. 6A -Drogi'!K508+'Tab. 6D - Oświata'!K70+'Tab. 6D - Oświata'!K65</f>
        <v>0</v>
      </c>
      <c r="J42" s="4552">
        <f>'Tab. 6D - Oświata'!L56+'Tab. 6A -Drogi'!L508+'Tab. 6D - Oświata'!L70+'Tab. 6D - Oświata'!L65</f>
        <v>0</v>
      </c>
      <c r="K42" s="4552">
        <f>C42+D42+E42+F42+G42+H42+I42+J42</f>
        <v>72615</v>
      </c>
      <c r="L42" s="4553">
        <f>+D42+E42+F42+G42+H42+I42+J42</f>
        <v>71812</v>
      </c>
      <c r="M42" s="4553">
        <f>+E42+F42+G42+H42+I42+J42</f>
        <v>51521</v>
      </c>
      <c r="N42" s="4554">
        <f>E42/$E$45%</f>
        <v>6.7652842989009013E-3</v>
      </c>
      <c r="O42" s="4554">
        <f>E42/$O$48%</f>
        <v>2.4771720828160575E-3</v>
      </c>
      <c r="P42" s="4555"/>
      <c r="Q42" s="4556"/>
      <c r="R42" s="4556"/>
    </row>
    <row r="43" spans="1:18" s="4557" customFormat="1" ht="35.25" customHeight="1">
      <c r="A43" s="4570" t="s">
        <v>216</v>
      </c>
      <c r="B43" s="4571"/>
      <c r="C43" s="4560">
        <f>'Tab. 6D - Oświata'!E59+'Tab. 6A -Drogi'!E513+'Tab. 6D - Oświata'!E73+'Tab. 6D - Oświata'!E66</f>
        <v>803</v>
      </c>
      <c r="D43" s="4560">
        <f>'Tab. 6D - Oświata'!F59+'Tab. 6A -Drogi'!F513+'Tab. 6D - Oświata'!F73+'Tab. 6D - Oświata'!F66</f>
        <v>28048</v>
      </c>
      <c r="E43" s="4560">
        <f>'Tab. 6D - Oświata'!G59+'Tab. 6A -Drogi'!G513+'Tab. 6D - Oświata'!G73+'Tab. 6D - Oświata'!G66</f>
        <v>21882</v>
      </c>
      <c r="F43" s="4560">
        <f>'Tab. 6D - Oświata'!H59+'Tab. 6A -Drogi'!H513+'Tab. 6D - Oświata'!H73+'Tab. 6D - Oświata'!H66</f>
        <v>21882</v>
      </c>
      <c r="G43" s="4560">
        <f>'Tab. 6D - Oświata'!I59+'Tab. 6A -Drogi'!I513+'Tab. 6D - Oświata'!I73+'Tab. 6D - Oświata'!I66</f>
        <v>0</v>
      </c>
      <c r="H43" s="4560">
        <f>'Tab. 6D - Oświata'!J59+'Tab. 6A -Drogi'!J513+'Tab. 6D - Oświata'!J73+'Tab. 6D - Oświata'!J66</f>
        <v>0</v>
      </c>
      <c r="I43" s="4560">
        <f>'Tab. 6D - Oświata'!K59+'Tab. 6A -Drogi'!K513+'Tab. 6D - Oświata'!K73+'Tab. 6D - Oświata'!K66</f>
        <v>0</v>
      </c>
      <c r="J43" s="4560">
        <f>'Tab. 6D - Oświata'!L59+'Tab. 6A -Drogi'!L513+'Tab. 6D - Oświata'!L73+'Tab. 6D - Oświata'!L66</f>
        <v>0</v>
      </c>
      <c r="K43" s="4560">
        <f>+C43+D43+E43+F43+G43+H43+I43+J43</f>
        <v>72615</v>
      </c>
      <c r="L43" s="4561" t="s">
        <v>53</v>
      </c>
      <c r="M43" s="4561" t="s">
        <v>53</v>
      </c>
      <c r="N43" s="4562"/>
      <c r="O43" s="4562"/>
      <c r="P43" s="4555"/>
      <c r="Q43" s="4556"/>
      <c r="R43" s="4556"/>
    </row>
    <row r="45" spans="1:18" s="4557" customFormat="1" ht="21.75" customHeight="1">
      <c r="A45" s="4568" t="s">
        <v>186</v>
      </c>
      <c r="B45" s="4569"/>
      <c r="C45" s="4552">
        <f t="shared" ref="C45:J45" si="2">C7+C9+C11+C13+C15+C17+C19+C21+C25+C40+C23+C42</f>
        <v>93026756</v>
      </c>
      <c r="D45" s="4552">
        <f t="shared" si="2"/>
        <v>269940314</v>
      </c>
      <c r="E45" s="4552">
        <f t="shared" si="2"/>
        <v>438104279</v>
      </c>
      <c r="F45" s="4552">
        <f t="shared" si="2"/>
        <v>361105893</v>
      </c>
      <c r="G45" s="4552">
        <f t="shared" si="2"/>
        <v>327014229</v>
      </c>
      <c r="H45" s="4552">
        <f t="shared" si="2"/>
        <v>127517730</v>
      </c>
      <c r="I45" s="4552">
        <f t="shared" si="2"/>
        <v>39006835</v>
      </c>
      <c r="J45" s="4552">
        <f t="shared" si="2"/>
        <v>35964179</v>
      </c>
      <c r="K45" s="4552">
        <f>K7+K9+K11+K13+K15+K17+K19+K21+K25+K40+K23+K42</f>
        <v>1691680215</v>
      </c>
      <c r="L45" s="4553">
        <f>+D45+E45+F45+G45+H45+I45+J45</f>
        <v>1598653459</v>
      </c>
      <c r="M45" s="4553">
        <f>+E45+F45+G45+H45+I45+J45</f>
        <v>1328713145</v>
      </c>
      <c r="N45" s="4554">
        <f>E45/$E$45%</f>
        <v>100</v>
      </c>
      <c r="O45" s="4554"/>
      <c r="P45" s="4556"/>
      <c r="Q45" s="4556"/>
      <c r="R45" s="4556"/>
    </row>
    <row r="46" spans="1:18" s="4557" customFormat="1" ht="21.75" customHeight="1">
      <c r="A46" s="4570" t="s">
        <v>187</v>
      </c>
      <c r="B46" s="4571"/>
      <c r="C46" s="4560">
        <f t="shared" ref="C46:I46" si="3">C8+C10+C12+C14+C16+C18+C20+C22+C26+C41+C24+C43</f>
        <v>69281470</v>
      </c>
      <c r="D46" s="4560">
        <f t="shared" si="3"/>
        <v>220861716</v>
      </c>
      <c r="E46" s="4560">
        <f>E8+E10+E12+E14+E16+E18+E20+E22+E26+E41+E24+E43</f>
        <v>393995959</v>
      </c>
      <c r="F46" s="4560">
        <f t="shared" si="3"/>
        <v>286677571</v>
      </c>
      <c r="G46" s="4560">
        <f t="shared" si="3"/>
        <v>259975251</v>
      </c>
      <c r="H46" s="4560">
        <f t="shared" si="3"/>
        <v>129723318</v>
      </c>
      <c r="I46" s="4560">
        <f t="shared" si="3"/>
        <v>34962740</v>
      </c>
      <c r="J46" s="4560">
        <f>J8+J10+J12+J14+J16+J18+J20+J22+J26+J41+J24+J43</f>
        <v>31994737</v>
      </c>
      <c r="K46" s="4560">
        <f>K8+K10+K12+K14+K16+K18+K20+K22+K26+K41+K24+K43</f>
        <v>1438619219</v>
      </c>
      <c r="L46" s="4561" t="s">
        <v>53</v>
      </c>
      <c r="M46" s="4561" t="s">
        <v>53</v>
      </c>
      <c r="N46" s="4562"/>
      <c r="O46" s="4562"/>
      <c r="P46" s="4556"/>
      <c r="Q46" s="4556"/>
      <c r="R46" s="4556"/>
    </row>
    <row r="48" spans="1:18">
      <c r="A48" s="4528" t="s">
        <v>188</v>
      </c>
      <c r="C48" s="4613">
        <f>+'Tabela nr 6'!B37</f>
        <v>93026756.299999997</v>
      </c>
      <c r="D48" s="4614">
        <f>+'Tabela nr 6'!C37</f>
        <v>269940314</v>
      </c>
      <c r="E48" s="4614">
        <f>+'Tabela nr 6'!D37</f>
        <v>438304687</v>
      </c>
      <c r="F48" s="4614">
        <f>+'Tabela nr 6'!E37</f>
        <v>369326156</v>
      </c>
      <c r="G48" s="4614">
        <f>+'Tabela nr 6'!F37</f>
        <v>327014229</v>
      </c>
      <c r="H48" s="4614">
        <f>+'Tabela nr 6'!G37</f>
        <v>127517730</v>
      </c>
      <c r="I48" s="4614">
        <f>+'Tabela nr 6'!H37</f>
        <v>39006835</v>
      </c>
      <c r="J48" s="4614">
        <f>+'Tabela nr 6'!I37</f>
        <v>35964179</v>
      </c>
      <c r="K48" s="4614">
        <f>+'Tabela nr 6'!J37</f>
        <v>1700100886.3</v>
      </c>
      <c r="L48" s="4614">
        <f>'Tabela nr 6'!K12</f>
        <v>1607074130</v>
      </c>
      <c r="M48" s="4614">
        <f>'Tabela nr 6'!L37</f>
        <v>1337133816</v>
      </c>
      <c r="N48" s="4615">
        <f>E45/O48%</f>
        <v>36.615934724554037</v>
      </c>
      <c r="O48" s="4614">
        <v>1196485307</v>
      </c>
    </row>
    <row r="49" spans="1:18">
      <c r="A49" s="4528" t="s">
        <v>189</v>
      </c>
      <c r="C49" s="4613">
        <f>+'Tabela nr 6'!B38</f>
        <v>69281470</v>
      </c>
      <c r="D49" s="4614">
        <f>+'Tabela nr 6'!C38</f>
        <v>220861716</v>
      </c>
      <c r="E49" s="4614">
        <f>+'Tabela nr 6'!D38</f>
        <v>393995959</v>
      </c>
      <c r="F49" s="4614">
        <f>+'Tabela nr 6'!E38</f>
        <v>293835141</v>
      </c>
      <c r="G49" s="4614">
        <f>+'Tabela nr 6'!F38</f>
        <v>259975251</v>
      </c>
      <c r="H49" s="4614">
        <f>+'Tabela nr 6'!G38</f>
        <v>129723318</v>
      </c>
      <c r="I49" s="4614">
        <f>+'Tabela nr 6'!H38</f>
        <v>34962740</v>
      </c>
      <c r="J49" s="4614">
        <f>+'Tabela nr 6'!I38</f>
        <v>31994737</v>
      </c>
      <c r="K49" s="4614">
        <f>+'Tabela nr 6'!J38</f>
        <v>1448097046</v>
      </c>
      <c r="L49" s="4616"/>
      <c r="M49" s="4616"/>
      <c r="N49" s="4614"/>
      <c r="O49" s="4614"/>
    </row>
    <row r="50" spans="1:18">
      <c r="B50" s="4617" t="s">
        <v>190</v>
      </c>
    </row>
    <row r="51" spans="1:18">
      <c r="B51" s="4618" t="s">
        <v>498</v>
      </c>
      <c r="C51" s="4613">
        <f>+C45-C48</f>
        <v>-0.29999999701976776</v>
      </c>
      <c r="D51" s="4614">
        <f t="shared" ref="D51:M51" si="4">+D45-D48</f>
        <v>0</v>
      </c>
      <c r="E51" s="4614">
        <f t="shared" si="4"/>
        <v>-200408</v>
      </c>
      <c r="F51" s="4614">
        <f>+F45-F48</f>
        <v>-8220263</v>
      </c>
      <c r="G51" s="4614">
        <f t="shared" si="4"/>
        <v>0</v>
      </c>
      <c r="H51" s="4614">
        <f t="shared" si="4"/>
        <v>0</v>
      </c>
      <c r="I51" s="4614">
        <f t="shared" si="4"/>
        <v>0</v>
      </c>
      <c r="J51" s="4614">
        <f t="shared" si="4"/>
        <v>0</v>
      </c>
      <c r="K51" s="4614">
        <f>+K45-K48</f>
        <v>-8420671.2999999523</v>
      </c>
      <c r="L51" s="4614">
        <f>+L45-L48</f>
        <v>-8420671</v>
      </c>
      <c r="M51" s="4614">
        <f t="shared" si="4"/>
        <v>-8420671</v>
      </c>
      <c r="N51" s="4614"/>
      <c r="O51" s="4614"/>
    </row>
    <row r="52" spans="1:18">
      <c r="B52" s="4618" t="s">
        <v>499</v>
      </c>
      <c r="C52" s="4613">
        <f>+C46-C49</f>
        <v>0</v>
      </c>
      <c r="D52" s="4614">
        <f t="shared" ref="D52:J52" si="5">+D46-D49</f>
        <v>0</v>
      </c>
      <c r="E52" s="4614">
        <f>+E46-E49</f>
        <v>0</v>
      </c>
      <c r="F52" s="4614">
        <f t="shared" si="5"/>
        <v>-7157570</v>
      </c>
      <c r="G52" s="4614">
        <f t="shared" si="5"/>
        <v>0</v>
      </c>
      <c r="H52" s="4614">
        <f t="shared" si="5"/>
        <v>0</v>
      </c>
      <c r="I52" s="4614">
        <f t="shared" si="5"/>
        <v>0</v>
      </c>
      <c r="J52" s="4614">
        <f t="shared" si="5"/>
        <v>0</v>
      </c>
      <c r="K52" s="4614">
        <f>+K46-K49</f>
        <v>-9477827</v>
      </c>
      <c r="L52" s="4614">
        <v>0</v>
      </c>
      <c r="M52" s="4614">
        <v>0</v>
      </c>
      <c r="N52" s="4614"/>
      <c r="O52" s="4614"/>
    </row>
    <row r="53" spans="1:18">
      <c r="C53" s="4613"/>
      <c r="P53" s="4528"/>
      <c r="Q53" s="4528"/>
      <c r="R53" s="4528"/>
    </row>
    <row r="54" spans="1:18">
      <c r="C54" s="4613"/>
      <c r="P54" s="4528"/>
      <c r="Q54" s="4528"/>
      <c r="R54" s="4528"/>
    </row>
    <row r="55" spans="1:18">
      <c r="A55" s="4619"/>
      <c r="C55" s="4613"/>
      <c r="F55" s="4614"/>
      <c r="P55" s="4528"/>
      <c r="Q55" s="4528"/>
      <c r="R55" s="4528"/>
    </row>
    <row r="56" spans="1:18" ht="23.25" customHeight="1">
      <c r="B56" s="4620"/>
      <c r="C56" s="4613"/>
      <c r="E56" s="4614"/>
      <c r="P56" s="4528"/>
      <c r="Q56" s="4528"/>
      <c r="R56" s="4528"/>
    </row>
    <row r="57" spans="1:18">
      <c r="C57" s="4613"/>
      <c r="P57" s="4528"/>
      <c r="Q57" s="4528"/>
      <c r="R57" s="4528"/>
    </row>
    <row r="58" spans="1:18">
      <c r="A58" s="4621"/>
      <c r="C58" s="4613"/>
      <c r="P58" s="4528"/>
      <c r="Q58" s="4528"/>
      <c r="R58" s="4528"/>
    </row>
    <row r="59" spans="1:18">
      <c r="C59" s="4613"/>
      <c r="P59" s="4528"/>
      <c r="Q59" s="4528"/>
      <c r="R59" s="4528"/>
    </row>
    <row r="60" spans="1:18">
      <c r="P60" s="4528"/>
      <c r="Q60" s="4528"/>
      <c r="R60" s="4528"/>
    </row>
    <row r="61" spans="1:18">
      <c r="P61" s="4528"/>
      <c r="Q61" s="4528"/>
      <c r="R61" s="4528"/>
    </row>
    <row r="62" spans="1:18">
      <c r="P62" s="4528"/>
      <c r="Q62" s="4528"/>
      <c r="R62" s="4528"/>
    </row>
    <row r="63" spans="1:18">
      <c r="A63" s="4621"/>
      <c r="P63" s="4528"/>
      <c r="Q63" s="4528"/>
      <c r="R63" s="4528"/>
    </row>
    <row r="64" spans="1:18">
      <c r="B64" s="4620"/>
      <c r="P64" s="4528"/>
      <c r="Q64" s="4528"/>
      <c r="R64" s="4528"/>
    </row>
    <row r="65" spans="1:18">
      <c r="P65" s="4528"/>
      <c r="Q65" s="4528"/>
      <c r="R65" s="4528"/>
    </row>
    <row r="66" spans="1:18">
      <c r="P66" s="4528"/>
      <c r="Q66" s="4528"/>
      <c r="R66" s="4528"/>
    </row>
    <row r="67" spans="1:18">
      <c r="A67" s="4528"/>
      <c r="P67" s="4528"/>
      <c r="Q67" s="4528"/>
      <c r="R67" s="4528"/>
    </row>
    <row r="68" spans="1:18">
      <c r="A68" s="4528"/>
      <c r="P68" s="4528"/>
      <c r="Q68" s="4528"/>
      <c r="R68" s="4528"/>
    </row>
    <row r="69" spans="1:18">
      <c r="A69" s="4528"/>
      <c r="P69" s="4528"/>
      <c r="Q69" s="4528"/>
      <c r="R69" s="4528"/>
    </row>
    <row r="70" spans="1:18">
      <c r="A70" s="4528"/>
      <c r="P70" s="4528"/>
      <c r="Q70" s="4528"/>
      <c r="R70" s="4528"/>
    </row>
    <row r="71" spans="1:18">
      <c r="A71" s="4528"/>
      <c r="P71" s="4528"/>
      <c r="Q71" s="4528"/>
      <c r="R71" s="4528"/>
    </row>
    <row r="72" spans="1:18">
      <c r="A72" s="4528"/>
      <c r="P72" s="4528"/>
      <c r="Q72" s="4528"/>
      <c r="R72" s="4528"/>
    </row>
    <row r="73" spans="1:18">
      <c r="A73" s="4528"/>
      <c r="P73" s="4528"/>
      <c r="Q73" s="4528"/>
      <c r="R73" s="4528"/>
    </row>
    <row r="74" spans="1:18">
      <c r="A74" s="4528"/>
      <c r="P74" s="4528"/>
      <c r="Q74" s="4528"/>
      <c r="R74" s="4528"/>
    </row>
    <row r="75" spans="1:18">
      <c r="A75" s="4528"/>
      <c r="P75" s="4528"/>
      <c r="Q75" s="4528"/>
      <c r="R75" s="4528"/>
    </row>
    <row r="76" spans="1:18">
      <c r="A76" s="4528"/>
      <c r="P76" s="4528"/>
      <c r="Q76" s="4528"/>
      <c r="R76" s="4528"/>
    </row>
    <row r="77" spans="1:18" ht="13.5" customHeight="1">
      <c r="A77" s="4528"/>
      <c r="P77" s="4528"/>
      <c r="Q77" s="4528"/>
      <c r="R77" s="4528"/>
    </row>
    <row r="78" spans="1:18">
      <c r="A78" s="4528"/>
      <c r="P78" s="4528"/>
      <c r="Q78" s="4528"/>
      <c r="R78" s="4528"/>
    </row>
    <row r="79" spans="1:18">
      <c r="A79" s="4528"/>
      <c r="P79" s="4528"/>
      <c r="Q79" s="4528"/>
      <c r="R79" s="4528"/>
    </row>
    <row r="80" spans="1:18">
      <c r="A80" s="4528"/>
      <c r="P80" s="4528"/>
      <c r="Q80" s="4528"/>
      <c r="R80" s="4528"/>
    </row>
    <row r="81" spans="1:18">
      <c r="A81" s="4528"/>
      <c r="P81" s="4528"/>
      <c r="Q81" s="4528"/>
      <c r="R81" s="4528"/>
    </row>
    <row r="82" spans="1:18">
      <c r="A82" s="4528"/>
      <c r="P82" s="4528"/>
      <c r="Q82" s="4528"/>
      <c r="R82" s="4528"/>
    </row>
    <row r="83" spans="1:18">
      <c r="A83" s="4528"/>
      <c r="P83" s="4528"/>
      <c r="Q83" s="4528"/>
      <c r="R83" s="4528"/>
    </row>
    <row r="84" spans="1:18">
      <c r="A84" s="4528"/>
      <c r="P84" s="4528"/>
      <c r="Q84" s="4528"/>
      <c r="R84" s="4528"/>
    </row>
    <row r="85" spans="1:18">
      <c r="A85" s="4528"/>
      <c r="P85" s="4528"/>
      <c r="Q85" s="4528"/>
      <c r="R85" s="4528"/>
    </row>
    <row r="86" spans="1:18">
      <c r="A86" s="4528"/>
      <c r="P86" s="4528"/>
      <c r="Q86" s="4528"/>
      <c r="R86" s="4528"/>
    </row>
    <row r="87" spans="1:18">
      <c r="A87" s="4528"/>
      <c r="P87" s="4528"/>
      <c r="Q87" s="4528"/>
      <c r="R87" s="4528"/>
    </row>
    <row r="88" spans="1:18">
      <c r="A88" s="4528"/>
      <c r="P88" s="4528"/>
      <c r="Q88" s="4528"/>
      <c r="R88" s="4528"/>
    </row>
    <row r="89" spans="1:18">
      <c r="A89" s="4528"/>
      <c r="P89" s="4528"/>
      <c r="Q89" s="4528"/>
      <c r="R89" s="4528"/>
    </row>
    <row r="90" spans="1:18">
      <c r="A90" s="4528"/>
      <c r="P90" s="4528"/>
      <c r="Q90" s="4528"/>
      <c r="R90" s="4528"/>
    </row>
    <row r="91" spans="1:18">
      <c r="A91" s="4528"/>
      <c r="P91" s="4528"/>
      <c r="Q91" s="4528"/>
      <c r="R91" s="4528"/>
    </row>
    <row r="92" spans="1:18">
      <c r="A92" s="4528"/>
      <c r="P92" s="4528"/>
      <c r="Q92" s="4528"/>
      <c r="R92" s="4528"/>
    </row>
    <row r="93" spans="1:18">
      <c r="A93" s="4528"/>
      <c r="P93" s="4528"/>
      <c r="Q93" s="4528"/>
      <c r="R93" s="4528"/>
    </row>
    <row r="94" spans="1:18">
      <c r="A94" s="4528"/>
      <c r="P94" s="4528"/>
      <c r="Q94" s="4528"/>
      <c r="R94" s="4528"/>
    </row>
    <row r="95" spans="1:18">
      <c r="A95" s="4528"/>
      <c r="P95" s="4528"/>
      <c r="Q95" s="4528"/>
      <c r="R95" s="4528"/>
    </row>
    <row r="96" spans="1:18">
      <c r="A96" s="4528"/>
      <c r="P96" s="4528"/>
      <c r="Q96" s="4528"/>
      <c r="R96" s="4528"/>
    </row>
    <row r="97" spans="1:18">
      <c r="A97" s="4528"/>
      <c r="P97" s="4528"/>
      <c r="Q97" s="4528"/>
      <c r="R97" s="4528"/>
    </row>
    <row r="98" spans="1:18">
      <c r="A98" s="4528"/>
      <c r="P98" s="4528"/>
      <c r="Q98" s="4528"/>
      <c r="R98" s="4528"/>
    </row>
    <row r="99" spans="1:18">
      <c r="A99" s="4528"/>
      <c r="P99" s="4528"/>
      <c r="Q99" s="4528"/>
      <c r="R99" s="4528"/>
    </row>
    <row r="100" spans="1:18">
      <c r="A100" s="4528"/>
      <c r="P100" s="4528"/>
      <c r="Q100" s="4528"/>
      <c r="R100" s="4528"/>
    </row>
    <row r="101" spans="1:18">
      <c r="A101" s="4528"/>
      <c r="P101" s="4528"/>
      <c r="Q101" s="4528"/>
      <c r="R101" s="4528"/>
    </row>
    <row r="102" spans="1:18">
      <c r="A102" s="4528"/>
      <c r="P102" s="4528"/>
      <c r="Q102" s="4528"/>
      <c r="R102" s="4528"/>
    </row>
    <row r="103" spans="1:18">
      <c r="A103" s="4528"/>
      <c r="P103" s="4528"/>
      <c r="Q103" s="4528"/>
      <c r="R103" s="4528"/>
    </row>
    <row r="104" spans="1:18">
      <c r="A104" s="4528"/>
      <c r="P104" s="4528"/>
      <c r="Q104" s="4528"/>
      <c r="R104" s="4528"/>
    </row>
    <row r="105" spans="1:18">
      <c r="A105" s="4528"/>
      <c r="P105" s="4528"/>
      <c r="Q105" s="4528"/>
      <c r="R105" s="4528"/>
    </row>
    <row r="106" spans="1:18">
      <c r="A106" s="4528"/>
      <c r="P106" s="4528"/>
      <c r="Q106" s="4528"/>
      <c r="R106" s="4528"/>
    </row>
    <row r="107" spans="1:18">
      <c r="A107" s="4528"/>
      <c r="P107" s="4528"/>
      <c r="Q107" s="4528"/>
      <c r="R107" s="4528"/>
    </row>
    <row r="108" spans="1:18">
      <c r="A108" s="4528"/>
      <c r="P108" s="4528"/>
      <c r="Q108" s="4528"/>
      <c r="R108" s="4528"/>
    </row>
    <row r="109" spans="1:18">
      <c r="A109" s="4528"/>
      <c r="P109" s="4528"/>
      <c r="Q109" s="4528"/>
      <c r="R109" s="4528"/>
    </row>
    <row r="110" spans="1:18">
      <c r="A110" s="4528"/>
      <c r="P110" s="4528"/>
      <c r="Q110" s="4528"/>
      <c r="R110" s="4528"/>
    </row>
    <row r="111" spans="1:18">
      <c r="A111" s="4528"/>
      <c r="P111" s="4528"/>
      <c r="Q111" s="4528"/>
      <c r="R111" s="4528"/>
    </row>
    <row r="112" spans="1:18">
      <c r="A112" s="4528"/>
      <c r="P112" s="4528"/>
      <c r="Q112" s="4528"/>
      <c r="R112" s="4528"/>
    </row>
    <row r="113" spans="1:18">
      <c r="A113" s="4528"/>
      <c r="P113" s="4528"/>
      <c r="Q113" s="4528"/>
      <c r="R113" s="4528"/>
    </row>
    <row r="114" spans="1:18">
      <c r="A114" s="4528"/>
      <c r="P114" s="4528"/>
      <c r="Q114" s="4528"/>
      <c r="R114" s="4528"/>
    </row>
    <row r="115" spans="1:18">
      <c r="A115" s="4528"/>
      <c r="P115" s="4528"/>
      <c r="Q115" s="4528"/>
      <c r="R115" s="4528"/>
    </row>
    <row r="116" spans="1:18">
      <c r="A116" s="4528"/>
      <c r="P116" s="4528"/>
      <c r="Q116" s="4528"/>
      <c r="R116" s="4528"/>
    </row>
    <row r="117" spans="1:18">
      <c r="A117" s="4528"/>
      <c r="P117" s="4528"/>
      <c r="Q117" s="4528"/>
      <c r="R117" s="4528"/>
    </row>
    <row r="118" spans="1:18">
      <c r="A118" s="4528"/>
      <c r="P118" s="4528"/>
      <c r="Q118" s="4528"/>
      <c r="R118" s="4528"/>
    </row>
    <row r="119" spans="1:18">
      <c r="A119" s="4528"/>
      <c r="P119" s="4528"/>
      <c r="Q119" s="4528"/>
      <c r="R119" s="4528"/>
    </row>
    <row r="120" spans="1:18">
      <c r="A120" s="4528"/>
      <c r="P120" s="4528"/>
      <c r="Q120" s="4528"/>
      <c r="R120" s="4528"/>
    </row>
    <row r="121" spans="1:18">
      <c r="A121" s="4528"/>
      <c r="P121" s="4528"/>
      <c r="Q121" s="4528"/>
      <c r="R121" s="4528"/>
    </row>
    <row r="122" spans="1:18">
      <c r="A122" s="4528"/>
      <c r="P122" s="4528"/>
      <c r="Q122" s="4528"/>
      <c r="R122" s="4528"/>
    </row>
    <row r="123" spans="1:18">
      <c r="A123" s="4528"/>
      <c r="P123" s="4528"/>
      <c r="Q123" s="4528"/>
      <c r="R123" s="4528"/>
    </row>
    <row r="124" spans="1:18">
      <c r="A124" s="4528"/>
      <c r="P124" s="4528"/>
      <c r="Q124" s="4528"/>
      <c r="R124" s="4528"/>
    </row>
    <row r="125" spans="1:18">
      <c r="A125" s="4528"/>
      <c r="P125" s="4528"/>
      <c r="Q125" s="4528"/>
      <c r="R125" s="4528"/>
    </row>
    <row r="126" spans="1:18">
      <c r="A126" s="4528"/>
      <c r="P126" s="4528"/>
      <c r="Q126" s="4528"/>
      <c r="R126" s="4528"/>
    </row>
    <row r="127" spans="1:18">
      <c r="A127" s="4528"/>
      <c r="P127" s="4528"/>
      <c r="Q127" s="4528"/>
      <c r="R127" s="4528"/>
    </row>
    <row r="128" spans="1:18">
      <c r="A128" s="4528"/>
      <c r="P128" s="4528"/>
      <c r="Q128" s="4528"/>
      <c r="R128" s="4528"/>
    </row>
    <row r="129" spans="1:18">
      <c r="A129" s="4528"/>
      <c r="P129" s="4528"/>
      <c r="Q129" s="4528"/>
      <c r="R129" s="4528"/>
    </row>
    <row r="130" spans="1:18">
      <c r="A130" s="4528"/>
      <c r="P130" s="4528"/>
      <c r="Q130" s="4528"/>
      <c r="R130" s="4528"/>
    </row>
    <row r="131" spans="1:18">
      <c r="A131" s="4528"/>
      <c r="P131" s="4528"/>
      <c r="Q131" s="4528"/>
      <c r="R131" s="4528"/>
    </row>
    <row r="132" spans="1:18">
      <c r="A132" s="4528"/>
      <c r="P132" s="4528"/>
      <c r="Q132" s="4528"/>
      <c r="R132" s="4528"/>
    </row>
    <row r="133" spans="1:18">
      <c r="A133" s="4528"/>
      <c r="P133" s="4528"/>
      <c r="Q133" s="4528"/>
      <c r="R133" s="4528"/>
    </row>
    <row r="134" spans="1:18">
      <c r="A134" s="4528"/>
      <c r="P134" s="4528"/>
      <c r="Q134" s="4528"/>
      <c r="R134" s="4528"/>
    </row>
    <row r="135" spans="1:18">
      <c r="A135" s="4528"/>
      <c r="P135" s="4528"/>
      <c r="Q135" s="4528"/>
      <c r="R135" s="4528"/>
    </row>
    <row r="136" spans="1:18">
      <c r="A136" s="4528"/>
      <c r="P136" s="4528"/>
      <c r="Q136" s="4528"/>
      <c r="R136" s="4528"/>
    </row>
    <row r="137" spans="1:18">
      <c r="A137" s="4528"/>
      <c r="P137" s="4528"/>
      <c r="Q137" s="4528"/>
      <c r="R137" s="4528"/>
    </row>
    <row r="138" spans="1:18">
      <c r="A138" s="4528"/>
      <c r="P138" s="4528"/>
      <c r="Q138" s="4528"/>
      <c r="R138" s="4528"/>
    </row>
    <row r="139" spans="1:18">
      <c r="A139" s="4528"/>
      <c r="P139" s="4528"/>
      <c r="Q139" s="4528"/>
      <c r="R139" s="4528"/>
    </row>
    <row r="140" spans="1:18">
      <c r="A140" s="4528"/>
      <c r="P140" s="4528"/>
      <c r="Q140" s="4528"/>
      <c r="R140" s="4528"/>
    </row>
    <row r="141" spans="1:18">
      <c r="A141" s="4528"/>
      <c r="P141" s="4528"/>
      <c r="Q141" s="4528"/>
      <c r="R141" s="4528"/>
    </row>
    <row r="142" spans="1:18">
      <c r="A142" s="4528"/>
      <c r="P142" s="4528"/>
      <c r="Q142" s="4528"/>
      <c r="R142" s="4528"/>
    </row>
    <row r="143" spans="1:18">
      <c r="A143" s="4528"/>
      <c r="P143" s="4528"/>
      <c r="Q143" s="4528"/>
      <c r="R143" s="4528"/>
    </row>
    <row r="144" spans="1:18">
      <c r="A144" s="4528"/>
      <c r="P144" s="4528"/>
      <c r="Q144" s="4528"/>
      <c r="R144" s="4528"/>
    </row>
    <row r="145" spans="1:18">
      <c r="A145" s="4528"/>
      <c r="P145" s="4528"/>
      <c r="Q145" s="4528"/>
      <c r="R145" s="4528"/>
    </row>
    <row r="146" spans="1:18">
      <c r="A146" s="4528"/>
      <c r="P146" s="4528"/>
      <c r="Q146" s="4528"/>
      <c r="R146" s="4528"/>
    </row>
    <row r="147" spans="1:18">
      <c r="A147" s="4528"/>
      <c r="P147" s="4528"/>
      <c r="Q147" s="4528"/>
      <c r="R147" s="4528"/>
    </row>
    <row r="148" spans="1:18">
      <c r="A148" s="4528"/>
      <c r="P148" s="4528"/>
      <c r="Q148" s="4528"/>
      <c r="R148" s="4528"/>
    </row>
    <row r="149" spans="1:18">
      <c r="A149" s="4528"/>
      <c r="P149" s="4528"/>
      <c r="Q149" s="4528"/>
      <c r="R149" s="4528"/>
    </row>
    <row r="150" spans="1:18">
      <c r="A150" s="4528"/>
      <c r="P150" s="4528"/>
      <c r="Q150" s="4528"/>
      <c r="R150" s="4528"/>
    </row>
    <row r="151" spans="1:18">
      <c r="A151" s="4528"/>
      <c r="P151" s="4528"/>
      <c r="Q151" s="4528"/>
      <c r="R151" s="4528"/>
    </row>
    <row r="152" spans="1:18">
      <c r="A152" s="4528"/>
      <c r="P152" s="4528"/>
      <c r="Q152" s="4528"/>
      <c r="R152" s="4528"/>
    </row>
    <row r="153" spans="1:18">
      <c r="A153" s="4528"/>
      <c r="P153" s="4528"/>
      <c r="Q153" s="4528"/>
      <c r="R153" s="4528"/>
    </row>
    <row r="154" spans="1:18">
      <c r="A154" s="4528"/>
      <c r="P154" s="4528"/>
      <c r="Q154" s="4528"/>
      <c r="R154" s="4528"/>
    </row>
    <row r="155" spans="1:18">
      <c r="A155" s="4528"/>
      <c r="P155" s="4528"/>
      <c r="Q155" s="4528"/>
      <c r="R155" s="4528"/>
    </row>
    <row r="156" spans="1:18">
      <c r="A156" s="4528"/>
      <c r="P156" s="4528"/>
      <c r="Q156" s="4528"/>
      <c r="R156" s="4528"/>
    </row>
    <row r="157" spans="1:18">
      <c r="A157" s="4528"/>
      <c r="P157" s="4528"/>
      <c r="Q157" s="4528"/>
      <c r="R157" s="4528"/>
    </row>
    <row r="158" spans="1:18">
      <c r="A158" s="4528"/>
      <c r="P158" s="4528"/>
      <c r="Q158" s="4528"/>
      <c r="R158" s="4528"/>
    </row>
    <row r="159" spans="1:18">
      <c r="A159" s="4528"/>
      <c r="P159" s="4528"/>
      <c r="Q159" s="4528"/>
      <c r="R159" s="4528"/>
    </row>
    <row r="160" spans="1:18">
      <c r="A160" s="4528"/>
      <c r="P160" s="4528"/>
      <c r="Q160" s="4528"/>
      <c r="R160" s="4528"/>
    </row>
    <row r="161" spans="1:18">
      <c r="A161" s="4528"/>
      <c r="P161" s="4528"/>
      <c r="Q161" s="4528"/>
      <c r="R161" s="4528"/>
    </row>
    <row r="162" spans="1:18">
      <c r="A162" s="4528"/>
      <c r="P162" s="4528"/>
      <c r="Q162" s="4528"/>
      <c r="R162" s="4528"/>
    </row>
    <row r="163" spans="1:18">
      <c r="A163" s="4528"/>
      <c r="P163" s="4528"/>
      <c r="Q163" s="4528"/>
      <c r="R163" s="4528"/>
    </row>
    <row r="164" spans="1:18">
      <c r="A164" s="4528"/>
      <c r="P164" s="4528"/>
      <c r="Q164" s="4528"/>
      <c r="R164" s="4528"/>
    </row>
    <row r="165" spans="1:18">
      <c r="A165" s="4528"/>
      <c r="P165" s="4528"/>
      <c r="Q165" s="4528"/>
      <c r="R165" s="4528"/>
    </row>
    <row r="166" spans="1:18">
      <c r="A166" s="4528"/>
      <c r="P166" s="4528"/>
      <c r="Q166" s="4528"/>
      <c r="R166" s="4528"/>
    </row>
    <row r="167" spans="1:18">
      <c r="A167" s="4528"/>
      <c r="P167" s="4528"/>
      <c r="Q167" s="4528"/>
      <c r="R167" s="4528"/>
    </row>
    <row r="168" spans="1:18">
      <c r="A168" s="4528"/>
      <c r="P168" s="4528"/>
      <c r="Q168" s="4528"/>
      <c r="R168" s="4528"/>
    </row>
    <row r="169" spans="1:18">
      <c r="A169" s="4528"/>
      <c r="P169" s="4528"/>
      <c r="Q169" s="4528"/>
      <c r="R169" s="4528"/>
    </row>
    <row r="170" spans="1:18">
      <c r="A170" s="4528"/>
      <c r="P170" s="4528"/>
      <c r="Q170" s="4528"/>
      <c r="R170" s="4528"/>
    </row>
    <row r="171" spans="1:18">
      <c r="A171" s="4528"/>
      <c r="P171" s="4528"/>
      <c r="Q171" s="4528"/>
      <c r="R171" s="4528"/>
    </row>
    <row r="172" spans="1:18">
      <c r="A172" s="4528"/>
      <c r="P172" s="4528"/>
      <c r="Q172" s="4528"/>
      <c r="R172" s="4528"/>
    </row>
    <row r="173" spans="1:18">
      <c r="A173" s="4528"/>
      <c r="P173" s="4528"/>
      <c r="Q173" s="4528"/>
      <c r="R173" s="4528"/>
    </row>
    <row r="174" spans="1:18">
      <c r="A174" s="4528"/>
      <c r="P174" s="4528"/>
      <c r="Q174" s="4528"/>
      <c r="R174" s="4528"/>
    </row>
    <row r="175" spans="1:18">
      <c r="A175" s="4528"/>
      <c r="P175" s="4528"/>
      <c r="Q175" s="4528"/>
      <c r="R175" s="4528"/>
    </row>
    <row r="176" spans="1:18">
      <c r="A176" s="4528"/>
      <c r="P176" s="4528"/>
      <c r="Q176" s="4528"/>
      <c r="R176" s="4528"/>
    </row>
    <row r="177" spans="1:18">
      <c r="A177" s="4528"/>
      <c r="P177" s="4528"/>
      <c r="Q177" s="4528"/>
      <c r="R177" s="4528"/>
    </row>
    <row r="178" spans="1:18">
      <c r="A178" s="4528"/>
      <c r="P178" s="4528"/>
      <c r="Q178" s="4528"/>
      <c r="R178" s="4528"/>
    </row>
    <row r="179" spans="1:18">
      <c r="A179" s="4528"/>
      <c r="P179" s="4528"/>
      <c r="Q179" s="4528"/>
      <c r="R179" s="4528"/>
    </row>
    <row r="180" spans="1:18">
      <c r="A180" s="4528"/>
      <c r="P180" s="4528"/>
      <c r="Q180" s="4528"/>
      <c r="R180" s="4528"/>
    </row>
    <row r="181" spans="1:18">
      <c r="A181" s="4528"/>
      <c r="P181" s="4528"/>
      <c r="Q181" s="4528"/>
      <c r="R181" s="4528"/>
    </row>
    <row r="182" spans="1:18">
      <c r="A182" s="4528"/>
      <c r="P182" s="4528"/>
      <c r="Q182" s="4528"/>
      <c r="R182" s="4528"/>
    </row>
    <row r="183" spans="1:18">
      <c r="A183" s="4528"/>
      <c r="P183" s="4528"/>
      <c r="Q183" s="4528"/>
      <c r="R183" s="4528"/>
    </row>
    <row r="184" spans="1:18">
      <c r="A184" s="4528"/>
      <c r="P184" s="4528"/>
      <c r="Q184" s="4528"/>
      <c r="R184" s="4528"/>
    </row>
    <row r="185" spans="1:18">
      <c r="A185" s="4528"/>
      <c r="P185" s="4528"/>
      <c r="Q185" s="4528"/>
      <c r="R185" s="4528"/>
    </row>
    <row r="186" spans="1:18">
      <c r="A186" s="4528"/>
      <c r="P186" s="4528"/>
      <c r="Q186" s="4528"/>
      <c r="R186" s="4528"/>
    </row>
    <row r="187" spans="1:18">
      <c r="A187" s="4528"/>
      <c r="P187" s="4528"/>
      <c r="Q187" s="4528"/>
      <c r="R187" s="4528"/>
    </row>
    <row r="188" spans="1:18">
      <c r="A188" s="4528"/>
      <c r="P188" s="4528"/>
      <c r="Q188" s="4528"/>
      <c r="R188" s="4528"/>
    </row>
    <row r="189" spans="1:18">
      <c r="A189" s="4528"/>
      <c r="P189" s="4528"/>
      <c r="Q189" s="4528"/>
      <c r="R189" s="4528"/>
    </row>
    <row r="190" spans="1:18">
      <c r="A190" s="4528"/>
      <c r="P190" s="4528"/>
      <c r="Q190" s="4528"/>
      <c r="R190" s="4528"/>
    </row>
    <row r="191" spans="1:18">
      <c r="A191" s="4528"/>
      <c r="P191" s="4528"/>
      <c r="Q191" s="4528"/>
      <c r="R191" s="4528"/>
    </row>
    <row r="192" spans="1:18">
      <c r="A192" s="4528"/>
      <c r="P192" s="4528"/>
      <c r="Q192" s="4528"/>
      <c r="R192" s="4528"/>
    </row>
    <row r="193" spans="1:18">
      <c r="A193" s="4528"/>
      <c r="P193" s="4528"/>
      <c r="Q193" s="4528"/>
      <c r="R193" s="4528"/>
    </row>
    <row r="194" spans="1:18">
      <c r="A194" s="4528"/>
      <c r="P194" s="4528"/>
      <c r="Q194" s="4528"/>
      <c r="R194" s="4528"/>
    </row>
    <row r="195" spans="1:18">
      <c r="A195" s="4528"/>
      <c r="P195" s="4528"/>
      <c r="Q195" s="4528"/>
      <c r="R195" s="4528"/>
    </row>
    <row r="196" spans="1:18">
      <c r="A196" s="4528"/>
      <c r="P196" s="4528"/>
      <c r="Q196" s="4528"/>
      <c r="R196" s="4528"/>
    </row>
    <row r="197" spans="1:18">
      <c r="A197" s="4528"/>
      <c r="P197" s="4528"/>
      <c r="Q197" s="4528"/>
      <c r="R197" s="4528"/>
    </row>
    <row r="198" spans="1:18">
      <c r="A198" s="4528"/>
      <c r="P198" s="4528"/>
      <c r="Q198" s="4528"/>
      <c r="R198" s="4528"/>
    </row>
    <row r="199" spans="1:18">
      <c r="A199" s="4528"/>
      <c r="P199" s="4528"/>
      <c r="Q199" s="4528"/>
      <c r="R199" s="4528"/>
    </row>
    <row r="200" spans="1:18">
      <c r="A200" s="4528"/>
      <c r="P200" s="4528"/>
      <c r="Q200" s="4528"/>
      <c r="R200" s="4528"/>
    </row>
    <row r="201" spans="1:18">
      <c r="A201" s="4528"/>
      <c r="P201" s="4528"/>
      <c r="Q201" s="4528"/>
      <c r="R201" s="4528"/>
    </row>
    <row r="202" spans="1:18">
      <c r="A202" s="4528"/>
      <c r="P202" s="4528"/>
      <c r="Q202" s="4528"/>
      <c r="R202" s="4528"/>
    </row>
    <row r="203" spans="1:18">
      <c r="A203" s="4528"/>
      <c r="P203" s="4528"/>
      <c r="Q203" s="4528"/>
      <c r="R203" s="4528"/>
    </row>
    <row r="204" spans="1:18">
      <c r="A204" s="4528"/>
      <c r="P204" s="4528"/>
      <c r="Q204" s="4528"/>
      <c r="R204" s="4528"/>
    </row>
    <row r="205" spans="1:18">
      <c r="A205" s="4528"/>
      <c r="P205" s="4528"/>
      <c r="Q205" s="4528"/>
      <c r="R205" s="4528"/>
    </row>
    <row r="206" spans="1:18">
      <c r="A206" s="4528"/>
      <c r="P206" s="4528"/>
      <c r="Q206" s="4528"/>
      <c r="R206" s="4528"/>
    </row>
    <row r="207" spans="1:18">
      <c r="A207" s="4528"/>
      <c r="P207" s="4528"/>
      <c r="Q207" s="4528"/>
      <c r="R207" s="4528"/>
    </row>
    <row r="208" spans="1:18">
      <c r="A208" s="4528"/>
      <c r="P208" s="4528"/>
      <c r="Q208" s="4528"/>
      <c r="R208" s="4528"/>
    </row>
    <row r="209" spans="1:18">
      <c r="A209" s="4528"/>
      <c r="P209" s="4528"/>
      <c r="Q209" s="4528"/>
      <c r="R209" s="4528"/>
    </row>
    <row r="210" spans="1:18">
      <c r="A210" s="4528"/>
      <c r="P210" s="4528"/>
      <c r="Q210" s="4528"/>
      <c r="R210" s="4528"/>
    </row>
    <row r="211" spans="1:18">
      <c r="A211" s="4528"/>
      <c r="P211" s="4528"/>
      <c r="Q211" s="4528"/>
      <c r="R211" s="4528"/>
    </row>
    <row r="212" spans="1:18">
      <c r="A212" s="4528"/>
      <c r="P212" s="4528"/>
      <c r="Q212" s="4528"/>
      <c r="R212" s="4528"/>
    </row>
    <row r="213" spans="1:18">
      <c r="A213" s="4528"/>
      <c r="P213" s="4528"/>
      <c r="Q213" s="4528"/>
      <c r="R213" s="4528"/>
    </row>
    <row r="214" spans="1:18">
      <c r="A214" s="4528"/>
      <c r="P214" s="4528"/>
      <c r="Q214" s="4528"/>
      <c r="R214" s="4528"/>
    </row>
    <row r="215" spans="1:18">
      <c r="A215" s="4528"/>
      <c r="P215" s="4528"/>
      <c r="Q215" s="4528"/>
      <c r="R215" s="4528"/>
    </row>
    <row r="216" spans="1:18">
      <c r="A216" s="4528"/>
      <c r="P216" s="4528"/>
      <c r="Q216" s="4528"/>
      <c r="R216" s="4528"/>
    </row>
    <row r="217" spans="1:18">
      <c r="A217" s="4528"/>
      <c r="P217" s="4528"/>
      <c r="Q217" s="4528"/>
      <c r="R217" s="4528"/>
    </row>
    <row r="218" spans="1:18">
      <c r="A218" s="4528"/>
      <c r="P218" s="4528"/>
      <c r="Q218" s="4528"/>
      <c r="R218" s="4528"/>
    </row>
    <row r="219" spans="1:18">
      <c r="A219" s="4528"/>
      <c r="P219" s="4528"/>
      <c r="Q219" s="4528"/>
      <c r="R219" s="4528"/>
    </row>
    <row r="220" spans="1:18">
      <c r="A220" s="4528"/>
      <c r="P220" s="4528"/>
      <c r="Q220" s="4528"/>
      <c r="R220" s="4528"/>
    </row>
    <row r="221" spans="1:18">
      <c r="A221" s="4528"/>
      <c r="P221" s="4528"/>
      <c r="Q221" s="4528"/>
      <c r="R221" s="4528"/>
    </row>
    <row r="222" spans="1:18">
      <c r="A222" s="4528"/>
      <c r="P222" s="4528"/>
      <c r="Q222" s="4528"/>
      <c r="R222" s="4528"/>
    </row>
    <row r="223" spans="1:18">
      <c r="A223" s="4528"/>
      <c r="P223" s="4528"/>
      <c r="Q223" s="4528"/>
      <c r="R223" s="4528"/>
    </row>
    <row r="224" spans="1:18">
      <c r="A224" s="4528"/>
      <c r="P224" s="4528"/>
      <c r="Q224" s="4528"/>
      <c r="R224" s="4528"/>
    </row>
    <row r="225" spans="1:18">
      <c r="A225" s="4528"/>
      <c r="P225" s="4528"/>
      <c r="Q225" s="4528"/>
      <c r="R225" s="4528"/>
    </row>
    <row r="226" spans="1:18">
      <c r="A226" s="4528"/>
      <c r="P226" s="4528"/>
      <c r="Q226" s="4528"/>
      <c r="R226" s="4528"/>
    </row>
    <row r="227" spans="1:18">
      <c r="A227" s="4528"/>
      <c r="P227" s="4528"/>
      <c r="Q227" s="4528"/>
      <c r="R227" s="4528"/>
    </row>
    <row r="228" spans="1:18">
      <c r="A228" s="4528"/>
      <c r="P228" s="4528"/>
      <c r="Q228" s="4528"/>
      <c r="R228" s="4528"/>
    </row>
    <row r="229" spans="1:18">
      <c r="A229" s="4528"/>
      <c r="P229" s="4528"/>
      <c r="Q229" s="4528"/>
      <c r="R229" s="4528"/>
    </row>
    <row r="230" spans="1:18">
      <c r="A230" s="4528"/>
      <c r="P230" s="4528"/>
      <c r="Q230" s="4528"/>
      <c r="R230" s="4528"/>
    </row>
    <row r="231" spans="1:18">
      <c r="A231" s="4528"/>
      <c r="P231" s="4528"/>
      <c r="Q231" s="4528"/>
      <c r="R231" s="4528"/>
    </row>
    <row r="232" spans="1:18">
      <c r="A232" s="4528"/>
      <c r="P232" s="4528"/>
      <c r="Q232" s="4528"/>
      <c r="R232" s="4528"/>
    </row>
    <row r="233" spans="1:18">
      <c r="A233" s="4528"/>
      <c r="P233" s="4528"/>
      <c r="Q233" s="4528"/>
      <c r="R233" s="4528"/>
    </row>
    <row r="234" spans="1:18">
      <c r="A234" s="4528"/>
      <c r="P234" s="4528"/>
      <c r="Q234" s="4528"/>
      <c r="R234" s="4528"/>
    </row>
    <row r="235" spans="1:18">
      <c r="A235" s="4528"/>
      <c r="P235" s="4528"/>
      <c r="Q235" s="4528"/>
      <c r="R235" s="4528"/>
    </row>
    <row r="236" spans="1:18">
      <c r="A236" s="4528"/>
      <c r="P236" s="4528"/>
      <c r="Q236" s="4528"/>
      <c r="R236" s="4528"/>
    </row>
    <row r="237" spans="1:18">
      <c r="A237" s="4528"/>
      <c r="P237" s="4528"/>
      <c r="Q237" s="4528"/>
      <c r="R237" s="4528"/>
    </row>
    <row r="238" spans="1:18">
      <c r="A238" s="4528"/>
      <c r="P238" s="4528"/>
      <c r="Q238" s="4528"/>
      <c r="R238" s="4528"/>
    </row>
    <row r="239" spans="1:18">
      <c r="A239" s="4528"/>
      <c r="P239" s="4528"/>
      <c r="Q239" s="4528"/>
      <c r="R239" s="4528"/>
    </row>
    <row r="240" spans="1:18">
      <c r="A240" s="4528"/>
      <c r="P240" s="4528"/>
      <c r="Q240" s="4528"/>
      <c r="R240" s="4528"/>
    </row>
    <row r="241" spans="1:18">
      <c r="A241" s="4528"/>
      <c r="P241" s="4528"/>
      <c r="Q241" s="4528"/>
      <c r="R241" s="4528"/>
    </row>
    <row r="242" spans="1:18">
      <c r="A242" s="4528"/>
      <c r="P242" s="4528"/>
      <c r="Q242" s="4528"/>
      <c r="R242" s="4528"/>
    </row>
    <row r="243" spans="1:18">
      <c r="A243" s="4528"/>
      <c r="P243" s="4528"/>
      <c r="Q243" s="4528"/>
      <c r="R243" s="4528"/>
    </row>
    <row r="244" spans="1:18">
      <c r="A244" s="4528"/>
      <c r="P244" s="4528"/>
      <c r="Q244" s="4528"/>
      <c r="R244" s="4528"/>
    </row>
    <row r="245" spans="1:18">
      <c r="A245" s="4528"/>
      <c r="P245" s="4528"/>
      <c r="Q245" s="4528"/>
      <c r="R245" s="4528"/>
    </row>
    <row r="246" spans="1:18">
      <c r="A246" s="4528"/>
      <c r="P246" s="4528"/>
      <c r="Q246" s="4528"/>
      <c r="R246" s="4528"/>
    </row>
    <row r="247" spans="1:18">
      <c r="A247" s="4528"/>
      <c r="P247" s="4528"/>
      <c r="Q247" s="4528"/>
      <c r="R247" s="4528"/>
    </row>
    <row r="248" spans="1:18">
      <c r="A248" s="4528"/>
      <c r="P248" s="4528"/>
      <c r="Q248" s="4528"/>
      <c r="R248" s="4528"/>
    </row>
    <row r="249" spans="1:18">
      <c r="A249" s="4528"/>
      <c r="P249" s="4528"/>
      <c r="Q249" s="4528"/>
      <c r="R249" s="4528"/>
    </row>
    <row r="250" spans="1:18">
      <c r="A250" s="4528"/>
      <c r="P250" s="4528"/>
      <c r="Q250" s="4528"/>
      <c r="R250" s="4528"/>
    </row>
    <row r="251" spans="1:18">
      <c r="A251" s="4528"/>
      <c r="P251" s="4528"/>
      <c r="Q251" s="4528"/>
      <c r="R251" s="4528"/>
    </row>
    <row r="252" spans="1:18">
      <c r="A252" s="4528"/>
      <c r="P252" s="4528"/>
      <c r="Q252" s="4528"/>
      <c r="R252" s="4528"/>
    </row>
    <row r="253" spans="1:18">
      <c r="A253" s="4528"/>
      <c r="P253" s="4528"/>
      <c r="Q253" s="4528"/>
      <c r="R253" s="4528"/>
    </row>
    <row r="254" spans="1:18">
      <c r="A254" s="4528"/>
      <c r="P254" s="4528"/>
      <c r="Q254" s="4528"/>
      <c r="R254" s="4528"/>
    </row>
    <row r="255" spans="1:18">
      <c r="A255" s="4528"/>
      <c r="P255" s="4528"/>
      <c r="Q255" s="4528"/>
      <c r="R255" s="4528"/>
    </row>
    <row r="256" spans="1:18">
      <c r="A256" s="4528"/>
      <c r="P256" s="4528"/>
      <c r="Q256" s="4528"/>
      <c r="R256" s="4528"/>
    </row>
    <row r="257" spans="1:18">
      <c r="A257" s="4528"/>
      <c r="P257" s="4528"/>
      <c r="Q257" s="4528"/>
      <c r="R257" s="4528"/>
    </row>
    <row r="258" spans="1:18">
      <c r="A258" s="4528"/>
      <c r="P258" s="4528"/>
      <c r="Q258" s="4528"/>
      <c r="R258" s="4528"/>
    </row>
    <row r="259" spans="1:18">
      <c r="A259" s="4528"/>
      <c r="P259" s="4528"/>
      <c r="Q259" s="4528"/>
      <c r="R259" s="4528"/>
    </row>
    <row r="260" spans="1:18">
      <c r="A260" s="4528"/>
      <c r="P260" s="4528"/>
      <c r="Q260" s="4528"/>
      <c r="R260" s="4528"/>
    </row>
    <row r="261" spans="1:18">
      <c r="A261" s="4528"/>
      <c r="P261" s="4528"/>
      <c r="Q261" s="4528"/>
      <c r="R261" s="4528"/>
    </row>
    <row r="262" spans="1:18">
      <c r="A262" s="4528"/>
      <c r="P262" s="4528"/>
      <c r="Q262" s="4528"/>
      <c r="R262" s="4528"/>
    </row>
    <row r="263" spans="1:18">
      <c r="A263" s="4528"/>
      <c r="P263" s="4528"/>
      <c r="Q263" s="4528"/>
      <c r="R263" s="4528"/>
    </row>
    <row r="264" spans="1:18">
      <c r="A264" s="4528"/>
      <c r="P264" s="4528"/>
      <c r="Q264" s="4528"/>
      <c r="R264" s="4528"/>
    </row>
    <row r="265" spans="1:18">
      <c r="A265" s="4528"/>
      <c r="P265" s="4528"/>
      <c r="Q265" s="4528"/>
      <c r="R265" s="4528"/>
    </row>
    <row r="266" spans="1:18">
      <c r="A266" s="4528"/>
      <c r="P266" s="4528"/>
      <c r="Q266" s="4528"/>
      <c r="R266" s="4528"/>
    </row>
    <row r="267" spans="1:18">
      <c r="A267" s="4528"/>
      <c r="P267" s="4528"/>
      <c r="Q267" s="4528"/>
      <c r="R267" s="4528"/>
    </row>
    <row r="268" spans="1:18">
      <c r="A268" s="4528"/>
      <c r="P268" s="4528"/>
      <c r="Q268" s="4528"/>
      <c r="R268" s="4528"/>
    </row>
    <row r="269" spans="1:18">
      <c r="A269" s="4528"/>
      <c r="P269" s="4528"/>
      <c r="Q269" s="4528"/>
      <c r="R269" s="4528"/>
    </row>
    <row r="270" spans="1:18">
      <c r="A270" s="4528"/>
      <c r="P270" s="4528"/>
      <c r="Q270" s="4528"/>
      <c r="R270" s="4528"/>
    </row>
    <row r="271" spans="1:18">
      <c r="A271" s="4528"/>
      <c r="P271" s="4528"/>
      <c r="Q271" s="4528"/>
      <c r="R271" s="4528"/>
    </row>
    <row r="272" spans="1:18">
      <c r="A272" s="4528"/>
      <c r="P272" s="4528"/>
      <c r="Q272" s="4528"/>
      <c r="R272" s="4528"/>
    </row>
    <row r="273" spans="1:18">
      <c r="A273" s="4528"/>
      <c r="P273" s="4528"/>
      <c r="Q273" s="4528"/>
      <c r="R273" s="4528"/>
    </row>
    <row r="274" spans="1:18">
      <c r="A274" s="4528"/>
      <c r="P274" s="4528"/>
      <c r="Q274" s="4528"/>
      <c r="R274" s="4528"/>
    </row>
    <row r="275" spans="1:18">
      <c r="A275" s="4528"/>
      <c r="P275" s="4528"/>
      <c r="Q275" s="4528"/>
      <c r="R275" s="4528"/>
    </row>
    <row r="276" spans="1:18">
      <c r="A276" s="4528"/>
      <c r="P276" s="4528"/>
      <c r="Q276" s="4528"/>
      <c r="R276" s="4528"/>
    </row>
    <row r="277" spans="1:18">
      <c r="A277" s="4528"/>
      <c r="P277" s="4528"/>
      <c r="Q277" s="4528"/>
      <c r="R277" s="4528"/>
    </row>
    <row r="278" spans="1:18">
      <c r="A278" s="4528"/>
      <c r="P278" s="4528"/>
      <c r="Q278" s="4528"/>
      <c r="R278" s="4528"/>
    </row>
    <row r="279" spans="1:18">
      <c r="A279" s="4528"/>
      <c r="P279" s="4528"/>
      <c r="Q279" s="4528"/>
      <c r="R279" s="4528"/>
    </row>
    <row r="280" spans="1:18">
      <c r="A280" s="4528"/>
      <c r="P280" s="4528"/>
      <c r="Q280" s="4528"/>
      <c r="R280" s="4528"/>
    </row>
    <row r="281" spans="1:18">
      <c r="A281" s="4528"/>
      <c r="P281" s="4528"/>
      <c r="Q281" s="4528"/>
      <c r="R281" s="4528"/>
    </row>
    <row r="282" spans="1:18">
      <c r="A282" s="4528"/>
      <c r="P282" s="4528"/>
      <c r="Q282" s="4528"/>
      <c r="R282" s="4528"/>
    </row>
    <row r="283" spans="1:18">
      <c r="A283" s="4528"/>
      <c r="P283" s="4528"/>
      <c r="Q283" s="4528"/>
      <c r="R283" s="4528"/>
    </row>
    <row r="284" spans="1:18">
      <c r="A284" s="4528"/>
      <c r="P284" s="4528"/>
      <c r="Q284" s="4528"/>
      <c r="R284" s="4528"/>
    </row>
    <row r="285" spans="1:18">
      <c r="A285" s="4528"/>
      <c r="P285" s="4528"/>
      <c r="Q285" s="4528"/>
      <c r="R285" s="4528"/>
    </row>
    <row r="286" spans="1:18">
      <c r="A286" s="4528"/>
      <c r="P286" s="4528"/>
      <c r="Q286" s="4528"/>
      <c r="R286" s="4528"/>
    </row>
    <row r="287" spans="1:18">
      <c r="A287" s="4528"/>
      <c r="P287" s="4528"/>
      <c r="Q287" s="4528"/>
      <c r="R287" s="4528"/>
    </row>
    <row r="288" spans="1:18">
      <c r="A288" s="4528"/>
      <c r="P288" s="4528"/>
      <c r="Q288" s="4528"/>
      <c r="R288" s="4528"/>
    </row>
    <row r="289" spans="1:18">
      <c r="A289" s="4528"/>
      <c r="P289" s="4528"/>
      <c r="Q289" s="4528"/>
      <c r="R289" s="4528"/>
    </row>
    <row r="290" spans="1:18">
      <c r="A290" s="4528"/>
      <c r="P290" s="4528"/>
      <c r="Q290" s="4528"/>
      <c r="R290" s="4528"/>
    </row>
    <row r="291" spans="1:18">
      <c r="A291" s="4528"/>
      <c r="P291" s="4528"/>
      <c r="Q291" s="4528"/>
      <c r="R291" s="4528"/>
    </row>
    <row r="292" spans="1:18">
      <c r="A292" s="4528"/>
      <c r="P292" s="4528"/>
      <c r="Q292" s="4528"/>
      <c r="R292" s="4528"/>
    </row>
    <row r="293" spans="1:18">
      <c r="A293" s="4528"/>
      <c r="P293" s="4528"/>
      <c r="Q293" s="4528"/>
      <c r="R293" s="4528"/>
    </row>
    <row r="294" spans="1:18">
      <c r="A294" s="4528"/>
      <c r="P294" s="4528"/>
      <c r="Q294" s="4528"/>
      <c r="R294" s="4528"/>
    </row>
    <row r="295" spans="1:18">
      <c r="A295" s="4528"/>
      <c r="P295" s="4528"/>
      <c r="Q295" s="4528"/>
      <c r="R295" s="4528"/>
    </row>
    <row r="296" spans="1:18">
      <c r="A296" s="4528"/>
      <c r="P296" s="4528"/>
      <c r="Q296" s="4528"/>
      <c r="R296" s="4528"/>
    </row>
    <row r="297" spans="1:18">
      <c r="A297" s="4528"/>
      <c r="P297" s="4528"/>
      <c r="Q297" s="4528"/>
      <c r="R297" s="4528"/>
    </row>
    <row r="298" spans="1:18">
      <c r="A298" s="4528"/>
      <c r="P298" s="4528"/>
      <c r="Q298" s="4528"/>
      <c r="R298" s="4528"/>
    </row>
    <row r="299" spans="1:18">
      <c r="A299" s="4528"/>
      <c r="P299" s="4528"/>
      <c r="Q299" s="4528"/>
      <c r="R299" s="4528"/>
    </row>
    <row r="300" spans="1:18">
      <c r="A300" s="4528"/>
      <c r="P300" s="4528"/>
      <c r="Q300" s="4528"/>
      <c r="R300" s="4528"/>
    </row>
    <row r="301" spans="1:18">
      <c r="A301" s="4528"/>
      <c r="P301" s="4528"/>
      <c r="Q301" s="4528"/>
      <c r="R301" s="4528"/>
    </row>
    <row r="302" spans="1:18">
      <c r="A302" s="4528"/>
      <c r="P302" s="4528"/>
      <c r="Q302" s="4528"/>
      <c r="R302" s="4528"/>
    </row>
    <row r="303" spans="1:18">
      <c r="A303" s="4528"/>
      <c r="P303" s="4528"/>
      <c r="Q303" s="4528"/>
      <c r="R303" s="4528"/>
    </row>
    <row r="304" spans="1:18">
      <c r="A304" s="4528"/>
      <c r="P304" s="4528"/>
      <c r="Q304" s="4528"/>
      <c r="R304" s="4528"/>
    </row>
    <row r="305" spans="1:18">
      <c r="A305" s="4528"/>
      <c r="P305" s="4528"/>
      <c r="Q305" s="4528"/>
      <c r="R305" s="4528"/>
    </row>
    <row r="306" spans="1:18">
      <c r="A306" s="4528"/>
      <c r="P306" s="4528"/>
      <c r="Q306" s="4528"/>
      <c r="R306" s="4528"/>
    </row>
    <row r="307" spans="1:18">
      <c r="A307" s="4528"/>
      <c r="P307" s="4528"/>
      <c r="Q307" s="4528"/>
      <c r="R307" s="4528"/>
    </row>
    <row r="308" spans="1:18">
      <c r="A308" s="4528"/>
      <c r="P308" s="4528"/>
      <c r="Q308" s="4528"/>
      <c r="R308" s="4528"/>
    </row>
    <row r="309" spans="1:18">
      <c r="A309" s="4528"/>
      <c r="P309" s="4528"/>
      <c r="Q309" s="4528"/>
      <c r="R309" s="4528"/>
    </row>
    <row r="310" spans="1:18">
      <c r="A310" s="4528"/>
      <c r="P310" s="4528"/>
      <c r="Q310" s="4528"/>
      <c r="R310" s="4528"/>
    </row>
    <row r="311" spans="1:18">
      <c r="A311" s="4528"/>
      <c r="P311" s="4528"/>
      <c r="Q311" s="4528"/>
      <c r="R311" s="4528"/>
    </row>
    <row r="312" spans="1:18">
      <c r="A312" s="4528"/>
      <c r="P312" s="4528"/>
      <c r="Q312" s="4528"/>
      <c r="R312" s="4528"/>
    </row>
    <row r="313" spans="1:18">
      <c r="A313" s="4528"/>
      <c r="P313" s="4528"/>
      <c r="Q313" s="4528"/>
      <c r="R313" s="4528"/>
    </row>
    <row r="314" spans="1:18">
      <c r="A314" s="4528"/>
      <c r="P314" s="4528"/>
      <c r="Q314" s="4528"/>
      <c r="R314" s="4528"/>
    </row>
    <row r="315" spans="1:18">
      <c r="A315" s="4528"/>
      <c r="P315" s="4528"/>
      <c r="Q315" s="4528"/>
      <c r="R315" s="4528"/>
    </row>
    <row r="316" spans="1:18">
      <c r="A316" s="4528"/>
      <c r="P316" s="4528"/>
      <c r="Q316" s="4528"/>
      <c r="R316" s="4528"/>
    </row>
    <row r="317" spans="1:18">
      <c r="A317" s="4528"/>
      <c r="P317" s="4528"/>
      <c r="Q317" s="4528"/>
      <c r="R317" s="4528"/>
    </row>
    <row r="318" spans="1:18">
      <c r="A318" s="4528"/>
      <c r="P318" s="4528"/>
      <c r="Q318" s="4528"/>
      <c r="R318" s="4528"/>
    </row>
    <row r="319" spans="1:18">
      <c r="A319" s="4528"/>
      <c r="P319" s="4528"/>
      <c r="Q319" s="4528"/>
      <c r="R319" s="4528"/>
    </row>
    <row r="320" spans="1:18">
      <c r="A320" s="4528"/>
      <c r="P320" s="4528"/>
      <c r="Q320" s="4528"/>
      <c r="R320" s="4528"/>
    </row>
    <row r="321" spans="1:18">
      <c r="A321" s="4528"/>
      <c r="P321" s="4528"/>
      <c r="Q321" s="4528"/>
      <c r="R321" s="4528"/>
    </row>
    <row r="322" spans="1:18">
      <c r="A322" s="4528"/>
      <c r="P322" s="4528"/>
      <c r="Q322" s="4528"/>
      <c r="R322" s="4528"/>
    </row>
    <row r="323" spans="1:18">
      <c r="A323" s="4528"/>
      <c r="P323" s="4528"/>
      <c r="Q323" s="4528"/>
      <c r="R323" s="4528"/>
    </row>
    <row r="324" spans="1:18">
      <c r="A324" s="4528"/>
      <c r="P324" s="4528"/>
      <c r="Q324" s="4528"/>
      <c r="R324" s="4528"/>
    </row>
    <row r="325" spans="1:18">
      <c r="A325" s="4528"/>
      <c r="P325" s="4528"/>
      <c r="Q325" s="4528"/>
      <c r="R325" s="4528"/>
    </row>
    <row r="326" spans="1:18">
      <c r="A326" s="4528"/>
      <c r="P326" s="4528"/>
      <c r="Q326" s="4528"/>
      <c r="R326" s="4528"/>
    </row>
    <row r="327" spans="1:18">
      <c r="A327" s="4528"/>
      <c r="P327" s="4528"/>
      <c r="Q327" s="4528"/>
      <c r="R327" s="4528"/>
    </row>
    <row r="328" spans="1:18">
      <c r="A328" s="4528"/>
      <c r="P328" s="4528"/>
      <c r="Q328" s="4528"/>
      <c r="R328" s="4528"/>
    </row>
    <row r="329" spans="1:18">
      <c r="A329" s="4528"/>
      <c r="P329" s="4528"/>
      <c r="Q329" s="4528"/>
      <c r="R329" s="4528"/>
    </row>
    <row r="330" spans="1:18">
      <c r="A330" s="4528"/>
      <c r="P330" s="4528"/>
      <c r="Q330" s="4528"/>
      <c r="R330" s="4528"/>
    </row>
    <row r="331" spans="1:18">
      <c r="A331" s="4528"/>
      <c r="P331" s="4528"/>
      <c r="Q331" s="4528"/>
      <c r="R331" s="4528"/>
    </row>
    <row r="332" spans="1:18">
      <c r="A332" s="4528"/>
      <c r="P332" s="4528"/>
      <c r="Q332" s="4528"/>
      <c r="R332" s="4528"/>
    </row>
    <row r="333" spans="1:18">
      <c r="A333" s="4528"/>
      <c r="P333" s="4528"/>
      <c r="Q333" s="4528"/>
      <c r="R333" s="4528"/>
    </row>
    <row r="334" spans="1:18">
      <c r="A334" s="4528"/>
      <c r="P334" s="4528"/>
      <c r="Q334" s="4528"/>
      <c r="R334" s="4528"/>
    </row>
    <row r="335" spans="1:18">
      <c r="A335" s="4528"/>
      <c r="P335" s="4528"/>
      <c r="Q335" s="4528"/>
      <c r="R335" s="4528"/>
    </row>
    <row r="336" spans="1:18">
      <c r="A336" s="4528"/>
      <c r="P336" s="4528"/>
      <c r="Q336" s="4528"/>
      <c r="R336" s="4528"/>
    </row>
    <row r="337" spans="1:18">
      <c r="A337" s="4528"/>
      <c r="P337" s="4528"/>
      <c r="Q337" s="4528"/>
      <c r="R337" s="4528"/>
    </row>
    <row r="338" spans="1:18">
      <c r="A338" s="4528"/>
      <c r="P338" s="4528"/>
      <c r="Q338" s="4528"/>
      <c r="R338" s="4528"/>
    </row>
    <row r="339" spans="1:18">
      <c r="A339" s="4528"/>
      <c r="P339" s="4528"/>
      <c r="Q339" s="4528"/>
      <c r="R339" s="4528"/>
    </row>
    <row r="340" spans="1:18">
      <c r="A340" s="4528"/>
      <c r="P340" s="4528"/>
      <c r="Q340" s="4528"/>
      <c r="R340" s="4528"/>
    </row>
    <row r="341" spans="1:18">
      <c r="A341" s="4528"/>
      <c r="P341" s="4528"/>
      <c r="Q341" s="4528"/>
      <c r="R341" s="4528"/>
    </row>
    <row r="342" spans="1:18">
      <c r="A342" s="4528"/>
      <c r="P342" s="4528"/>
      <c r="Q342" s="4528"/>
      <c r="R342" s="4528"/>
    </row>
    <row r="343" spans="1:18">
      <c r="A343" s="4528"/>
      <c r="P343" s="4528"/>
      <c r="Q343" s="4528"/>
      <c r="R343" s="4528"/>
    </row>
    <row r="344" spans="1:18">
      <c r="A344" s="4528"/>
      <c r="P344" s="4528"/>
      <c r="Q344" s="4528"/>
      <c r="R344" s="4528"/>
    </row>
    <row r="345" spans="1:18">
      <c r="A345" s="4528"/>
      <c r="P345" s="4528"/>
      <c r="Q345" s="4528"/>
      <c r="R345" s="4528"/>
    </row>
    <row r="346" spans="1:18">
      <c r="A346" s="4528"/>
      <c r="P346" s="4528"/>
      <c r="Q346" s="4528"/>
      <c r="R346" s="4528"/>
    </row>
    <row r="347" spans="1:18">
      <c r="A347" s="4528"/>
      <c r="P347" s="4528"/>
      <c r="Q347" s="4528"/>
      <c r="R347" s="4528"/>
    </row>
    <row r="348" spans="1:18">
      <c r="A348" s="4528"/>
      <c r="P348" s="4528"/>
      <c r="Q348" s="4528"/>
      <c r="R348" s="4528"/>
    </row>
    <row r="349" spans="1:18">
      <c r="A349" s="4528"/>
      <c r="P349" s="4528"/>
      <c r="Q349" s="4528"/>
      <c r="R349" s="4528"/>
    </row>
    <row r="350" spans="1:18">
      <c r="A350" s="4528"/>
      <c r="P350" s="4528"/>
      <c r="Q350" s="4528"/>
      <c r="R350" s="4528"/>
    </row>
    <row r="351" spans="1:18">
      <c r="A351" s="4528"/>
      <c r="P351" s="4528"/>
      <c r="Q351" s="4528"/>
      <c r="R351" s="4528"/>
    </row>
    <row r="352" spans="1:18">
      <c r="A352" s="4528"/>
      <c r="P352" s="4528"/>
      <c r="Q352" s="4528"/>
      <c r="R352" s="4528"/>
    </row>
    <row r="353" spans="1:18">
      <c r="A353" s="4528"/>
      <c r="P353" s="4528"/>
      <c r="Q353" s="4528"/>
      <c r="R353" s="4528"/>
    </row>
    <row r="354" spans="1:18">
      <c r="A354" s="4528"/>
      <c r="P354" s="4528"/>
      <c r="Q354" s="4528"/>
      <c r="R354" s="4528"/>
    </row>
    <row r="357" spans="1:18">
      <c r="A357" s="4622"/>
      <c r="B357" s="4623"/>
    </row>
    <row r="358" spans="1:18">
      <c r="A358" s="4622"/>
    </row>
    <row r="359" spans="1:18">
      <c r="A359" s="4622"/>
    </row>
    <row r="360" spans="1:18">
      <c r="A360" s="4622"/>
    </row>
    <row r="361" spans="1:18">
      <c r="A361" s="4622"/>
    </row>
    <row r="362" spans="1:18">
      <c r="A362" s="4622"/>
    </row>
    <row r="363" spans="1:18">
      <c r="A363" s="4622"/>
    </row>
    <row r="364" spans="1:18">
      <c r="A364" s="4622"/>
    </row>
    <row r="365" spans="1:18">
      <c r="A365" s="4622"/>
    </row>
    <row r="366" spans="1:18">
      <c r="A366" s="4622"/>
    </row>
    <row r="367" spans="1:18">
      <c r="A367" s="4622"/>
    </row>
    <row r="368" spans="1:18">
      <c r="A368" s="4622"/>
    </row>
    <row r="371" spans="1:18">
      <c r="A371" s="4528"/>
      <c r="P371" s="4528"/>
      <c r="Q371" s="4528"/>
      <c r="R371" s="4528"/>
    </row>
    <row r="372" spans="1:18">
      <c r="A372" s="4528"/>
      <c r="P372" s="4528"/>
      <c r="Q372" s="4528"/>
      <c r="R372" s="4528"/>
    </row>
    <row r="373" spans="1:18">
      <c r="A373" s="4528"/>
      <c r="P373" s="4528"/>
      <c r="Q373" s="4528"/>
      <c r="R373" s="4528"/>
    </row>
    <row r="374" spans="1:18">
      <c r="A374" s="4528"/>
      <c r="P374" s="4528"/>
      <c r="Q374" s="4528"/>
      <c r="R374" s="4528"/>
    </row>
    <row r="375" spans="1:18">
      <c r="A375" s="4528"/>
      <c r="P375" s="4528"/>
      <c r="Q375" s="4528"/>
      <c r="R375" s="4528"/>
    </row>
    <row r="376" spans="1:18">
      <c r="A376" s="4528"/>
      <c r="P376" s="4528"/>
      <c r="Q376" s="4528"/>
      <c r="R376" s="4528"/>
    </row>
    <row r="377" spans="1:18">
      <c r="A377" s="4528"/>
      <c r="P377" s="4528"/>
      <c r="Q377" s="4528"/>
      <c r="R377" s="4528"/>
    </row>
    <row r="378" spans="1:18">
      <c r="A378" s="4528"/>
      <c r="P378" s="4528"/>
      <c r="Q378" s="4528"/>
      <c r="R378" s="4528"/>
    </row>
    <row r="379" spans="1:18">
      <c r="A379" s="4528"/>
      <c r="P379" s="4528"/>
      <c r="Q379" s="4528"/>
      <c r="R379" s="4528"/>
    </row>
    <row r="380" spans="1:18">
      <c r="A380" s="4528"/>
      <c r="P380" s="4528"/>
      <c r="Q380" s="4528"/>
      <c r="R380" s="4528"/>
    </row>
    <row r="381" spans="1:18">
      <c r="A381" s="4528"/>
      <c r="P381" s="4528"/>
      <c r="Q381" s="4528"/>
      <c r="R381" s="4528"/>
    </row>
    <row r="382" spans="1:18">
      <c r="A382" s="4528"/>
      <c r="P382" s="4528"/>
      <c r="Q382" s="4528"/>
      <c r="R382" s="4528"/>
    </row>
    <row r="383" spans="1:18">
      <c r="A383" s="4528"/>
      <c r="P383" s="4528"/>
      <c r="Q383" s="4528"/>
      <c r="R383" s="4528"/>
    </row>
    <row r="384" spans="1:18">
      <c r="A384" s="4528"/>
      <c r="P384" s="4528"/>
      <c r="Q384" s="4528"/>
      <c r="R384" s="4528"/>
    </row>
    <row r="385" spans="1:18">
      <c r="A385" s="4528"/>
      <c r="P385" s="4528"/>
      <c r="Q385" s="4528"/>
      <c r="R385" s="4528"/>
    </row>
    <row r="386" spans="1:18">
      <c r="A386" s="4528"/>
      <c r="P386" s="4528"/>
      <c r="Q386" s="4528"/>
      <c r="R386" s="4528"/>
    </row>
    <row r="387" spans="1:18">
      <c r="A387" s="4528"/>
      <c r="P387" s="4528"/>
      <c r="Q387" s="4528"/>
      <c r="R387" s="4528"/>
    </row>
    <row r="388" spans="1:18">
      <c r="A388" s="4528"/>
      <c r="P388" s="4528"/>
      <c r="Q388" s="4528"/>
      <c r="R388" s="4528"/>
    </row>
    <row r="389" spans="1:18">
      <c r="A389" s="4528"/>
      <c r="P389" s="4528"/>
      <c r="Q389" s="4528"/>
      <c r="R389" s="4528"/>
    </row>
    <row r="390" spans="1:18">
      <c r="A390" s="4528"/>
      <c r="P390" s="4528"/>
      <c r="Q390" s="4528"/>
      <c r="R390" s="4528"/>
    </row>
    <row r="391" spans="1:18">
      <c r="A391" s="4528"/>
      <c r="P391" s="4528"/>
      <c r="Q391" s="4528"/>
      <c r="R391" s="4528"/>
    </row>
    <row r="392" spans="1:18">
      <c r="A392" s="4528"/>
      <c r="P392" s="4528"/>
      <c r="Q392" s="4528"/>
      <c r="R392" s="4528"/>
    </row>
    <row r="393" spans="1:18">
      <c r="A393" s="4528"/>
      <c r="P393" s="4528"/>
      <c r="Q393" s="4528"/>
      <c r="R393" s="4528"/>
    </row>
    <row r="394" spans="1:18">
      <c r="A394" s="4528"/>
      <c r="P394" s="4528"/>
      <c r="Q394" s="4528"/>
      <c r="R394" s="4528"/>
    </row>
    <row r="395" spans="1:18">
      <c r="A395" s="4528"/>
      <c r="P395" s="4528"/>
      <c r="Q395" s="4528"/>
      <c r="R395" s="4528"/>
    </row>
    <row r="396" spans="1:18">
      <c r="A396" s="4528"/>
      <c r="P396" s="4528"/>
      <c r="Q396" s="4528"/>
      <c r="R396" s="4528"/>
    </row>
    <row r="397" spans="1:18">
      <c r="A397" s="4528"/>
      <c r="P397" s="4528"/>
      <c r="Q397" s="4528"/>
      <c r="R397" s="4528"/>
    </row>
    <row r="398" spans="1:18">
      <c r="A398" s="4528"/>
      <c r="P398" s="4528"/>
      <c r="Q398" s="4528"/>
      <c r="R398" s="4528"/>
    </row>
    <row r="399" spans="1:18">
      <c r="A399" s="4528"/>
      <c r="P399" s="4528"/>
      <c r="Q399" s="4528"/>
      <c r="R399" s="4528"/>
    </row>
    <row r="400" spans="1:18">
      <c r="A400" s="4528"/>
      <c r="P400" s="4528"/>
      <c r="Q400" s="4528"/>
      <c r="R400" s="4528"/>
    </row>
    <row r="401" spans="1:18">
      <c r="A401" s="4528"/>
      <c r="P401" s="4528"/>
      <c r="Q401" s="4528"/>
      <c r="R401" s="4528"/>
    </row>
    <row r="402" spans="1:18">
      <c r="A402" s="4528"/>
      <c r="P402" s="4528"/>
      <c r="Q402" s="4528"/>
      <c r="R402" s="4528"/>
    </row>
    <row r="403" spans="1:18">
      <c r="A403" s="4528"/>
      <c r="P403" s="4528"/>
      <c r="Q403" s="4528"/>
      <c r="R403" s="4528"/>
    </row>
    <row r="404" spans="1:18">
      <c r="A404" s="4528"/>
      <c r="P404" s="4528"/>
      <c r="Q404" s="4528"/>
      <c r="R404" s="4528"/>
    </row>
    <row r="405" spans="1:18">
      <c r="A405" s="4528"/>
      <c r="P405" s="4528"/>
      <c r="Q405" s="4528"/>
      <c r="R405" s="4528"/>
    </row>
    <row r="406" spans="1:18">
      <c r="A406" s="4528"/>
      <c r="P406" s="4528"/>
      <c r="Q406" s="4528"/>
      <c r="R406" s="4528"/>
    </row>
    <row r="407" spans="1:18">
      <c r="A407" s="4528"/>
      <c r="P407" s="4528"/>
      <c r="Q407" s="4528"/>
      <c r="R407" s="4528"/>
    </row>
    <row r="408" spans="1:18">
      <c r="A408" s="4528"/>
      <c r="P408" s="4528"/>
      <c r="Q408" s="4528"/>
      <c r="R408" s="4528"/>
    </row>
    <row r="409" spans="1:18">
      <c r="A409" s="4528"/>
      <c r="P409" s="4528"/>
      <c r="Q409" s="4528"/>
      <c r="R409" s="4528"/>
    </row>
    <row r="410" spans="1:18">
      <c r="A410" s="4528"/>
      <c r="P410" s="4528"/>
      <c r="Q410" s="4528"/>
      <c r="R410" s="4528"/>
    </row>
    <row r="411" spans="1:18">
      <c r="A411" s="4528"/>
      <c r="P411" s="4528"/>
      <c r="Q411" s="4528"/>
      <c r="R411" s="4528"/>
    </row>
    <row r="412" spans="1:18">
      <c r="A412" s="4528"/>
      <c r="P412" s="4528"/>
      <c r="Q412" s="4528"/>
      <c r="R412" s="4528"/>
    </row>
    <row r="413" spans="1:18">
      <c r="A413" s="4528"/>
      <c r="P413" s="4528"/>
      <c r="Q413" s="4528"/>
      <c r="R413" s="4528"/>
    </row>
    <row r="414" spans="1:18">
      <c r="A414" s="4528"/>
      <c r="P414" s="4528"/>
      <c r="Q414" s="4528"/>
      <c r="R414" s="4528"/>
    </row>
    <row r="415" spans="1:18">
      <c r="A415" s="4528"/>
      <c r="P415" s="4528"/>
      <c r="Q415" s="4528"/>
      <c r="R415" s="4528"/>
    </row>
    <row r="416" spans="1:18">
      <c r="A416" s="4528"/>
      <c r="P416" s="4528"/>
      <c r="Q416" s="4528"/>
      <c r="R416" s="4528"/>
    </row>
    <row r="417" spans="1:18">
      <c r="A417" s="4528"/>
      <c r="P417" s="4528"/>
      <c r="Q417" s="4528"/>
      <c r="R417" s="4528"/>
    </row>
    <row r="418" spans="1:18">
      <c r="A418" s="4528"/>
      <c r="P418" s="4528"/>
      <c r="Q418" s="4528"/>
      <c r="R418" s="4528"/>
    </row>
    <row r="419" spans="1:18">
      <c r="A419" s="4528"/>
      <c r="P419" s="4528"/>
      <c r="Q419" s="4528"/>
      <c r="R419" s="4528"/>
    </row>
    <row r="420" spans="1:18">
      <c r="A420" s="4528"/>
      <c r="P420" s="4528"/>
      <c r="Q420" s="4528"/>
      <c r="R420" s="4528"/>
    </row>
    <row r="421" spans="1:18">
      <c r="A421" s="4528"/>
      <c r="P421" s="4528"/>
      <c r="Q421" s="4528"/>
      <c r="R421" s="4528"/>
    </row>
    <row r="422" spans="1:18">
      <c r="A422" s="4528"/>
      <c r="P422" s="4528"/>
      <c r="Q422" s="4528"/>
      <c r="R422" s="4528"/>
    </row>
    <row r="423" spans="1:18">
      <c r="A423" s="4528"/>
      <c r="P423" s="4528"/>
      <c r="Q423" s="4528"/>
      <c r="R423" s="4528"/>
    </row>
    <row r="424" spans="1:18">
      <c r="A424" s="4528"/>
      <c r="P424" s="4528"/>
      <c r="Q424" s="4528"/>
      <c r="R424" s="4528"/>
    </row>
    <row r="425" spans="1:18">
      <c r="A425" s="4528"/>
      <c r="P425" s="4528"/>
      <c r="Q425" s="4528"/>
      <c r="R425" s="4528"/>
    </row>
    <row r="426" spans="1:18">
      <c r="A426" s="4528"/>
      <c r="P426" s="4528"/>
      <c r="Q426" s="4528"/>
      <c r="R426" s="4528"/>
    </row>
    <row r="427" spans="1:18">
      <c r="A427" s="4528"/>
      <c r="P427" s="4528"/>
      <c r="Q427" s="4528"/>
      <c r="R427" s="4528"/>
    </row>
    <row r="428" spans="1:18">
      <c r="A428" s="4528"/>
      <c r="P428" s="4528"/>
      <c r="Q428" s="4528"/>
      <c r="R428" s="4528"/>
    </row>
    <row r="429" spans="1:18">
      <c r="A429" s="4528"/>
      <c r="P429" s="4528"/>
      <c r="Q429" s="4528"/>
      <c r="R429" s="4528"/>
    </row>
    <row r="430" spans="1:18">
      <c r="A430" s="4528"/>
      <c r="P430" s="4528"/>
      <c r="Q430" s="4528"/>
      <c r="R430" s="4528"/>
    </row>
    <row r="431" spans="1:18">
      <c r="A431" s="4528"/>
      <c r="P431" s="4528"/>
      <c r="Q431" s="4528"/>
      <c r="R431" s="4528"/>
    </row>
    <row r="432" spans="1:18">
      <c r="A432" s="4528"/>
      <c r="P432" s="4528"/>
      <c r="Q432" s="4528"/>
      <c r="R432" s="4528"/>
    </row>
    <row r="433" spans="1:18">
      <c r="A433" s="4528"/>
      <c r="P433" s="4528"/>
      <c r="Q433" s="4528"/>
      <c r="R433" s="4528"/>
    </row>
    <row r="434" spans="1:18">
      <c r="A434" s="4528"/>
      <c r="P434" s="4528"/>
      <c r="Q434" s="4528"/>
      <c r="R434" s="4528"/>
    </row>
    <row r="435" spans="1:18">
      <c r="A435" s="4528"/>
      <c r="P435" s="4528"/>
      <c r="Q435" s="4528"/>
      <c r="R435" s="4528"/>
    </row>
    <row r="436" spans="1:18">
      <c r="A436" s="4528"/>
      <c r="P436" s="4528"/>
      <c r="Q436" s="4528"/>
      <c r="R436" s="4528"/>
    </row>
    <row r="437" spans="1:18">
      <c r="A437" s="4528"/>
      <c r="P437" s="4528"/>
      <c r="Q437" s="4528"/>
      <c r="R437" s="4528"/>
    </row>
    <row r="438" spans="1:18">
      <c r="A438" s="4528"/>
      <c r="P438" s="4528"/>
      <c r="Q438" s="4528"/>
      <c r="R438" s="4528"/>
    </row>
    <row r="439" spans="1:18">
      <c r="A439" s="4528"/>
      <c r="P439" s="4528"/>
      <c r="Q439" s="4528"/>
      <c r="R439" s="4528"/>
    </row>
    <row r="440" spans="1:18">
      <c r="A440" s="4528"/>
      <c r="P440" s="4528"/>
      <c r="Q440" s="4528"/>
      <c r="R440" s="4528"/>
    </row>
    <row r="441" spans="1:18">
      <c r="A441" s="4528"/>
      <c r="P441" s="4528"/>
      <c r="Q441" s="4528"/>
      <c r="R441" s="4528"/>
    </row>
    <row r="442" spans="1:18">
      <c r="A442" s="4528"/>
      <c r="P442" s="4528"/>
      <c r="Q442" s="4528"/>
      <c r="R442" s="4528"/>
    </row>
    <row r="443" spans="1:18">
      <c r="A443" s="4528"/>
      <c r="P443" s="4528"/>
      <c r="Q443" s="4528"/>
      <c r="R443" s="4528"/>
    </row>
    <row r="444" spans="1:18">
      <c r="A444" s="4528"/>
      <c r="P444" s="4528"/>
      <c r="Q444" s="4528"/>
      <c r="R444" s="4528"/>
    </row>
    <row r="445" spans="1:18">
      <c r="A445" s="4528"/>
      <c r="P445" s="4528"/>
      <c r="Q445" s="4528"/>
      <c r="R445" s="4528"/>
    </row>
    <row r="446" spans="1:18">
      <c r="A446" s="4528"/>
      <c r="P446" s="4528"/>
      <c r="Q446" s="4528"/>
      <c r="R446" s="4528"/>
    </row>
    <row r="447" spans="1:18">
      <c r="A447" s="4528"/>
      <c r="P447" s="4528"/>
      <c r="Q447" s="4528"/>
      <c r="R447" s="4528"/>
    </row>
    <row r="448" spans="1:18">
      <c r="A448" s="4528"/>
      <c r="P448" s="4528"/>
      <c r="Q448" s="4528"/>
      <c r="R448" s="4528"/>
    </row>
    <row r="449" spans="1:18">
      <c r="A449" s="4528"/>
      <c r="P449" s="4528"/>
      <c r="Q449" s="4528"/>
      <c r="R449" s="4528"/>
    </row>
    <row r="450" spans="1:18">
      <c r="A450" s="4528"/>
      <c r="P450" s="4528"/>
      <c r="Q450" s="4528"/>
      <c r="R450" s="4528"/>
    </row>
    <row r="451" spans="1:18">
      <c r="A451" s="4528"/>
      <c r="P451" s="4528"/>
      <c r="Q451" s="4528"/>
      <c r="R451" s="4528"/>
    </row>
    <row r="452" spans="1:18">
      <c r="A452" s="4528"/>
      <c r="P452" s="4528"/>
      <c r="Q452" s="4528"/>
      <c r="R452" s="4528"/>
    </row>
    <row r="453" spans="1:18">
      <c r="A453" s="4528"/>
      <c r="P453" s="4528"/>
      <c r="Q453" s="4528"/>
      <c r="R453" s="4528"/>
    </row>
    <row r="454" spans="1:18">
      <c r="A454" s="4528"/>
      <c r="P454" s="4528"/>
      <c r="Q454" s="4528"/>
      <c r="R454" s="4528"/>
    </row>
    <row r="455" spans="1:18">
      <c r="A455" s="4528"/>
      <c r="P455" s="4528"/>
      <c r="Q455" s="4528"/>
      <c r="R455" s="4528"/>
    </row>
    <row r="456" spans="1:18">
      <c r="A456" s="4528"/>
      <c r="P456" s="4528"/>
      <c r="Q456" s="4528"/>
      <c r="R456" s="4528"/>
    </row>
    <row r="457" spans="1:18">
      <c r="A457" s="4528"/>
      <c r="P457" s="4528"/>
      <c r="Q457" s="4528"/>
      <c r="R457" s="4528"/>
    </row>
    <row r="458" spans="1:18">
      <c r="A458" s="4528"/>
      <c r="P458" s="4528"/>
      <c r="Q458" s="4528"/>
      <c r="R458" s="4528"/>
    </row>
    <row r="459" spans="1:18">
      <c r="A459" s="4528"/>
      <c r="P459" s="4528"/>
      <c r="Q459" s="4528"/>
      <c r="R459" s="4528"/>
    </row>
    <row r="460" spans="1:18">
      <c r="A460" s="4528"/>
      <c r="P460" s="4528"/>
      <c r="Q460" s="4528"/>
      <c r="R460" s="4528"/>
    </row>
    <row r="461" spans="1:18">
      <c r="A461" s="4528"/>
      <c r="P461" s="4528"/>
      <c r="Q461" s="4528"/>
      <c r="R461" s="4528"/>
    </row>
    <row r="462" spans="1:18">
      <c r="A462" s="4528"/>
      <c r="P462" s="4528"/>
      <c r="Q462" s="4528"/>
      <c r="R462" s="4528"/>
    </row>
    <row r="463" spans="1:18">
      <c r="A463" s="4528"/>
      <c r="P463" s="4528"/>
      <c r="Q463" s="4528"/>
      <c r="R463" s="4528"/>
    </row>
    <row r="464" spans="1:18">
      <c r="A464" s="4528"/>
      <c r="P464" s="4528"/>
      <c r="Q464" s="4528"/>
      <c r="R464" s="4528"/>
    </row>
    <row r="465" spans="1:18">
      <c r="A465" s="4528"/>
      <c r="P465" s="4528"/>
      <c r="Q465" s="4528"/>
      <c r="R465" s="4528"/>
    </row>
    <row r="466" spans="1:18">
      <c r="A466" s="4528"/>
      <c r="P466" s="4528"/>
      <c r="Q466" s="4528"/>
      <c r="R466" s="4528"/>
    </row>
    <row r="467" spans="1:18">
      <c r="A467" s="4528"/>
      <c r="P467" s="4528"/>
      <c r="Q467" s="4528"/>
      <c r="R467" s="4528"/>
    </row>
    <row r="468" spans="1:18">
      <c r="A468" s="4528"/>
      <c r="P468" s="4528"/>
      <c r="Q468" s="4528"/>
      <c r="R468" s="4528"/>
    </row>
    <row r="469" spans="1:18">
      <c r="A469" s="4528"/>
      <c r="P469" s="4528"/>
      <c r="Q469" s="4528"/>
      <c r="R469" s="4528"/>
    </row>
    <row r="470" spans="1:18">
      <c r="A470" s="4528"/>
      <c r="P470" s="4528"/>
      <c r="Q470" s="4528"/>
      <c r="R470" s="4528"/>
    </row>
    <row r="471" spans="1:18">
      <c r="A471" s="4528"/>
      <c r="P471" s="4528"/>
      <c r="Q471" s="4528"/>
      <c r="R471" s="4528"/>
    </row>
    <row r="472" spans="1:18">
      <c r="A472" s="4528"/>
      <c r="P472" s="4528"/>
      <c r="Q472" s="4528"/>
      <c r="R472" s="4528"/>
    </row>
    <row r="473" spans="1:18">
      <c r="A473" s="4528"/>
      <c r="P473" s="4528"/>
      <c r="Q473" s="4528"/>
      <c r="R473" s="4528"/>
    </row>
    <row r="474" spans="1:18">
      <c r="A474" s="4528"/>
      <c r="P474" s="4528"/>
      <c r="Q474" s="4528"/>
      <c r="R474" s="4528"/>
    </row>
    <row r="475" spans="1:18">
      <c r="A475" s="4528"/>
      <c r="P475" s="4528"/>
      <c r="Q475" s="4528"/>
      <c r="R475" s="4528"/>
    </row>
    <row r="476" spans="1:18">
      <c r="A476" s="4528"/>
      <c r="P476" s="4528"/>
      <c r="Q476" s="4528"/>
      <c r="R476" s="4528"/>
    </row>
    <row r="477" spans="1:18">
      <c r="A477" s="4528"/>
      <c r="P477" s="4528"/>
      <c r="Q477" s="4528"/>
      <c r="R477" s="4528"/>
    </row>
    <row r="478" spans="1:18">
      <c r="A478" s="4528"/>
      <c r="P478" s="4528"/>
      <c r="Q478" s="4528"/>
      <c r="R478" s="4528"/>
    </row>
    <row r="479" spans="1:18">
      <c r="A479" s="4528"/>
      <c r="P479" s="4528"/>
      <c r="Q479" s="4528"/>
      <c r="R479" s="4528"/>
    </row>
    <row r="480" spans="1:18">
      <c r="A480" s="4528"/>
      <c r="P480" s="4528"/>
      <c r="Q480" s="4528"/>
      <c r="R480" s="4528"/>
    </row>
    <row r="481" spans="1:18">
      <c r="A481" s="4528"/>
      <c r="P481" s="4528"/>
      <c r="Q481" s="4528"/>
      <c r="R481" s="4528"/>
    </row>
    <row r="482" spans="1:18">
      <c r="A482" s="4528"/>
      <c r="P482" s="4528"/>
      <c r="Q482" s="4528"/>
      <c r="R482" s="4528"/>
    </row>
    <row r="483" spans="1:18">
      <c r="A483" s="4528"/>
      <c r="P483" s="4528"/>
      <c r="Q483" s="4528"/>
      <c r="R483" s="4528"/>
    </row>
    <row r="484" spans="1:18">
      <c r="A484" s="4528"/>
      <c r="P484" s="4528"/>
      <c r="Q484" s="4528"/>
      <c r="R484" s="4528"/>
    </row>
    <row r="485" spans="1:18">
      <c r="A485" s="4528"/>
      <c r="P485" s="4528"/>
      <c r="Q485" s="4528"/>
      <c r="R485" s="4528"/>
    </row>
    <row r="486" spans="1:18">
      <c r="A486" s="4528"/>
      <c r="P486" s="4528"/>
      <c r="Q486" s="4528"/>
      <c r="R486" s="4528"/>
    </row>
    <row r="487" spans="1:18">
      <c r="A487" s="4528"/>
      <c r="P487" s="4528"/>
      <c r="Q487" s="4528"/>
      <c r="R487" s="4528"/>
    </row>
    <row r="488" spans="1:18">
      <c r="A488" s="4528"/>
      <c r="P488" s="4528"/>
      <c r="Q488" s="4528"/>
      <c r="R488" s="4528"/>
    </row>
    <row r="489" spans="1:18">
      <c r="A489" s="4528"/>
      <c r="P489" s="4528"/>
      <c r="Q489" s="4528"/>
      <c r="R489" s="4528"/>
    </row>
    <row r="490" spans="1:18">
      <c r="A490" s="4528"/>
      <c r="P490" s="4528"/>
      <c r="Q490" s="4528"/>
      <c r="R490" s="4528"/>
    </row>
    <row r="491" spans="1:18">
      <c r="A491" s="4528"/>
      <c r="P491" s="4528"/>
      <c r="Q491" s="4528"/>
      <c r="R491" s="4528"/>
    </row>
    <row r="492" spans="1:18">
      <c r="A492" s="4528"/>
      <c r="P492" s="4528"/>
      <c r="Q492" s="4528"/>
      <c r="R492" s="4528"/>
    </row>
    <row r="493" spans="1:18">
      <c r="A493" s="4528"/>
      <c r="P493" s="4528"/>
      <c r="Q493" s="4528"/>
      <c r="R493" s="4528"/>
    </row>
    <row r="494" spans="1:18">
      <c r="A494" s="4528"/>
      <c r="P494" s="4528"/>
      <c r="Q494" s="4528"/>
      <c r="R494" s="4528"/>
    </row>
    <row r="495" spans="1:18">
      <c r="A495" s="4528"/>
      <c r="P495" s="4528"/>
      <c r="Q495" s="4528"/>
      <c r="R495" s="4528"/>
    </row>
    <row r="496" spans="1:18">
      <c r="A496" s="4528"/>
      <c r="P496" s="4528"/>
      <c r="Q496" s="4528"/>
      <c r="R496" s="4528"/>
    </row>
    <row r="497" spans="1:18">
      <c r="A497" s="4528"/>
      <c r="P497" s="4528"/>
      <c r="Q497" s="4528"/>
      <c r="R497" s="4528"/>
    </row>
    <row r="498" spans="1:18">
      <c r="A498" s="4528"/>
      <c r="P498" s="4528"/>
      <c r="Q498" s="4528"/>
      <c r="R498" s="4528"/>
    </row>
    <row r="499" spans="1:18">
      <c r="A499" s="4528"/>
      <c r="P499" s="4528"/>
      <c r="Q499" s="4528"/>
      <c r="R499" s="4528"/>
    </row>
    <row r="500" spans="1:18">
      <c r="A500" s="4528"/>
      <c r="P500" s="4528"/>
      <c r="Q500" s="4528"/>
      <c r="R500" s="4528"/>
    </row>
    <row r="501" spans="1:18">
      <c r="A501" s="4528"/>
      <c r="P501" s="4528"/>
      <c r="Q501" s="4528"/>
      <c r="R501" s="4528"/>
    </row>
    <row r="502" spans="1:18">
      <c r="A502" s="4528"/>
      <c r="P502" s="4528"/>
      <c r="Q502" s="4528"/>
      <c r="R502" s="4528"/>
    </row>
    <row r="503" spans="1:18">
      <c r="A503" s="4528"/>
      <c r="P503" s="4528"/>
      <c r="Q503" s="4528"/>
      <c r="R503" s="4528"/>
    </row>
    <row r="504" spans="1:18">
      <c r="A504" s="4528"/>
      <c r="P504" s="4528"/>
      <c r="Q504" s="4528"/>
      <c r="R504" s="4528"/>
    </row>
    <row r="505" spans="1:18">
      <c r="A505" s="4528"/>
      <c r="P505" s="4528"/>
      <c r="Q505" s="4528"/>
      <c r="R505" s="4528"/>
    </row>
    <row r="506" spans="1:18">
      <c r="A506" s="4528"/>
      <c r="P506" s="4528"/>
      <c r="Q506" s="4528"/>
      <c r="R506" s="4528"/>
    </row>
    <row r="507" spans="1:18">
      <c r="A507" s="4528"/>
      <c r="P507" s="4528"/>
      <c r="Q507" s="4528"/>
      <c r="R507" s="4528"/>
    </row>
    <row r="508" spans="1:18">
      <c r="A508" s="4528"/>
      <c r="P508" s="4528"/>
      <c r="Q508" s="4528"/>
      <c r="R508" s="4528"/>
    </row>
    <row r="509" spans="1:18">
      <c r="A509" s="4528"/>
      <c r="P509" s="4528"/>
      <c r="Q509" s="4528"/>
      <c r="R509" s="4528"/>
    </row>
    <row r="510" spans="1:18">
      <c r="A510" s="4528"/>
      <c r="P510" s="4528"/>
      <c r="Q510" s="4528"/>
      <c r="R510" s="4528"/>
    </row>
    <row r="511" spans="1:18">
      <c r="A511" s="4528"/>
      <c r="P511" s="4528"/>
      <c r="Q511" s="4528"/>
      <c r="R511" s="4528"/>
    </row>
    <row r="512" spans="1:18">
      <c r="A512" s="4528"/>
      <c r="P512" s="4528"/>
      <c r="Q512" s="4528"/>
      <c r="R512" s="4528"/>
    </row>
    <row r="513" spans="1:18">
      <c r="A513" s="4528"/>
      <c r="P513" s="4528"/>
      <c r="Q513" s="4528"/>
      <c r="R513" s="4528"/>
    </row>
    <row r="514" spans="1:18">
      <c r="A514" s="4528"/>
      <c r="P514" s="4528"/>
      <c r="Q514" s="4528"/>
      <c r="R514" s="4528"/>
    </row>
    <row r="515" spans="1:18">
      <c r="A515" s="4528"/>
      <c r="P515" s="4528"/>
      <c r="Q515" s="4528"/>
      <c r="R515" s="4528"/>
    </row>
    <row r="516" spans="1:18">
      <c r="A516" s="4528"/>
      <c r="P516" s="4528"/>
      <c r="Q516" s="4528"/>
      <c r="R516" s="4528"/>
    </row>
    <row r="517" spans="1:18">
      <c r="A517" s="4528"/>
      <c r="P517" s="4528"/>
      <c r="Q517" s="4528"/>
      <c r="R517" s="4528"/>
    </row>
    <row r="518" spans="1:18">
      <c r="A518" s="4528"/>
      <c r="P518" s="4528"/>
      <c r="Q518" s="4528"/>
      <c r="R518" s="4528"/>
    </row>
    <row r="519" spans="1:18">
      <c r="A519" s="4528"/>
      <c r="P519" s="4528"/>
      <c r="Q519" s="4528"/>
      <c r="R519" s="4528"/>
    </row>
    <row r="520" spans="1:18">
      <c r="A520" s="4528"/>
      <c r="P520" s="4528"/>
      <c r="Q520" s="4528"/>
      <c r="R520" s="4528"/>
    </row>
    <row r="521" spans="1:18">
      <c r="A521" s="4528"/>
      <c r="P521" s="4528"/>
      <c r="Q521" s="4528"/>
      <c r="R521" s="4528"/>
    </row>
    <row r="522" spans="1:18">
      <c r="A522" s="4528"/>
      <c r="P522" s="4528"/>
      <c r="Q522" s="4528"/>
      <c r="R522" s="4528"/>
    </row>
    <row r="523" spans="1:18">
      <c r="A523" s="4528"/>
      <c r="P523" s="4528"/>
      <c r="Q523" s="4528"/>
      <c r="R523" s="4528"/>
    </row>
    <row r="524" spans="1:18">
      <c r="A524" s="4528"/>
      <c r="P524" s="4528"/>
      <c r="Q524" s="4528"/>
      <c r="R524" s="4528"/>
    </row>
    <row r="525" spans="1:18">
      <c r="A525" s="4528"/>
      <c r="P525" s="4528"/>
      <c r="Q525" s="4528"/>
      <c r="R525" s="4528"/>
    </row>
    <row r="526" spans="1:18">
      <c r="A526" s="4528"/>
      <c r="P526" s="4528"/>
      <c r="Q526" s="4528"/>
      <c r="R526" s="4528"/>
    </row>
    <row r="527" spans="1:18">
      <c r="A527" s="4528"/>
      <c r="P527" s="4528"/>
      <c r="Q527" s="4528"/>
      <c r="R527" s="4528"/>
    </row>
    <row r="528" spans="1:18">
      <c r="A528" s="4528"/>
      <c r="P528" s="4528"/>
      <c r="Q528" s="4528"/>
      <c r="R528" s="4528"/>
    </row>
    <row r="529" spans="1:18">
      <c r="A529" s="4528"/>
      <c r="P529" s="4528"/>
      <c r="Q529" s="4528"/>
      <c r="R529" s="4528"/>
    </row>
    <row r="530" spans="1:18">
      <c r="A530" s="4528"/>
      <c r="P530" s="4528"/>
      <c r="Q530" s="4528"/>
      <c r="R530" s="4528"/>
    </row>
    <row r="531" spans="1:18">
      <c r="A531" s="4528"/>
      <c r="P531" s="4528"/>
      <c r="Q531" s="4528"/>
      <c r="R531" s="4528"/>
    </row>
    <row r="532" spans="1:18">
      <c r="A532" s="4528"/>
      <c r="P532" s="4528"/>
      <c r="Q532" s="4528"/>
      <c r="R532" s="4528"/>
    </row>
    <row r="533" spans="1:18">
      <c r="A533" s="4528"/>
      <c r="P533" s="4528"/>
      <c r="Q533" s="4528"/>
      <c r="R533" s="4528"/>
    </row>
    <row r="534" spans="1:18">
      <c r="A534" s="4528"/>
      <c r="P534" s="4528"/>
      <c r="Q534" s="4528"/>
      <c r="R534" s="4528"/>
    </row>
    <row r="535" spans="1:18">
      <c r="A535" s="4528"/>
      <c r="P535" s="4528"/>
      <c r="Q535" s="4528"/>
      <c r="R535" s="4528"/>
    </row>
    <row r="536" spans="1:18">
      <c r="A536" s="4528"/>
      <c r="P536" s="4528"/>
      <c r="Q536" s="4528"/>
      <c r="R536" s="4528"/>
    </row>
    <row r="537" spans="1:18">
      <c r="A537" s="4528"/>
      <c r="P537" s="4528"/>
      <c r="Q537" s="4528"/>
      <c r="R537" s="4528"/>
    </row>
    <row r="538" spans="1:18">
      <c r="A538" s="4528"/>
      <c r="P538" s="4528"/>
      <c r="Q538" s="4528"/>
      <c r="R538" s="4528"/>
    </row>
    <row r="539" spans="1:18">
      <c r="A539" s="4528"/>
      <c r="P539" s="4528"/>
      <c r="Q539" s="4528"/>
      <c r="R539" s="4528"/>
    </row>
    <row r="540" spans="1:18">
      <c r="A540" s="4528"/>
      <c r="P540" s="4528"/>
      <c r="Q540" s="4528"/>
      <c r="R540" s="4528"/>
    </row>
    <row r="541" spans="1:18">
      <c r="A541" s="4528"/>
      <c r="P541" s="4528"/>
      <c r="Q541" s="4528"/>
      <c r="R541" s="4528"/>
    </row>
    <row r="542" spans="1:18">
      <c r="A542" s="4528"/>
      <c r="P542" s="4528"/>
      <c r="Q542" s="4528"/>
      <c r="R542" s="4528"/>
    </row>
    <row r="543" spans="1:18">
      <c r="A543" s="4528"/>
      <c r="P543" s="4528"/>
      <c r="Q543" s="4528"/>
      <c r="R543" s="4528"/>
    </row>
    <row r="544" spans="1:18">
      <c r="A544" s="4528"/>
      <c r="P544" s="4528"/>
      <c r="Q544" s="4528"/>
      <c r="R544" s="4528"/>
    </row>
    <row r="545" spans="1:18">
      <c r="A545" s="4528"/>
      <c r="P545" s="4528"/>
      <c r="Q545" s="4528"/>
      <c r="R545" s="4528"/>
    </row>
    <row r="546" spans="1:18">
      <c r="A546" s="4528"/>
      <c r="P546" s="4528"/>
      <c r="Q546" s="4528"/>
      <c r="R546" s="4528"/>
    </row>
    <row r="547" spans="1:18">
      <c r="A547" s="4528"/>
      <c r="P547" s="4528"/>
      <c r="Q547" s="4528"/>
      <c r="R547" s="4528"/>
    </row>
    <row r="548" spans="1:18">
      <c r="A548" s="4528"/>
      <c r="P548" s="4528"/>
      <c r="Q548" s="4528"/>
      <c r="R548" s="4528"/>
    </row>
    <row r="549" spans="1:18">
      <c r="A549" s="4528"/>
      <c r="P549" s="4528"/>
      <c r="Q549" s="4528"/>
      <c r="R549" s="4528"/>
    </row>
    <row r="550" spans="1:18">
      <c r="A550" s="4528"/>
      <c r="P550" s="4528"/>
      <c r="Q550" s="4528"/>
      <c r="R550" s="4528"/>
    </row>
    <row r="551" spans="1:18">
      <c r="A551" s="4528"/>
      <c r="P551" s="4528"/>
      <c r="Q551" s="4528"/>
      <c r="R551" s="4528"/>
    </row>
    <row r="552" spans="1:18">
      <c r="A552" s="4528"/>
      <c r="P552" s="4528"/>
      <c r="Q552" s="4528"/>
      <c r="R552" s="4528"/>
    </row>
    <row r="553" spans="1:18">
      <c r="A553" s="4528"/>
      <c r="P553" s="4528"/>
      <c r="Q553" s="4528"/>
      <c r="R553" s="4528"/>
    </row>
    <row r="554" spans="1:18">
      <c r="A554" s="4528"/>
      <c r="P554" s="4528"/>
      <c r="Q554" s="4528"/>
      <c r="R554" s="4528"/>
    </row>
    <row r="555" spans="1:18">
      <c r="A555" s="4528"/>
      <c r="P555" s="4528"/>
      <c r="Q555" s="4528"/>
      <c r="R555" s="4528"/>
    </row>
    <row r="556" spans="1:18">
      <c r="A556" s="4528"/>
      <c r="P556" s="4528"/>
      <c r="Q556" s="4528"/>
      <c r="R556" s="4528"/>
    </row>
    <row r="557" spans="1:18">
      <c r="A557" s="4528"/>
      <c r="P557" s="4528"/>
      <c r="Q557" s="4528"/>
      <c r="R557" s="4528"/>
    </row>
    <row r="558" spans="1:18">
      <c r="A558" s="4528"/>
      <c r="P558" s="4528"/>
      <c r="Q558" s="4528"/>
      <c r="R558" s="4528"/>
    </row>
    <row r="559" spans="1:18">
      <c r="A559" s="4528"/>
      <c r="P559" s="4528"/>
      <c r="Q559" s="4528"/>
      <c r="R559" s="4528"/>
    </row>
    <row r="560" spans="1:18">
      <c r="A560" s="4528"/>
      <c r="P560" s="4528"/>
      <c r="Q560" s="4528"/>
      <c r="R560" s="4528"/>
    </row>
    <row r="561" spans="1:18">
      <c r="A561" s="4528"/>
      <c r="P561" s="4528"/>
      <c r="Q561" s="4528"/>
      <c r="R561" s="4528"/>
    </row>
    <row r="562" spans="1:18">
      <c r="A562" s="4528"/>
      <c r="P562" s="4528"/>
      <c r="Q562" s="4528"/>
      <c r="R562" s="4528"/>
    </row>
    <row r="563" spans="1:18">
      <c r="A563" s="4528"/>
      <c r="P563" s="4528"/>
      <c r="Q563" s="4528"/>
      <c r="R563" s="4528"/>
    </row>
    <row r="564" spans="1:18">
      <c r="A564" s="4528"/>
      <c r="P564" s="4528"/>
      <c r="Q564" s="4528"/>
      <c r="R564" s="4528"/>
    </row>
    <row r="565" spans="1:18">
      <c r="A565" s="4528"/>
      <c r="P565" s="4528"/>
      <c r="Q565" s="4528"/>
      <c r="R565" s="4528"/>
    </row>
    <row r="566" spans="1:18">
      <c r="A566" s="4528"/>
      <c r="P566" s="4528"/>
      <c r="Q566" s="4528"/>
      <c r="R566" s="4528"/>
    </row>
    <row r="567" spans="1:18">
      <c r="A567" s="4528"/>
      <c r="P567" s="4528"/>
      <c r="Q567" s="4528"/>
      <c r="R567" s="4528"/>
    </row>
    <row r="568" spans="1:18">
      <c r="A568" s="4528"/>
      <c r="P568" s="4528"/>
      <c r="Q568" s="4528"/>
      <c r="R568" s="4528"/>
    </row>
    <row r="569" spans="1:18">
      <c r="A569" s="4528"/>
      <c r="P569" s="4528"/>
      <c r="Q569" s="4528"/>
      <c r="R569" s="4528"/>
    </row>
    <row r="570" spans="1:18">
      <c r="A570" s="4528"/>
      <c r="P570" s="4528"/>
      <c r="Q570" s="4528"/>
      <c r="R570" s="4528"/>
    </row>
    <row r="571" spans="1:18">
      <c r="A571" s="4528"/>
      <c r="P571" s="4528"/>
      <c r="Q571" s="4528"/>
      <c r="R571" s="4528"/>
    </row>
    <row r="572" spans="1:18">
      <c r="A572" s="4528"/>
      <c r="P572" s="4528"/>
      <c r="Q572" s="4528"/>
      <c r="R572" s="4528"/>
    </row>
    <row r="573" spans="1:18">
      <c r="A573" s="4528"/>
      <c r="P573" s="4528"/>
      <c r="Q573" s="4528"/>
      <c r="R573" s="4528"/>
    </row>
    <row r="574" spans="1:18">
      <c r="A574" s="4528"/>
      <c r="P574" s="4528"/>
      <c r="Q574" s="4528"/>
      <c r="R574" s="4528"/>
    </row>
    <row r="575" spans="1:18">
      <c r="A575" s="4528"/>
      <c r="P575" s="4528"/>
      <c r="Q575" s="4528"/>
      <c r="R575" s="4528"/>
    </row>
    <row r="576" spans="1:18">
      <c r="A576" s="4528"/>
      <c r="P576" s="4528"/>
      <c r="Q576" s="4528"/>
      <c r="R576" s="4528"/>
    </row>
    <row r="577" spans="1:18">
      <c r="A577" s="4528"/>
      <c r="P577" s="4528"/>
      <c r="Q577" s="4528"/>
      <c r="R577" s="4528"/>
    </row>
    <row r="578" spans="1:18">
      <c r="A578" s="4528"/>
      <c r="P578" s="4528"/>
      <c r="Q578" s="4528"/>
      <c r="R578" s="4528"/>
    </row>
    <row r="579" spans="1:18">
      <c r="A579" s="4528"/>
      <c r="P579" s="4528"/>
      <c r="Q579" s="4528"/>
      <c r="R579" s="4528"/>
    </row>
    <row r="580" spans="1:18">
      <c r="A580" s="4528"/>
      <c r="P580" s="4528"/>
      <c r="Q580" s="4528"/>
      <c r="R580" s="4528"/>
    </row>
    <row r="581" spans="1:18">
      <c r="A581" s="4528"/>
      <c r="P581" s="4528"/>
      <c r="Q581" s="4528"/>
      <c r="R581" s="4528"/>
    </row>
    <row r="582" spans="1:18">
      <c r="A582" s="4528"/>
      <c r="P582" s="4528"/>
      <c r="Q582" s="4528"/>
      <c r="R582" s="4528"/>
    </row>
    <row r="583" spans="1:18">
      <c r="A583" s="4528"/>
      <c r="P583" s="4528"/>
      <c r="Q583" s="4528"/>
      <c r="R583" s="4528"/>
    </row>
    <row r="584" spans="1:18">
      <c r="A584" s="4528"/>
      <c r="P584" s="4528"/>
      <c r="Q584" s="4528"/>
      <c r="R584" s="4528"/>
    </row>
    <row r="585" spans="1:18">
      <c r="A585" s="4528"/>
      <c r="P585" s="4528"/>
      <c r="Q585" s="4528"/>
      <c r="R585" s="4528"/>
    </row>
    <row r="586" spans="1:18">
      <c r="A586" s="4528"/>
      <c r="P586" s="4528"/>
      <c r="Q586" s="4528"/>
      <c r="R586" s="4528"/>
    </row>
    <row r="587" spans="1:18">
      <c r="A587" s="4528"/>
      <c r="P587" s="4528"/>
      <c r="Q587" s="4528"/>
      <c r="R587" s="4528"/>
    </row>
    <row r="588" spans="1:18">
      <c r="A588" s="4528"/>
      <c r="P588" s="4528"/>
      <c r="Q588" s="4528"/>
      <c r="R588" s="4528"/>
    </row>
    <row r="589" spans="1:18">
      <c r="A589" s="4528"/>
      <c r="P589" s="4528"/>
      <c r="Q589" s="4528"/>
      <c r="R589" s="4528"/>
    </row>
    <row r="590" spans="1:18">
      <c r="A590" s="4528"/>
      <c r="P590" s="4528"/>
      <c r="Q590" s="4528"/>
      <c r="R590" s="4528"/>
    </row>
    <row r="591" spans="1:18">
      <c r="A591" s="4528"/>
      <c r="P591" s="4528"/>
      <c r="Q591" s="4528"/>
      <c r="R591" s="4528"/>
    </row>
    <row r="592" spans="1:18">
      <c r="A592" s="4528"/>
      <c r="P592" s="4528"/>
      <c r="Q592" s="4528"/>
      <c r="R592" s="4528"/>
    </row>
    <row r="593" spans="1:18">
      <c r="A593" s="4528"/>
      <c r="P593" s="4528"/>
      <c r="Q593" s="4528"/>
      <c r="R593" s="4528"/>
    </row>
    <row r="594" spans="1:18">
      <c r="A594" s="4528"/>
      <c r="P594" s="4528"/>
      <c r="Q594" s="4528"/>
      <c r="R594" s="4528"/>
    </row>
    <row r="595" spans="1:18">
      <c r="A595" s="4528"/>
      <c r="P595" s="4528"/>
      <c r="Q595" s="4528"/>
      <c r="R595" s="4528"/>
    </row>
    <row r="596" spans="1:18">
      <c r="A596" s="4528"/>
      <c r="P596" s="4528"/>
      <c r="Q596" s="4528"/>
      <c r="R596" s="4528"/>
    </row>
    <row r="597" spans="1:18">
      <c r="A597" s="4528"/>
      <c r="P597" s="4528"/>
      <c r="Q597" s="4528"/>
      <c r="R597" s="4528"/>
    </row>
    <row r="598" spans="1:18">
      <c r="A598" s="4528"/>
      <c r="P598" s="4528"/>
      <c r="Q598" s="4528"/>
      <c r="R598" s="4528"/>
    </row>
    <row r="599" spans="1:18">
      <c r="A599" s="4528"/>
      <c r="P599" s="4528"/>
      <c r="Q599" s="4528"/>
      <c r="R599" s="4528"/>
    </row>
    <row r="600" spans="1:18">
      <c r="A600" s="4528"/>
      <c r="P600" s="4528"/>
      <c r="Q600" s="4528"/>
      <c r="R600" s="4528"/>
    </row>
    <row r="601" spans="1:18">
      <c r="A601" s="4528"/>
      <c r="P601" s="4528"/>
      <c r="Q601" s="4528"/>
      <c r="R601" s="4528"/>
    </row>
    <row r="602" spans="1:18">
      <c r="A602" s="4528"/>
      <c r="P602" s="4528"/>
      <c r="Q602" s="4528"/>
      <c r="R602" s="4528"/>
    </row>
    <row r="603" spans="1:18">
      <c r="A603" s="4528"/>
      <c r="P603" s="4528"/>
      <c r="Q603" s="4528"/>
      <c r="R603" s="4528"/>
    </row>
    <row r="604" spans="1:18">
      <c r="A604" s="4528"/>
      <c r="P604" s="4528"/>
      <c r="Q604" s="4528"/>
      <c r="R604" s="4528"/>
    </row>
    <row r="605" spans="1:18">
      <c r="A605" s="4528"/>
      <c r="P605" s="4528"/>
      <c r="Q605" s="4528"/>
      <c r="R605" s="4528"/>
    </row>
    <row r="606" spans="1:18">
      <c r="A606" s="4528"/>
      <c r="P606" s="4528"/>
      <c r="Q606" s="4528"/>
      <c r="R606" s="4528"/>
    </row>
    <row r="607" spans="1:18">
      <c r="A607" s="4528"/>
      <c r="P607" s="4528"/>
      <c r="Q607" s="4528"/>
      <c r="R607" s="4528"/>
    </row>
    <row r="608" spans="1:18">
      <c r="A608" s="4528"/>
      <c r="P608" s="4528"/>
      <c r="Q608" s="4528"/>
      <c r="R608" s="4528"/>
    </row>
    <row r="609" spans="1:18">
      <c r="A609" s="4528"/>
      <c r="P609" s="4528"/>
      <c r="Q609" s="4528"/>
      <c r="R609" s="4528"/>
    </row>
    <row r="610" spans="1:18">
      <c r="A610" s="4528"/>
      <c r="P610" s="4528"/>
      <c r="Q610" s="4528"/>
      <c r="R610" s="4528"/>
    </row>
    <row r="611" spans="1:18">
      <c r="A611" s="4528"/>
      <c r="P611" s="4528"/>
      <c r="Q611" s="4528"/>
      <c r="R611" s="4528"/>
    </row>
    <row r="612" spans="1:18">
      <c r="A612" s="4528"/>
      <c r="P612" s="4528"/>
      <c r="Q612" s="4528"/>
      <c r="R612" s="4528"/>
    </row>
    <row r="613" spans="1:18">
      <c r="A613" s="4528"/>
      <c r="P613" s="4528"/>
      <c r="Q613" s="4528"/>
      <c r="R613" s="4528"/>
    </row>
    <row r="614" spans="1:18">
      <c r="A614" s="4528"/>
      <c r="P614" s="4528"/>
      <c r="Q614" s="4528"/>
      <c r="R614" s="4528"/>
    </row>
    <row r="615" spans="1:18">
      <c r="A615" s="4528"/>
      <c r="P615" s="4528"/>
      <c r="Q615" s="4528"/>
      <c r="R615" s="4528"/>
    </row>
    <row r="616" spans="1:18">
      <c r="A616" s="4528"/>
      <c r="P616" s="4528"/>
      <c r="Q616" s="4528"/>
      <c r="R616" s="4528"/>
    </row>
    <row r="617" spans="1:18">
      <c r="A617" s="4528"/>
      <c r="P617" s="4528"/>
      <c r="Q617" s="4528"/>
      <c r="R617" s="4528"/>
    </row>
    <row r="618" spans="1:18">
      <c r="A618" s="4528"/>
      <c r="P618" s="4528"/>
      <c r="Q618" s="4528"/>
      <c r="R618" s="4528"/>
    </row>
    <row r="619" spans="1:18">
      <c r="A619" s="4528"/>
      <c r="P619" s="4528"/>
      <c r="Q619" s="4528"/>
      <c r="R619" s="4528"/>
    </row>
    <row r="620" spans="1:18">
      <c r="A620" s="4528"/>
      <c r="P620" s="4528"/>
      <c r="Q620" s="4528"/>
      <c r="R620" s="4528"/>
    </row>
    <row r="621" spans="1:18">
      <c r="A621" s="4528"/>
      <c r="P621" s="4528"/>
      <c r="Q621" s="4528"/>
      <c r="R621" s="4528"/>
    </row>
    <row r="622" spans="1:18">
      <c r="A622" s="4528"/>
      <c r="P622" s="4528"/>
      <c r="Q622" s="4528"/>
      <c r="R622" s="4528"/>
    </row>
    <row r="623" spans="1:18">
      <c r="A623" s="4528"/>
      <c r="P623" s="4528"/>
      <c r="Q623" s="4528"/>
      <c r="R623" s="4528"/>
    </row>
    <row r="624" spans="1:18">
      <c r="A624" s="4528"/>
      <c r="P624" s="4528"/>
      <c r="Q624" s="4528"/>
      <c r="R624" s="4528"/>
    </row>
    <row r="625" spans="1:18">
      <c r="A625" s="4528"/>
      <c r="P625" s="4528"/>
      <c r="Q625" s="4528"/>
      <c r="R625" s="4528"/>
    </row>
    <row r="626" spans="1:18">
      <c r="A626" s="4528"/>
      <c r="P626" s="4528"/>
      <c r="Q626" s="4528"/>
      <c r="R626" s="4528"/>
    </row>
    <row r="627" spans="1:18">
      <c r="A627" s="4528"/>
      <c r="P627" s="4528"/>
      <c r="Q627" s="4528"/>
      <c r="R627" s="4528"/>
    </row>
    <row r="628" spans="1:18">
      <c r="A628" s="4528"/>
      <c r="P628" s="4528"/>
      <c r="Q628" s="4528"/>
      <c r="R628" s="4528"/>
    </row>
    <row r="629" spans="1:18">
      <c r="A629" s="4528"/>
      <c r="P629" s="4528"/>
      <c r="Q629" s="4528"/>
      <c r="R629" s="4528"/>
    </row>
    <row r="630" spans="1:18">
      <c r="A630" s="4528"/>
      <c r="P630" s="4528"/>
      <c r="Q630" s="4528"/>
      <c r="R630" s="4528"/>
    </row>
    <row r="631" spans="1:18">
      <c r="A631" s="4528"/>
      <c r="P631" s="4528"/>
      <c r="Q631" s="4528"/>
      <c r="R631" s="4528"/>
    </row>
    <row r="632" spans="1:18">
      <c r="A632" s="4528"/>
      <c r="P632" s="4528"/>
      <c r="Q632" s="4528"/>
      <c r="R632" s="4528"/>
    </row>
    <row r="633" spans="1:18">
      <c r="A633" s="4528"/>
      <c r="P633" s="4528"/>
      <c r="Q633" s="4528"/>
      <c r="R633" s="4528"/>
    </row>
    <row r="634" spans="1:18">
      <c r="A634" s="4528"/>
      <c r="P634" s="4528"/>
      <c r="Q634" s="4528"/>
      <c r="R634" s="4528"/>
    </row>
    <row r="635" spans="1:18">
      <c r="A635" s="4528"/>
      <c r="P635" s="4528"/>
      <c r="Q635" s="4528"/>
      <c r="R635" s="4528"/>
    </row>
    <row r="636" spans="1:18">
      <c r="A636" s="4528"/>
      <c r="P636" s="4528"/>
      <c r="Q636" s="4528"/>
      <c r="R636" s="4528"/>
    </row>
    <row r="637" spans="1:18">
      <c r="A637" s="4528"/>
      <c r="P637" s="4528"/>
      <c r="Q637" s="4528"/>
      <c r="R637" s="4528"/>
    </row>
    <row r="638" spans="1:18">
      <c r="A638" s="4528"/>
      <c r="P638" s="4528"/>
      <c r="Q638" s="4528"/>
      <c r="R638" s="4528"/>
    </row>
    <row r="639" spans="1:18">
      <c r="A639" s="4528"/>
      <c r="P639" s="4528"/>
      <c r="Q639" s="4528"/>
      <c r="R639" s="4528"/>
    </row>
    <row r="640" spans="1:18">
      <c r="A640" s="4528"/>
      <c r="P640" s="4528"/>
      <c r="Q640" s="4528"/>
      <c r="R640" s="4528"/>
    </row>
    <row r="641" spans="1:18">
      <c r="A641" s="4528"/>
      <c r="P641" s="4528"/>
      <c r="Q641" s="4528"/>
      <c r="R641" s="4528"/>
    </row>
    <row r="642" spans="1:18">
      <c r="A642" s="4528"/>
      <c r="P642" s="4528"/>
      <c r="Q642" s="4528"/>
      <c r="R642" s="4528"/>
    </row>
    <row r="643" spans="1:18">
      <c r="A643" s="4528"/>
      <c r="P643" s="4528"/>
      <c r="Q643" s="4528"/>
      <c r="R643" s="4528"/>
    </row>
    <row r="644" spans="1:18">
      <c r="A644" s="4528"/>
      <c r="P644" s="4528"/>
      <c r="Q644" s="4528"/>
      <c r="R644" s="4528"/>
    </row>
    <row r="645" spans="1:18">
      <c r="A645" s="4528"/>
      <c r="P645" s="4528"/>
      <c r="Q645" s="4528"/>
      <c r="R645" s="4528"/>
    </row>
    <row r="646" spans="1:18">
      <c r="A646" s="4528"/>
      <c r="P646" s="4528"/>
      <c r="Q646" s="4528"/>
      <c r="R646" s="4528"/>
    </row>
    <row r="647" spans="1:18">
      <c r="A647" s="4528"/>
      <c r="P647" s="4528"/>
      <c r="Q647" s="4528"/>
      <c r="R647" s="4528"/>
    </row>
    <row r="648" spans="1:18">
      <c r="A648" s="4528"/>
      <c r="P648" s="4528"/>
      <c r="Q648" s="4528"/>
      <c r="R648" s="4528"/>
    </row>
    <row r="649" spans="1:18">
      <c r="A649" s="4528"/>
      <c r="P649" s="4528"/>
      <c r="Q649" s="4528"/>
      <c r="R649" s="4528"/>
    </row>
    <row r="650" spans="1:18">
      <c r="A650" s="4528"/>
      <c r="P650" s="4528"/>
      <c r="Q650" s="4528"/>
      <c r="R650" s="4528"/>
    </row>
    <row r="651" spans="1:18">
      <c r="A651" s="4528"/>
      <c r="P651" s="4528"/>
      <c r="Q651" s="4528"/>
      <c r="R651" s="4528"/>
    </row>
    <row r="652" spans="1:18">
      <c r="A652" s="4528"/>
      <c r="P652" s="4528"/>
      <c r="Q652" s="4528"/>
      <c r="R652" s="4528"/>
    </row>
    <row r="653" spans="1:18">
      <c r="A653" s="4528"/>
      <c r="P653" s="4528"/>
      <c r="Q653" s="4528"/>
      <c r="R653" s="4528"/>
    </row>
    <row r="654" spans="1:18">
      <c r="A654" s="4528"/>
      <c r="P654" s="4528"/>
      <c r="Q654" s="4528"/>
      <c r="R654" s="4528"/>
    </row>
    <row r="655" spans="1:18">
      <c r="A655" s="4528"/>
      <c r="P655" s="4528"/>
      <c r="Q655" s="4528"/>
      <c r="R655" s="4528"/>
    </row>
    <row r="656" spans="1:18">
      <c r="A656" s="4528"/>
      <c r="P656" s="4528"/>
      <c r="Q656" s="4528"/>
      <c r="R656" s="4528"/>
    </row>
    <row r="657" spans="1:18">
      <c r="A657" s="4528"/>
      <c r="P657" s="4528"/>
      <c r="Q657" s="4528"/>
      <c r="R657" s="4528"/>
    </row>
    <row r="658" spans="1:18">
      <c r="A658" s="4528"/>
      <c r="P658" s="4528"/>
      <c r="Q658" s="4528"/>
      <c r="R658" s="4528"/>
    </row>
    <row r="659" spans="1:18">
      <c r="A659" s="4528"/>
      <c r="P659" s="4528"/>
      <c r="Q659" s="4528"/>
      <c r="R659" s="4528"/>
    </row>
    <row r="660" spans="1:18">
      <c r="A660" s="4528"/>
      <c r="P660" s="4528"/>
      <c r="Q660" s="4528"/>
      <c r="R660" s="4528"/>
    </row>
    <row r="661" spans="1:18">
      <c r="A661" s="4528"/>
      <c r="P661" s="4528"/>
      <c r="Q661" s="4528"/>
      <c r="R661" s="4528"/>
    </row>
    <row r="662" spans="1:18">
      <c r="A662" s="4528"/>
      <c r="P662" s="4528"/>
      <c r="Q662" s="4528"/>
      <c r="R662" s="4528"/>
    </row>
    <row r="663" spans="1:18">
      <c r="A663" s="4528"/>
      <c r="P663" s="4528"/>
      <c r="Q663" s="4528"/>
      <c r="R663" s="4528"/>
    </row>
    <row r="664" spans="1:18">
      <c r="A664" s="4528"/>
      <c r="P664" s="4528"/>
      <c r="Q664" s="4528"/>
      <c r="R664" s="4528"/>
    </row>
    <row r="665" spans="1:18">
      <c r="A665" s="4528"/>
      <c r="P665" s="4528"/>
      <c r="Q665" s="4528"/>
      <c r="R665" s="4528"/>
    </row>
    <row r="666" spans="1:18">
      <c r="A666" s="4528"/>
      <c r="P666" s="4528"/>
      <c r="Q666" s="4528"/>
      <c r="R666" s="4528"/>
    </row>
    <row r="667" spans="1:18">
      <c r="A667" s="4528"/>
      <c r="P667" s="4528"/>
      <c r="Q667" s="4528"/>
      <c r="R667" s="4528"/>
    </row>
    <row r="668" spans="1:18">
      <c r="A668" s="4528"/>
      <c r="P668" s="4528"/>
      <c r="Q668" s="4528"/>
      <c r="R668" s="4528"/>
    </row>
    <row r="669" spans="1:18">
      <c r="A669" s="4528"/>
      <c r="P669" s="4528"/>
      <c r="Q669" s="4528"/>
      <c r="R669" s="4528"/>
    </row>
    <row r="670" spans="1:18">
      <c r="A670" s="4528"/>
      <c r="P670" s="4528"/>
      <c r="Q670" s="4528"/>
      <c r="R670" s="4528"/>
    </row>
    <row r="671" spans="1:18">
      <c r="A671" s="4528"/>
      <c r="P671" s="4528"/>
      <c r="Q671" s="4528"/>
      <c r="R671" s="4528"/>
    </row>
    <row r="672" spans="1:18">
      <c r="A672" s="4528"/>
      <c r="P672" s="4528"/>
      <c r="Q672" s="4528"/>
      <c r="R672" s="4528"/>
    </row>
    <row r="673" spans="1:18">
      <c r="A673" s="4528"/>
      <c r="P673" s="4528"/>
      <c r="Q673" s="4528"/>
      <c r="R673" s="4528"/>
    </row>
    <row r="674" spans="1:18">
      <c r="A674" s="4528"/>
      <c r="P674" s="4528"/>
      <c r="Q674" s="4528"/>
      <c r="R674" s="4528"/>
    </row>
    <row r="675" spans="1:18">
      <c r="A675" s="4528"/>
      <c r="P675" s="4528"/>
      <c r="Q675" s="4528"/>
      <c r="R675" s="4528"/>
    </row>
    <row r="676" spans="1:18">
      <c r="A676" s="4528"/>
      <c r="P676" s="4528"/>
      <c r="Q676" s="4528"/>
      <c r="R676" s="4528"/>
    </row>
    <row r="677" spans="1:18">
      <c r="A677" s="4528"/>
      <c r="P677" s="4528"/>
      <c r="Q677" s="4528"/>
      <c r="R677" s="4528"/>
    </row>
    <row r="678" spans="1:18">
      <c r="A678" s="4528"/>
      <c r="P678" s="4528"/>
      <c r="Q678" s="4528"/>
      <c r="R678" s="4528"/>
    </row>
    <row r="679" spans="1:18">
      <c r="A679" s="4528"/>
      <c r="P679" s="4528"/>
      <c r="Q679" s="4528"/>
      <c r="R679" s="4528"/>
    </row>
    <row r="680" spans="1:18">
      <c r="A680" s="4528"/>
      <c r="P680" s="4528"/>
      <c r="Q680" s="4528"/>
      <c r="R680" s="4528"/>
    </row>
    <row r="681" spans="1:18">
      <c r="A681" s="4528"/>
      <c r="P681" s="4528"/>
      <c r="Q681" s="4528"/>
      <c r="R681" s="4528"/>
    </row>
    <row r="682" spans="1:18">
      <c r="A682" s="4528"/>
      <c r="P682" s="4528"/>
      <c r="Q682" s="4528"/>
      <c r="R682" s="4528"/>
    </row>
    <row r="683" spans="1:18">
      <c r="A683" s="4528"/>
      <c r="P683" s="4528"/>
      <c r="Q683" s="4528"/>
      <c r="R683" s="4528"/>
    </row>
    <row r="684" spans="1:18">
      <c r="A684" s="4528"/>
      <c r="P684" s="4528"/>
      <c r="Q684" s="4528"/>
      <c r="R684" s="4528"/>
    </row>
    <row r="685" spans="1:18">
      <c r="A685" s="4528"/>
      <c r="P685" s="4528"/>
      <c r="Q685" s="4528"/>
      <c r="R685" s="4528"/>
    </row>
    <row r="686" spans="1:18">
      <c r="A686" s="4528"/>
      <c r="P686" s="4528"/>
      <c r="Q686" s="4528"/>
      <c r="R686" s="4528"/>
    </row>
    <row r="687" spans="1:18">
      <c r="A687" s="4528"/>
      <c r="P687" s="4528"/>
      <c r="Q687" s="4528"/>
      <c r="R687" s="4528"/>
    </row>
    <row r="688" spans="1:18">
      <c r="A688" s="4528"/>
      <c r="P688" s="4528"/>
      <c r="Q688" s="4528"/>
      <c r="R688" s="4528"/>
    </row>
    <row r="689" spans="1:18">
      <c r="A689" s="4528"/>
      <c r="P689" s="4528"/>
      <c r="Q689" s="4528"/>
      <c r="R689" s="4528"/>
    </row>
    <row r="690" spans="1:18">
      <c r="A690" s="4528"/>
      <c r="P690" s="4528"/>
      <c r="Q690" s="4528"/>
      <c r="R690" s="4528"/>
    </row>
    <row r="691" spans="1:18">
      <c r="A691" s="4528"/>
      <c r="P691" s="4528"/>
      <c r="Q691" s="4528"/>
      <c r="R691" s="4528"/>
    </row>
    <row r="692" spans="1:18">
      <c r="A692" s="4528"/>
      <c r="P692" s="4528"/>
      <c r="Q692" s="4528"/>
      <c r="R692" s="4528"/>
    </row>
    <row r="693" spans="1:18">
      <c r="A693" s="4528"/>
      <c r="P693" s="4528"/>
      <c r="Q693" s="4528"/>
      <c r="R693" s="4528"/>
    </row>
    <row r="694" spans="1:18">
      <c r="A694" s="4528"/>
      <c r="P694" s="4528"/>
      <c r="Q694" s="4528"/>
      <c r="R694" s="4528"/>
    </row>
    <row r="695" spans="1:18">
      <c r="A695" s="4528"/>
      <c r="P695" s="4528"/>
      <c r="Q695" s="4528"/>
      <c r="R695" s="4528"/>
    </row>
    <row r="696" spans="1:18">
      <c r="A696" s="4528"/>
      <c r="P696" s="4528"/>
      <c r="Q696" s="4528"/>
      <c r="R696" s="4528"/>
    </row>
    <row r="697" spans="1:18">
      <c r="A697" s="4528"/>
      <c r="P697" s="4528"/>
      <c r="Q697" s="4528"/>
      <c r="R697" s="4528"/>
    </row>
    <row r="698" spans="1:18">
      <c r="A698" s="4528"/>
      <c r="P698" s="4528"/>
      <c r="Q698" s="4528"/>
      <c r="R698" s="4528"/>
    </row>
    <row r="699" spans="1:18">
      <c r="A699" s="4528"/>
      <c r="P699" s="4528"/>
      <c r="Q699" s="4528"/>
      <c r="R699" s="4528"/>
    </row>
    <row r="700" spans="1:18">
      <c r="A700" s="4528"/>
      <c r="P700" s="4528"/>
      <c r="Q700" s="4528"/>
      <c r="R700" s="4528"/>
    </row>
    <row r="701" spans="1:18">
      <c r="A701" s="4528"/>
      <c r="P701" s="4528"/>
      <c r="Q701" s="4528"/>
      <c r="R701" s="4528"/>
    </row>
    <row r="702" spans="1:18">
      <c r="A702" s="4528"/>
      <c r="P702" s="4528"/>
      <c r="Q702" s="4528"/>
      <c r="R702" s="4528"/>
    </row>
    <row r="703" spans="1:18">
      <c r="A703" s="4528"/>
      <c r="P703" s="4528"/>
      <c r="Q703" s="4528"/>
      <c r="R703" s="4528"/>
    </row>
    <row r="704" spans="1:18">
      <c r="A704" s="4528"/>
      <c r="P704" s="4528"/>
      <c r="Q704" s="4528"/>
      <c r="R704" s="4528"/>
    </row>
    <row r="705" spans="1:18">
      <c r="A705" s="4528"/>
      <c r="P705" s="4528"/>
      <c r="Q705" s="4528"/>
      <c r="R705" s="4528"/>
    </row>
    <row r="706" spans="1:18">
      <c r="A706" s="4528"/>
      <c r="P706" s="4528"/>
      <c r="Q706" s="4528"/>
      <c r="R706" s="4528"/>
    </row>
    <row r="707" spans="1:18">
      <c r="A707" s="4528"/>
      <c r="P707" s="4528"/>
      <c r="Q707" s="4528"/>
      <c r="R707" s="4528"/>
    </row>
    <row r="708" spans="1:18">
      <c r="A708" s="4528"/>
      <c r="P708" s="4528"/>
      <c r="Q708" s="4528"/>
      <c r="R708" s="4528"/>
    </row>
    <row r="709" spans="1:18">
      <c r="A709" s="4528"/>
      <c r="P709" s="4528"/>
      <c r="Q709" s="4528"/>
      <c r="R709" s="4528"/>
    </row>
    <row r="710" spans="1:18">
      <c r="A710" s="4528"/>
      <c r="P710" s="4528"/>
      <c r="Q710" s="4528"/>
      <c r="R710" s="4528"/>
    </row>
    <row r="711" spans="1:18">
      <c r="A711" s="4528"/>
      <c r="P711" s="4528"/>
      <c r="Q711" s="4528"/>
      <c r="R711" s="4528"/>
    </row>
    <row r="712" spans="1:18">
      <c r="A712" s="4528"/>
      <c r="P712" s="4528"/>
      <c r="Q712" s="4528"/>
      <c r="R712" s="4528"/>
    </row>
    <row r="713" spans="1:18">
      <c r="A713" s="4528"/>
      <c r="P713" s="4528"/>
      <c r="Q713" s="4528"/>
      <c r="R713" s="4528"/>
    </row>
    <row r="714" spans="1:18">
      <c r="A714" s="4528"/>
      <c r="P714" s="4528"/>
      <c r="Q714" s="4528"/>
      <c r="R714" s="4528"/>
    </row>
    <row r="715" spans="1:18">
      <c r="A715" s="4528"/>
      <c r="P715" s="4528"/>
      <c r="Q715" s="4528"/>
      <c r="R715" s="4528"/>
    </row>
    <row r="716" spans="1:18">
      <c r="A716" s="4528"/>
      <c r="P716" s="4528"/>
      <c r="Q716" s="4528"/>
      <c r="R716" s="4528"/>
    </row>
    <row r="717" spans="1:18">
      <c r="A717" s="4528"/>
      <c r="P717" s="4528"/>
      <c r="Q717" s="4528"/>
      <c r="R717" s="4528"/>
    </row>
    <row r="718" spans="1:18">
      <c r="A718" s="4528"/>
      <c r="P718" s="4528"/>
      <c r="Q718" s="4528"/>
      <c r="R718" s="4528"/>
    </row>
    <row r="719" spans="1:18">
      <c r="A719" s="4528"/>
      <c r="P719" s="4528"/>
      <c r="Q719" s="4528"/>
      <c r="R719" s="4528"/>
    </row>
    <row r="720" spans="1:18">
      <c r="A720" s="4528"/>
      <c r="P720" s="4528"/>
      <c r="Q720" s="4528"/>
      <c r="R720" s="4528"/>
    </row>
    <row r="721" spans="1:18">
      <c r="A721" s="4528"/>
      <c r="P721" s="4528"/>
      <c r="Q721" s="4528"/>
      <c r="R721" s="4528"/>
    </row>
    <row r="722" spans="1:18">
      <c r="A722" s="4528"/>
      <c r="P722" s="4528"/>
      <c r="Q722" s="4528"/>
      <c r="R722" s="4528"/>
    </row>
    <row r="723" spans="1:18">
      <c r="A723" s="4528"/>
      <c r="P723" s="4528"/>
      <c r="Q723" s="4528"/>
      <c r="R723" s="4528"/>
    </row>
    <row r="724" spans="1:18">
      <c r="A724" s="4528"/>
      <c r="P724" s="4528"/>
      <c r="Q724" s="4528"/>
      <c r="R724" s="4528"/>
    </row>
    <row r="725" spans="1:18">
      <c r="A725" s="4528"/>
      <c r="P725" s="4528"/>
      <c r="Q725" s="4528"/>
      <c r="R725" s="4528"/>
    </row>
    <row r="726" spans="1:18">
      <c r="A726" s="4528"/>
      <c r="P726" s="4528"/>
      <c r="Q726" s="4528"/>
      <c r="R726" s="4528"/>
    </row>
    <row r="727" spans="1:18">
      <c r="A727" s="4528"/>
      <c r="P727" s="4528"/>
      <c r="Q727" s="4528"/>
      <c r="R727" s="4528"/>
    </row>
    <row r="728" spans="1:18">
      <c r="A728" s="4528"/>
      <c r="P728" s="4528"/>
      <c r="Q728" s="4528"/>
      <c r="R728" s="4528"/>
    </row>
    <row r="729" spans="1:18">
      <c r="A729" s="4528"/>
      <c r="P729" s="4528"/>
      <c r="Q729" s="4528"/>
      <c r="R729" s="4528"/>
    </row>
    <row r="730" spans="1:18">
      <c r="A730" s="4528"/>
      <c r="P730" s="4528"/>
      <c r="Q730" s="4528"/>
      <c r="R730" s="4528"/>
    </row>
    <row r="731" spans="1:18">
      <c r="A731" s="4528"/>
      <c r="P731" s="4528"/>
      <c r="Q731" s="4528"/>
      <c r="R731" s="4528"/>
    </row>
    <row r="732" spans="1:18">
      <c r="A732" s="4528"/>
      <c r="P732" s="4528"/>
      <c r="Q732" s="4528"/>
      <c r="R732" s="4528"/>
    </row>
    <row r="733" spans="1:18">
      <c r="A733" s="4528"/>
      <c r="P733" s="4528"/>
      <c r="Q733" s="4528"/>
      <c r="R733" s="4528"/>
    </row>
    <row r="734" spans="1:18">
      <c r="A734" s="4528"/>
      <c r="P734" s="4528"/>
      <c r="Q734" s="4528"/>
      <c r="R734" s="4528"/>
    </row>
    <row r="735" spans="1:18">
      <c r="A735" s="4528"/>
      <c r="P735" s="4528"/>
      <c r="Q735" s="4528"/>
      <c r="R735" s="4528"/>
    </row>
    <row r="736" spans="1:18">
      <c r="A736" s="4528"/>
      <c r="P736" s="4528"/>
      <c r="Q736" s="4528"/>
      <c r="R736" s="4528"/>
    </row>
    <row r="737" spans="1:18">
      <c r="A737" s="4528"/>
      <c r="P737" s="4528"/>
      <c r="Q737" s="4528"/>
      <c r="R737" s="4528"/>
    </row>
    <row r="738" spans="1:18">
      <c r="A738" s="4528"/>
      <c r="P738" s="4528"/>
      <c r="Q738" s="4528"/>
      <c r="R738" s="4528"/>
    </row>
    <row r="739" spans="1:18">
      <c r="A739" s="4528"/>
      <c r="P739" s="4528"/>
      <c r="Q739" s="4528"/>
      <c r="R739" s="4528"/>
    </row>
    <row r="740" spans="1:18">
      <c r="A740" s="4528"/>
      <c r="P740" s="4528"/>
      <c r="Q740" s="4528"/>
      <c r="R740" s="4528"/>
    </row>
    <row r="741" spans="1:18">
      <c r="A741" s="4528"/>
      <c r="P741" s="4528"/>
      <c r="Q741" s="4528"/>
      <c r="R741" s="4528"/>
    </row>
    <row r="742" spans="1:18">
      <c r="A742" s="4528"/>
      <c r="P742" s="4528"/>
      <c r="Q742" s="4528"/>
      <c r="R742" s="4528"/>
    </row>
    <row r="743" spans="1:18">
      <c r="A743" s="4528"/>
      <c r="P743" s="4528"/>
      <c r="Q743" s="4528"/>
      <c r="R743" s="4528"/>
    </row>
    <row r="744" spans="1:18">
      <c r="A744" s="4528"/>
      <c r="P744" s="4528"/>
      <c r="Q744" s="4528"/>
      <c r="R744" s="4528"/>
    </row>
    <row r="745" spans="1:18">
      <c r="A745" s="4528"/>
      <c r="P745" s="4528"/>
      <c r="Q745" s="4528"/>
      <c r="R745" s="4528"/>
    </row>
    <row r="746" spans="1:18">
      <c r="A746" s="4528"/>
      <c r="P746" s="4528"/>
      <c r="Q746" s="4528"/>
      <c r="R746" s="4528"/>
    </row>
    <row r="747" spans="1:18">
      <c r="A747" s="4528"/>
      <c r="P747" s="4528"/>
      <c r="Q747" s="4528"/>
      <c r="R747" s="4528"/>
    </row>
    <row r="748" spans="1:18">
      <c r="A748" s="4528"/>
      <c r="P748" s="4528"/>
      <c r="Q748" s="4528"/>
      <c r="R748" s="4528"/>
    </row>
    <row r="749" spans="1:18">
      <c r="A749" s="4528"/>
      <c r="P749" s="4528"/>
      <c r="Q749" s="4528"/>
      <c r="R749" s="4528"/>
    </row>
    <row r="750" spans="1:18">
      <c r="A750" s="4528"/>
      <c r="P750" s="4528"/>
      <c r="Q750" s="4528"/>
      <c r="R750" s="4528"/>
    </row>
    <row r="751" spans="1:18">
      <c r="A751" s="4528"/>
      <c r="P751" s="4528"/>
      <c r="Q751" s="4528"/>
      <c r="R751" s="4528"/>
    </row>
    <row r="752" spans="1:18">
      <c r="A752" s="4528"/>
      <c r="P752" s="4528"/>
      <c r="Q752" s="4528"/>
      <c r="R752" s="4528"/>
    </row>
    <row r="753" spans="1:18">
      <c r="A753" s="4528"/>
      <c r="P753" s="4528"/>
      <c r="Q753" s="4528"/>
      <c r="R753" s="4528"/>
    </row>
    <row r="754" spans="1:18">
      <c r="A754" s="4528"/>
      <c r="P754" s="4528"/>
      <c r="Q754" s="4528"/>
      <c r="R754" s="4528"/>
    </row>
    <row r="755" spans="1:18">
      <c r="A755" s="4528"/>
      <c r="P755" s="4528"/>
      <c r="Q755" s="4528"/>
      <c r="R755" s="4528"/>
    </row>
    <row r="756" spans="1:18">
      <c r="A756" s="4528"/>
      <c r="P756" s="4528"/>
      <c r="Q756" s="4528"/>
      <c r="R756" s="4528"/>
    </row>
    <row r="757" spans="1:18">
      <c r="A757" s="4528"/>
      <c r="P757" s="4528"/>
      <c r="Q757" s="4528"/>
      <c r="R757" s="4528"/>
    </row>
    <row r="758" spans="1:18">
      <c r="A758" s="4528"/>
      <c r="P758" s="4528"/>
      <c r="Q758" s="4528"/>
      <c r="R758" s="4528"/>
    </row>
    <row r="759" spans="1:18">
      <c r="A759" s="4528"/>
      <c r="P759" s="4528"/>
      <c r="Q759" s="4528"/>
      <c r="R759" s="4528"/>
    </row>
    <row r="760" spans="1:18">
      <c r="A760" s="4528"/>
      <c r="P760" s="4528"/>
      <c r="Q760" s="4528"/>
      <c r="R760" s="4528"/>
    </row>
    <row r="761" spans="1:18">
      <c r="A761" s="4528"/>
      <c r="P761" s="4528"/>
      <c r="Q761" s="4528"/>
      <c r="R761" s="4528"/>
    </row>
    <row r="762" spans="1:18">
      <c r="A762" s="4528"/>
      <c r="P762" s="4528"/>
      <c r="Q762" s="4528"/>
      <c r="R762" s="4528"/>
    </row>
    <row r="763" spans="1:18">
      <c r="A763" s="4528"/>
      <c r="P763" s="4528"/>
      <c r="Q763" s="4528"/>
      <c r="R763" s="4528"/>
    </row>
    <row r="764" spans="1:18">
      <c r="A764" s="4528"/>
      <c r="P764" s="4528"/>
      <c r="Q764" s="4528"/>
      <c r="R764" s="4528"/>
    </row>
    <row r="765" spans="1:18">
      <c r="A765" s="4528"/>
      <c r="P765" s="4528"/>
      <c r="Q765" s="4528"/>
      <c r="R765" s="4528"/>
    </row>
    <row r="766" spans="1:18">
      <c r="A766" s="4528"/>
      <c r="P766" s="4528"/>
      <c r="Q766" s="4528"/>
      <c r="R766" s="4528"/>
    </row>
    <row r="767" spans="1:18">
      <c r="A767" s="4528"/>
      <c r="P767" s="4528"/>
      <c r="Q767" s="4528"/>
      <c r="R767" s="4528"/>
    </row>
    <row r="768" spans="1:18">
      <c r="A768" s="4528"/>
      <c r="P768" s="4528"/>
      <c r="Q768" s="4528"/>
      <c r="R768" s="4528"/>
    </row>
    <row r="769" spans="1:18">
      <c r="A769" s="4528"/>
      <c r="P769" s="4528"/>
      <c r="Q769" s="4528"/>
      <c r="R769" s="4528"/>
    </row>
    <row r="770" spans="1:18">
      <c r="A770" s="4528"/>
      <c r="P770" s="4528"/>
      <c r="Q770" s="4528"/>
      <c r="R770" s="4528"/>
    </row>
    <row r="771" spans="1:18">
      <c r="A771" s="4528"/>
      <c r="P771" s="4528"/>
      <c r="Q771" s="4528"/>
      <c r="R771" s="4528"/>
    </row>
    <row r="772" spans="1:18">
      <c r="A772" s="4528"/>
      <c r="P772" s="4528"/>
      <c r="Q772" s="4528"/>
      <c r="R772" s="4528"/>
    </row>
    <row r="773" spans="1:18">
      <c r="A773" s="4528"/>
      <c r="P773" s="4528"/>
      <c r="Q773" s="4528"/>
      <c r="R773" s="4528"/>
    </row>
    <row r="774" spans="1:18">
      <c r="A774" s="4528"/>
      <c r="P774" s="4528"/>
      <c r="Q774" s="4528"/>
      <c r="R774" s="4528"/>
    </row>
    <row r="775" spans="1:18">
      <c r="A775" s="4528"/>
      <c r="P775" s="4528"/>
      <c r="Q775" s="4528"/>
      <c r="R775" s="4528"/>
    </row>
    <row r="776" spans="1:18">
      <c r="A776" s="4528"/>
      <c r="P776" s="4528"/>
      <c r="Q776" s="4528"/>
      <c r="R776" s="4528"/>
    </row>
    <row r="777" spans="1:18">
      <c r="A777" s="4528"/>
      <c r="P777" s="4528"/>
      <c r="Q777" s="4528"/>
      <c r="R777" s="4528"/>
    </row>
    <row r="778" spans="1:18">
      <c r="A778" s="4528"/>
      <c r="P778" s="4528"/>
      <c r="Q778" s="4528"/>
      <c r="R778" s="4528"/>
    </row>
    <row r="779" spans="1:18">
      <c r="A779" s="4528"/>
      <c r="P779" s="4528"/>
      <c r="Q779" s="4528"/>
      <c r="R779" s="4528"/>
    </row>
    <row r="780" spans="1:18">
      <c r="A780" s="4528"/>
      <c r="P780" s="4528"/>
      <c r="Q780" s="4528"/>
      <c r="R780" s="4528"/>
    </row>
    <row r="781" spans="1:18">
      <c r="A781" s="4528"/>
      <c r="P781" s="4528"/>
      <c r="Q781" s="4528"/>
      <c r="R781" s="4528"/>
    </row>
    <row r="782" spans="1:18">
      <c r="A782" s="4528"/>
      <c r="P782" s="4528"/>
      <c r="Q782" s="4528"/>
      <c r="R782" s="4528"/>
    </row>
    <row r="783" spans="1:18">
      <c r="A783" s="4528"/>
      <c r="P783" s="4528"/>
      <c r="Q783" s="4528"/>
      <c r="R783" s="4528"/>
    </row>
    <row r="784" spans="1:18">
      <c r="A784" s="4528"/>
      <c r="P784" s="4528"/>
      <c r="Q784" s="4528"/>
      <c r="R784" s="4528"/>
    </row>
    <row r="785" spans="1:18">
      <c r="A785" s="4528"/>
      <c r="P785" s="4528"/>
      <c r="Q785" s="4528"/>
      <c r="R785" s="4528"/>
    </row>
    <row r="786" spans="1:18">
      <c r="A786" s="4528"/>
      <c r="P786" s="4528"/>
      <c r="Q786" s="4528"/>
      <c r="R786" s="4528"/>
    </row>
    <row r="787" spans="1:18">
      <c r="A787" s="4528"/>
      <c r="P787" s="4528"/>
      <c r="Q787" s="4528"/>
      <c r="R787" s="4528"/>
    </row>
    <row r="788" spans="1:18">
      <c r="A788" s="4528"/>
      <c r="P788" s="4528"/>
      <c r="Q788" s="4528"/>
      <c r="R788" s="4528"/>
    </row>
    <row r="789" spans="1:18">
      <c r="A789" s="4528"/>
      <c r="P789" s="4528"/>
      <c r="Q789" s="4528"/>
      <c r="R789" s="4528"/>
    </row>
    <row r="790" spans="1:18">
      <c r="A790" s="4528"/>
      <c r="P790" s="4528"/>
      <c r="Q790" s="4528"/>
      <c r="R790" s="4528"/>
    </row>
    <row r="791" spans="1:18">
      <c r="A791" s="4528"/>
      <c r="P791" s="4528"/>
      <c r="Q791" s="4528"/>
      <c r="R791" s="4528"/>
    </row>
    <row r="792" spans="1:18">
      <c r="A792" s="4528"/>
      <c r="P792" s="4528"/>
      <c r="Q792" s="4528"/>
      <c r="R792" s="4528"/>
    </row>
    <row r="793" spans="1:18">
      <c r="A793" s="4528"/>
      <c r="P793" s="4528"/>
      <c r="Q793" s="4528"/>
      <c r="R793" s="4528"/>
    </row>
    <row r="794" spans="1:18">
      <c r="A794" s="4528"/>
      <c r="P794" s="4528"/>
      <c r="Q794" s="4528"/>
      <c r="R794" s="4528"/>
    </row>
    <row r="795" spans="1:18">
      <c r="A795" s="4528"/>
      <c r="P795" s="4528"/>
      <c r="Q795" s="4528"/>
      <c r="R795" s="4528"/>
    </row>
    <row r="796" spans="1:18">
      <c r="A796" s="4528"/>
      <c r="P796" s="4528"/>
      <c r="Q796" s="4528"/>
      <c r="R796" s="4528"/>
    </row>
    <row r="797" spans="1:18">
      <c r="A797" s="4528"/>
      <c r="P797" s="4528"/>
      <c r="Q797" s="4528"/>
      <c r="R797" s="4528"/>
    </row>
    <row r="798" spans="1:18">
      <c r="A798" s="4528"/>
      <c r="P798" s="4528"/>
      <c r="Q798" s="4528"/>
      <c r="R798" s="4528"/>
    </row>
    <row r="799" spans="1:18">
      <c r="A799" s="4528"/>
      <c r="P799" s="4528"/>
      <c r="Q799" s="4528"/>
      <c r="R799" s="4528"/>
    </row>
    <row r="800" spans="1:18">
      <c r="A800" s="4528"/>
      <c r="P800" s="4528"/>
      <c r="Q800" s="4528"/>
      <c r="R800" s="4528"/>
    </row>
    <row r="801" spans="1:18">
      <c r="A801" s="4528"/>
      <c r="P801" s="4528"/>
      <c r="Q801" s="4528"/>
      <c r="R801" s="4528"/>
    </row>
    <row r="802" spans="1:18">
      <c r="A802" s="4528"/>
      <c r="P802" s="4528"/>
      <c r="Q802" s="4528"/>
      <c r="R802" s="4528"/>
    </row>
    <row r="803" spans="1:18">
      <c r="A803" s="4528"/>
      <c r="P803" s="4528"/>
      <c r="Q803" s="4528"/>
      <c r="R803" s="4528"/>
    </row>
    <row r="804" spans="1:18">
      <c r="A804" s="4528"/>
      <c r="P804" s="4528"/>
      <c r="Q804" s="4528"/>
      <c r="R804" s="4528"/>
    </row>
    <row r="805" spans="1:18">
      <c r="A805" s="4528"/>
      <c r="P805" s="4528"/>
      <c r="Q805" s="4528"/>
      <c r="R805" s="4528"/>
    </row>
    <row r="806" spans="1:18">
      <c r="A806" s="4528"/>
      <c r="P806" s="4528"/>
      <c r="Q806" s="4528"/>
      <c r="R806" s="4528"/>
    </row>
    <row r="807" spans="1:18">
      <c r="A807" s="4528"/>
      <c r="P807" s="4528"/>
      <c r="Q807" s="4528"/>
      <c r="R807" s="4528"/>
    </row>
    <row r="808" spans="1:18">
      <c r="A808" s="4528"/>
      <c r="P808" s="4528"/>
      <c r="Q808" s="4528"/>
      <c r="R808" s="4528"/>
    </row>
    <row r="809" spans="1:18">
      <c r="A809" s="4528"/>
      <c r="P809" s="4528"/>
      <c r="Q809" s="4528"/>
      <c r="R809" s="4528"/>
    </row>
    <row r="810" spans="1:18">
      <c r="A810" s="4528"/>
      <c r="P810" s="4528"/>
      <c r="Q810" s="4528"/>
      <c r="R810" s="4528"/>
    </row>
    <row r="811" spans="1:18">
      <c r="A811" s="4528"/>
      <c r="P811" s="4528"/>
      <c r="Q811" s="4528"/>
      <c r="R811" s="4528"/>
    </row>
    <row r="812" spans="1:18">
      <c r="A812" s="4528"/>
      <c r="P812" s="4528"/>
      <c r="Q812" s="4528"/>
      <c r="R812" s="4528"/>
    </row>
    <row r="813" spans="1:18">
      <c r="A813" s="4528"/>
      <c r="P813" s="4528"/>
      <c r="Q813" s="4528"/>
      <c r="R813" s="4528"/>
    </row>
    <row r="814" spans="1:18">
      <c r="A814" s="4528"/>
      <c r="P814" s="4528"/>
      <c r="Q814" s="4528"/>
      <c r="R814" s="4528"/>
    </row>
    <row r="815" spans="1:18">
      <c r="A815" s="4528"/>
      <c r="P815" s="4528"/>
      <c r="Q815" s="4528"/>
      <c r="R815" s="4528"/>
    </row>
    <row r="816" spans="1:18">
      <c r="A816" s="4528"/>
      <c r="P816" s="4528"/>
      <c r="Q816" s="4528"/>
      <c r="R816" s="4528"/>
    </row>
    <row r="817" spans="1:18">
      <c r="A817" s="4528"/>
      <c r="P817" s="4528"/>
      <c r="Q817" s="4528"/>
      <c r="R817" s="4528"/>
    </row>
    <row r="818" spans="1:18">
      <c r="A818" s="4528"/>
      <c r="P818" s="4528"/>
      <c r="Q818" s="4528"/>
      <c r="R818" s="4528"/>
    </row>
    <row r="819" spans="1:18">
      <c r="A819" s="4528"/>
      <c r="P819" s="4528"/>
      <c r="Q819" s="4528"/>
      <c r="R819" s="4528"/>
    </row>
    <row r="820" spans="1:18">
      <c r="A820" s="4528"/>
      <c r="P820" s="4528"/>
      <c r="Q820" s="4528"/>
      <c r="R820" s="4528"/>
    </row>
    <row r="821" spans="1:18">
      <c r="A821" s="4528"/>
      <c r="P821" s="4528"/>
      <c r="Q821" s="4528"/>
      <c r="R821" s="4528"/>
    </row>
    <row r="822" spans="1:18">
      <c r="A822" s="4528"/>
      <c r="P822" s="4528"/>
      <c r="Q822" s="4528"/>
      <c r="R822" s="4528"/>
    </row>
    <row r="823" spans="1:18">
      <c r="A823" s="4528"/>
      <c r="P823" s="4528"/>
      <c r="Q823" s="4528"/>
      <c r="R823" s="4528"/>
    </row>
    <row r="824" spans="1:18">
      <c r="A824" s="4528"/>
      <c r="P824" s="4528"/>
      <c r="Q824" s="4528"/>
      <c r="R824" s="4528"/>
    </row>
    <row r="825" spans="1:18">
      <c r="A825" s="4528"/>
      <c r="P825" s="4528"/>
      <c r="Q825" s="4528"/>
      <c r="R825" s="4528"/>
    </row>
    <row r="826" spans="1:18">
      <c r="A826" s="4528"/>
      <c r="P826" s="4528"/>
      <c r="Q826" s="4528"/>
      <c r="R826" s="4528"/>
    </row>
    <row r="827" spans="1:18">
      <c r="A827" s="4528"/>
      <c r="P827" s="4528"/>
      <c r="Q827" s="4528"/>
      <c r="R827" s="4528"/>
    </row>
    <row r="828" spans="1:18">
      <c r="A828" s="4528"/>
      <c r="P828" s="4528"/>
      <c r="Q828" s="4528"/>
      <c r="R828" s="4528"/>
    </row>
    <row r="829" spans="1:18">
      <c r="A829" s="4528"/>
      <c r="P829" s="4528"/>
      <c r="Q829" s="4528"/>
      <c r="R829" s="4528"/>
    </row>
    <row r="830" spans="1:18">
      <c r="A830" s="4528"/>
      <c r="P830" s="4528"/>
      <c r="Q830" s="4528"/>
      <c r="R830" s="4528"/>
    </row>
    <row r="831" spans="1:18">
      <c r="A831" s="4528"/>
      <c r="P831" s="4528"/>
      <c r="Q831" s="4528"/>
      <c r="R831" s="4528"/>
    </row>
    <row r="832" spans="1:18">
      <c r="A832" s="4528"/>
      <c r="P832" s="4528"/>
      <c r="Q832" s="4528"/>
      <c r="R832" s="4528"/>
    </row>
    <row r="833" spans="1:18">
      <c r="A833" s="4528"/>
      <c r="P833" s="4528"/>
      <c r="Q833" s="4528"/>
      <c r="R833" s="4528"/>
    </row>
    <row r="834" spans="1:18">
      <c r="A834" s="4528"/>
      <c r="P834" s="4528"/>
      <c r="Q834" s="4528"/>
      <c r="R834" s="4528"/>
    </row>
    <row r="835" spans="1:18">
      <c r="A835" s="4528"/>
      <c r="P835" s="4528"/>
      <c r="Q835" s="4528"/>
      <c r="R835" s="4528"/>
    </row>
    <row r="836" spans="1:18">
      <c r="A836" s="4528"/>
      <c r="P836" s="4528"/>
      <c r="Q836" s="4528"/>
      <c r="R836" s="4528"/>
    </row>
    <row r="837" spans="1:18">
      <c r="A837" s="4528"/>
      <c r="P837" s="4528"/>
      <c r="Q837" s="4528"/>
      <c r="R837" s="4528"/>
    </row>
    <row r="838" spans="1:18">
      <c r="A838" s="4528"/>
      <c r="P838" s="4528"/>
      <c r="Q838" s="4528"/>
      <c r="R838" s="4528"/>
    </row>
    <row r="839" spans="1:18">
      <c r="A839" s="4528"/>
      <c r="P839" s="4528"/>
      <c r="Q839" s="4528"/>
      <c r="R839" s="4528"/>
    </row>
    <row r="840" spans="1:18">
      <c r="A840" s="4528"/>
      <c r="P840" s="4528"/>
      <c r="Q840" s="4528"/>
      <c r="R840" s="4528"/>
    </row>
    <row r="841" spans="1:18">
      <c r="A841" s="4528"/>
      <c r="P841" s="4528"/>
      <c r="Q841" s="4528"/>
      <c r="R841" s="4528"/>
    </row>
    <row r="842" spans="1:18">
      <c r="A842" s="4528"/>
      <c r="P842" s="4528"/>
      <c r="Q842" s="4528"/>
      <c r="R842" s="4528"/>
    </row>
    <row r="843" spans="1:18">
      <c r="A843" s="4528"/>
      <c r="P843" s="4528"/>
      <c r="Q843" s="4528"/>
      <c r="R843" s="4528"/>
    </row>
    <row r="844" spans="1:18">
      <c r="A844" s="4528"/>
      <c r="P844" s="4528"/>
      <c r="Q844" s="4528"/>
      <c r="R844" s="4528"/>
    </row>
    <row r="845" spans="1:18">
      <c r="A845" s="4528"/>
      <c r="P845" s="4528"/>
      <c r="Q845" s="4528"/>
      <c r="R845" s="4528"/>
    </row>
    <row r="846" spans="1:18">
      <c r="A846" s="4528"/>
      <c r="P846" s="4528"/>
      <c r="Q846" s="4528"/>
      <c r="R846" s="4528"/>
    </row>
    <row r="847" spans="1:18">
      <c r="A847" s="4528"/>
      <c r="P847" s="4528"/>
      <c r="Q847" s="4528"/>
      <c r="R847" s="4528"/>
    </row>
    <row r="848" spans="1:18">
      <c r="A848" s="4528"/>
      <c r="P848" s="4528"/>
      <c r="Q848" s="4528"/>
      <c r="R848" s="4528"/>
    </row>
    <row r="849" spans="1:18">
      <c r="A849" s="4528"/>
      <c r="P849" s="4528"/>
      <c r="Q849" s="4528"/>
      <c r="R849" s="4528"/>
    </row>
    <row r="850" spans="1:18">
      <c r="A850" s="4528"/>
      <c r="P850" s="4528"/>
      <c r="Q850" s="4528"/>
      <c r="R850" s="4528"/>
    </row>
    <row r="851" spans="1:18">
      <c r="A851" s="4528"/>
      <c r="P851" s="4528"/>
      <c r="Q851" s="4528"/>
      <c r="R851" s="4528"/>
    </row>
    <row r="852" spans="1:18">
      <c r="A852" s="4528"/>
      <c r="P852" s="4528"/>
      <c r="Q852" s="4528"/>
      <c r="R852" s="4528"/>
    </row>
    <row r="853" spans="1:18">
      <c r="A853" s="4528"/>
      <c r="P853" s="4528"/>
      <c r="Q853" s="4528"/>
      <c r="R853" s="4528"/>
    </row>
    <row r="854" spans="1:18">
      <c r="A854" s="4528"/>
      <c r="P854" s="4528"/>
      <c r="Q854" s="4528"/>
      <c r="R854" s="4528"/>
    </row>
    <row r="855" spans="1:18">
      <c r="A855" s="4528"/>
      <c r="P855" s="4528"/>
      <c r="Q855" s="4528"/>
      <c r="R855" s="4528"/>
    </row>
    <row r="856" spans="1:18">
      <c r="A856" s="4528"/>
      <c r="P856" s="4528"/>
      <c r="Q856" s="4528"/>
      <c r="R856" s="4528"/>
    </row>
    <row r="857" spans="1:18">
      <c r="A857" s="4528"/>
      <c r="P857" s="4528"/>
      <c r="Q857" s="4528"/>
      <c r="R857" s="4528"/>
    </row>
    <row r="858" spans="1:18">
      <c r="A858" s="4528"/>
      <c r="P858" s="4528"/>
      <c r="Q858" s="4528"/>
      <c r="R858" s="4528"/>
    </row>
    <row r="859" spans="1:18">
      <c r="A859" s="4528"/>
      <c r="P859" s="4528"/>
      <c r="Q859" s="4528"/>
      <c r="R859" s="4528"/>
    </row>
    <row r="860" spans="1:18">
      <c r="A860" s="4528"/>
      <c r="P860" s="4528"/>
      <c r="Q860" s="4528"/>
      <c r="R860" s="4528"/>
    </row>
    <row r="861" spans="1:18">
      <c r="A861" s="4528"/>
      <c r="P861" s="4528"/>
      <c r="Q861" s="4528"/>
      <c r="R861" s="4528"/>
    </row>
    <row r="862" spans="1:18">
      <c r="A862" s="4528"/>
      <c r="P862" s="4528"/>
      <c r="Q862" s="4528"/>
      <c r="R862" s="4528"/>
    </row>
    <row r="863" spans="1:18">
      <c r="A863" s="4528"/>
      <c r="P863" s="4528"/>
      <c r="Q863" s="4528"/>
      <c r="R863" s="4528"/>
    </row>
    <row r="864" spans="1:18">
      <c r="A864" s="4528"/>
      <c r="P864" s="4528"/>
      <c r="Q864" s="4528"/>
      <c r="R864" s="4528"/>
    </row>
    <row r="865" spans="1:18">
      <c r="A865" s="4528"/>
      <c r="P865" s="4528"/>
      <c r="Q865" s="4528"/>
      <c r="R865" s="4528"/>
    </row>
    <row r="866" spans="1:18">
      <c r="A866" s="4528"/>
      <c r="P866" s="4528"/>
      <c r="Q866" s="4528"/>
      <c r="R866" s="4528"/>
    </row>
    <row r="867" spans="1:18">
      <c r="A867" s="4528"/>
      <c r="P867" s="4528"/>
      <c r="Q867" s="4528"/>
      <c r="R867" s="4528"/>
    </row>
    <row r="868" spans="1:18">
      <c r="A868" s="4528"/>
      <c r="P868" s="4528"/>
      <c r="Q868" s="4528"/>
      <c r="R868" s="4528"/>
    </row>
    <row r="869" spans="1:18">
      <c r="A869" s="4528"/>
      <c r="P869" s="4528"/>
      <c r="Q869" s="4528"/>
      <c r="R869" s="4528"/>
    </row>
    <row r="870" spans="1:18">
      <c r="A870" s="4528"/>
      <c r="P870" s="4528"/>
      <c r="Q870" s="4528"/>
      <c r="R870" s="4528"/>
    </row>
    <row r="871" spans="1:18">
      <c r="A871" s="4528"/>
      <c r="P871" s="4528"/>
      <c r="Q871" s="4528"/>
      <c r="R871" s="4528"/>
    </row>
    <row r="872" spans="1:18">
      <c r="A872" s="4528"/>
      <c r="P872" s="4528"/>
      <c r="Q872" s="4528"/>
      <c r="R872" s="4528"/>
    </row>
    <row r="873" spans="1:18">
      <c r="A873" s="4528"/>
      <c r="P873" s="4528"/>
      <c r="Q873" s="4528"/>
      <c r="R873" s="4528"/>
    </row>
    <row r="874" spans="1:18">
      <c r="A874" s="4528"/>
      <c r="P874" s="4528"/>
      <c r="Q874" s="4528"/>
      <c r="R874" s="4528"/>
    </row>
    <row r="875" spans="1:18">
      <c r="A875" s="4528"/>
      <c r="P875" s="4528"/>
      <c r="Q875" s="4528"/>
      <c r="R875" s="4528"/>
    </row>
    <row r="876" spans="1:18">
      <c r="A876" s="4528"/>
      <c r="P876" s="4528"/>
      <c r="Q876" s="4528"/>
      <c r="R876" s="4528"/>
    </row>
    <row r="877" spans="1:18">
      <c r="A877" s="4528"/>
      <c r="P877" s="4528"/>
      <c r="Q877" s="4528"/>
      <c r="R877" s="4528"/>
    </row>
    <row r="878" spans="1:18">
      <c r="A878" s="4528"/>
      <c r="P878" s="4528"/>
      <c r="Q878" s="4528"/>
      <c r="R878" s="4528"/>
    </row>
    <row r="879" spans="1:18">
      <c r="A879" s="4528"/>
      <c r="P879" s="4528"/>
      <c r="Q879" s="4528"/>
      <c r="R879" s="4528"/>
    </row>
    <row r="880" spans="1:18">
      <c r="A880" s="4528"/>
      <c r="P880" s="4528"/>
      <c r="Q880" s="4528"/>
      <c r="R880" s="4528"/>
    </row>
    <row r="881" spans="1:18">
      <c r="A881" s="4528"/>
      <c r="P881" s="4528"/>
      <c r="Q881" s="4528"/>
      <c r="R881" s="4528"/>
    </row>
    <row r="882" spans="1:18">
      <c r="A882" s="4528"/>
      <c r="P882" s="4528"/>
      <c r="Q882" s="4528"/>
      <c r="R882" s="4528"/>
    </row>
    <row r="883" spans="1:18">
      <c r="A883" s="4528"/>
      <c r="P883" s="4528"/>
      <c r="Q883" s="4528"/>
      <c r="R883" s="4528"/>
    </row>
    <row r="884" spans="1:18">
      <c r="A884" s="4528"/>
      <c r="P884" s="4528"/>
      <c r="Q884" s="4528"/>
      <c r="R884" s="4528"/>
    </row>
    <row r="885" spans="1:18">
      <c r="A885" s="4528"/>
      <c r="P885" s="4528"/>
      <c r="Q885" s="4528"/>
      <c r="R885" s="4528"/>
    </row>
    <row r="886" spans="1:18">
      <c r="A886" s="4528"/>
      <c r="P886" s="4528"/>
      <c r="Q886" s="4528"/>
      <c r="R886" s="4528"/>
    </row>
    <row r="887" spans="1:18">
      <c r="A887" s="4528"/>
      <c r="P887" s="4528"/>
      <c r="Q887" s="4528"/>
      <c r="R887" s="4528"/>
    </row>
    <row r="888" spans="1:18">
      <c r="A888" s="4528"/>
      <c r="P888" s="4528"/>
      <c r="Q888" s="4528"/>
      <c r="R888" s="4528"/>
    </row>
    <row r="889" spans="1:18">
      <c r="A889" s="4528"/>
      <c r="P889" s="4528"/>
      <c r="Q889" s="4528"/>
      <c r="R889" s="4528"/>
    </row>
    <row r="890" spans="1:18">
      <c r="A890" s="4528"/>
      <c r="P890" s="4528"/>
      <c r="Q890" s="4528"/>
      <c r="R890" s="4528"/>
    </row>
    <row r="891" spans="1:18">
      <c r="A891" s="4528"/>
      <c r="P891" s="4528"/>
      <c r="Q891" s="4528"/>
      <c r="R891" s="4528"/>
    </row>
    <row r="892" spans="1:18">
      <c r="A892" s="4528"/>
      <c r="P892" s="4528"/>
      <c r="Q892" s="4528"/>
      <c r="R892" s="4528"/>
    </row>
    <row r="893" spans="1:18">
      <c r="A893" s="4528"/>
      <c r="P893" s="4528"/>
      <c r="Q893" s="4528"/>
      <c r="R893" s="4528"/>
    </row>
    <row r="894" spans="1:18">
      <c r="A894" s="4528"/>
      <c r="P894" s="4528"/>
      <c r="Q894" s="4528"/>
      <c r="R894" s="4528"/>
    </row>
    <row r="895" spans="1:18">
      <c r="A895" s="4528"/>
      <c r="P895" s="4528"/>
      <c r="Q895" s="4528"/>
      <c r="R895" s="4528"/>
    </row>
    <row r="896" spans="1:18">
      <c r="A896" s="4528"/>
      <c r="P896" s="4528"/>
      <c r="Q896" s="4528"/>
      <c r="R896" s="4528"/>
    </row>
    <row r="897" spans="1:18">
      <c r="A897" s="4528"/>
      <c r="P897" s="4528"/>
      <c r="Q897" s="4528"/>
      <c r="R897" s="4528"/>
    </row>
    <row r="898" spans="1:18">
      <c r="A898" s="4528"/>
      <c r="P898" s="4528"/>
      <c r="Q898" s="4528"/>
      <c r="R898" s="4528"/>
    </row>
    <row r="899" spans="1:18">
      <c r="A899" s="4528"/>
      <c r="P899" s="4528"/>
      <c r="Q899" s="4528"/>
      <c r="R899" s="4528"/>
    </row>
    <row r="900" spans="1:18">
      <c r="A900" s="4528"/>
      <c r="P900" s="4528"/>
      <c r="Q900" s="4528"/>
      <c r="R900" s="4528"/>
    </row>
    <row r="901" spans="1:18">
      <c r="A901" s="4528"/>
      <c r="P901" s="4528"/>
      <c r="Q901" s="4528"/>
      <c r="R901" s="4528"/>
    </row>
    <row r="902" spans="1:18">
      <c r="A902" s="4528"/>
      <c r="P902" s="4528"/>
      <c r="Q902" s="4528"/>
      <c r="R902" s="4528"/>
    </row>
    <row r="903" spans="1:18">
      <c r="A903" s="4528"/>
      <c r="P903" s="4528"/>
      <c r="Q903" s="4528"/>
      <c r="R903" s="4528"/>
    </row>
    <row r="904" spans="1:18">
      <c r="A904" s="4528"/>
      <c r="P904" s="4528"/>
      <c r="Q904" s="4528"/>
      <c r="R904" s="4528"/>
    </row>
    <row r="905" spans="1:18">
      <c r="A905" s="4528"/>
      <c r="P905" s="4528"/>
      <c r="Q905" s="4528"/>
      <c r="R905" s="4528"/>
    </row>
    <row r="906" spans="1:18">
      <c r="A906" s="4528"/>
      <c r="P906" s="4528"/>
      <c r="Q906" s="4528"/>
      <c r="R906" s="4528"/>
    </row>
    <row r="907" spans="1:18">
      <c r="A907" s="4528"/>
      <c r="P907" s="4528"/>
      <c r="Q907" s="4528"/>
      <c r="R907" s="4528"/>
    </row>
    <row r="908" spans="1:18">
      <c r="A908" s="4528"/>
      <c r="P908" s="4528"/>
      <c r="Q908" s="4528"/>
      <c r="R908" s="4528"/>
    </row>
    <row r="909" spans="1:18">
      <c r="A909" s="4528"/>
      <c r="P909" s="4528"/>
      <c r="Q909" s="4528"/>
      <c r="R909" s="4528"/>
    </row>
    <row r="910" spans="1:18">
      <c r="A910" s="4528"/>
      <c r="P910" s="4528"/>
      <c r="Q910" s="4528"/>
      <c r="R910" s="4528"/>
    </row>
    <row r="911" spans="1:18">
      <c r="A911" s="4528"/>
      <c r="P911" s="4528"/>
      <c r="Q911" s="4528"/>
      <c r="R911" s="4528"/>
    </row>
    <row r="912" spans="1:18">
      <c r="A912" s="4528"/>
      <c r="P912" s="4528"/>
      <c r="Q912" s="4528"/>
      <c r="R912" s="4528"/>
    </row>
    <row r="913" spans="1:18">
      <c r="A913" s="4528"/>
      <c r="P913" s="4528"/>
      <c r="Q913" s="4528"/>
      <c r="R913" s="4528"/>
    </row>
    <row r="914" spans="1:18">
      <c r="A914" s="4528"/>
      <c r="P914" s="4528"/>
      <c r="Q914" s="4528"/>
      <c r="R914" s="4528"/>
    </row>
    <row r="915" spans="1:18">
      <c r="A915" s="4528"/>
      <c r="P915" s="4528"/>
      <c r="Q915" s="4528"/>
      <c r="R915" s="4528"/>
    </row>
    <row r="916" spans="1:18">
      <c r="A916" s="4528"/>
      <c r="P916" s="4528"/>
      <c r="Q916" s="4528"/>
      <c r="R916" s="4528"/>
    </row>
    <row r="917" spans="1:18">
      <c r="A917" s="4528"/>
      <c r="P917" s="4528"/>
      <c r="Q917" s="4528"/>
      <c r="R917" s="4528"/>
    </row>
    <row r="918" spans="1:18">
      <c r="A918" s="4528"/>
      <c r="P918" s="4528"/>
      <c r="Q918" s="4528"/>
      <c r="R918" s="4528"/>
    </row>
    <row r="919" spans="1:18">
      <c r="A919" s="4528"/>
      <c r="P919" s="4528"/>
      <c r="Q919" s="4528"/>
      <c r="R919" s="4528"/>
    </row>
    <row r="920" spans="1:18">
      <c r="A920" s="4528"/>
      <c r="P920" s="4528"/>
      <c r="Q920" s="4528"/>
      <c r="R920" s="4528"/>
    </row>
    <row r="921" spans="1:18">
      <c r="A921" s="4528"/>
      <c r="P921" s="4528"/>
      <c r="Q921" s="4528"/>
      <c r="R921" s="4528"/>
    </row>
    <row r="922" spans="1:18">
      <c r="A922" s="4528"/>
      <c r="P922" s="4528"/>
      <c r="Q922" s="4528"/>
      <c r="R922" s="4528"/>
    </row>
    <row r="923" spans="1:18">
      <c r="A923" s="4528"/>
      <c r="P923" s="4528"/>
      <c r="Q923" s="4528"/>
      <c r="R923" s="4528"/>
    </row>
    <row r="924" spans="1:18">
      <c r="A924" s="4528"/>
      <c r="P924" s="4528"/>
      <c r="Q924" s="4528"/>
      <c r="R924" s="4528"/>
    </row>
    <row r="925" spans="1:18">
      <c r="A925" s="4528"/>
      <c r="P925" s="4528"/>
      <c r="Q925" s="4528"/>
      <c r="R925" s="4528"/>
    </row>
    <row r="926" spans="1:18">
      <c r="A926" s="4528"/>
      <c r="P926" s="4528"/>
      <c r="Q926" s="4528"/>
      <c r="R926" s="4528"/>
    </row>
    <row r="927" spans="1:18">
      <c r="A927" s="4528"/>
      <c r="P927" s="4528"/>
      <c r="Q927" s="4528"/>
      <c r="R927" s="4528"/>
    </row>
    <row r="928" spans="1:18">
      <c r="A928" s="4528"/>
      <c r="P928" s="4528"/>
      <c r="Q928" s="4528"/>
      <c r="R928" s="4528"/>
    </row>
    <row r="929" spans="1:18">
      <c r="A929" s="4528"/>
      <c r="P929" s="4528"/>
      <c r="Q929" s="4528"/>
      <c r="R929" s="4528"/>
    </row>
    <row r="930" spans="1:18">
      <c r="A930" s="4528"/>
      <c r="P930" s="4528"/>
      <c r="Q930" s="4528"/>
      <c r="R930" s="4528"/>
    </row>
    <row r="931" spans="1:18">
      <c r="A931" s="4528"/>
      <c r="P931" s="4528"/>
      <c r="Q931" s="4528"/>
      <c r="R931" s="4528"/>
    </row>
    <row r="932" spans="1:18">
      <c r="A932" s="4528"/>
      <c r="P932" s="4528"/>
      <c r="Q932" s="4528"/>
      <c r="R932" s="4528"/>
    </row>
    <row r="933" spans="1:18">
      <c r="A933" s="4528"/>
      <c r="P933" s="4528"/>
      <c r="Q933" s="4528"/>
      <c r="R933" s="4528"/>
    </row>
    <row r="934" spans="1:18">
      <c r="A934" s="4528"/>
      <c r="P934" s="4528"/>
      <c r="Q934" s="4528"/>
      <c r="R934" s="4528"/>
    </row>
    <row r="935" spans="1:18">
      <c r="A935" s="4528"/>
      <c r="P935" s="4528"/>
      <c r="Q935" s="4528"/>
      <c r="R935" s="4528"/>
    </row>
    <row r="936" spans="1:18">
      <c r="A936" s="4528"/>
      <c r="P936" s="4528"/>
      <c r="Q936" s="4528"/>
      <c r="R936" s="4528"/>
    </row>
    <row r="937" spans="1:18">
      <c r="A937" s="4528"/>
      <c r="P937" s="4528"/>
      <c r="Q937" s="4528"/>
      <c r="R937" s="4528"/>
    </row>
    <row r="938" spans="1:18">
      <c r="A938" s="4528"/>
      <c r="P938" s="4528"/>
      <c r="Q938" s="4528"/>
      <c r="R938" s="4528"/>
    </row>
    <row r="939" spans="1:18">
      <c r="A939" s="4528"/>
      <c r="P939" s="4528"/>
      <c r="Q939" s="4528"/>
      <c r="R939" s="4528"/>
    </row>
    <row r="940" spans="1:18">
      <c r="A940" s="4528"/>
      <c r="P940" s="4528"/>
      <c r="Q940" s="4528"/>
      <c r="R940" s="4528"/>
    </row>
    <row r="941" spans="1:18">
      <c r="A941" s="4528"/>
      <c r="P941" s="4528"/>
      <c r="Q941" s="4528"/>
      <c r="R941" s="4528"/>
    </row>
    <row r="942" spans="1:18">
      <c r="A942" s="4528"/>
      <c r="P942" s="4528"/>
      <c r="Q942" s="4528"/>
      <c r="R942" s="4528"/>
    </row>
    <row r="943" spans="1:18">
      <c r="A943" s="4528"/>
      <c r="P943" s="4528"/>
      <c r="Q943" s="4528"/>
      <c r="R943" s="4528"/>
    </row>
    <row r="944" spans="1:18">
      <c r="A944" s="4528"/>
      <c r="P944" s="4528"/>
      <c r="Q944" s="4528"/>
      <c r="R944" s="4528"/>
    </row>
    <row r="945" spans="1:18">
      <c r="A945" s="4528"/>
      <c r="P945" s="4528"/>
      <c r="Q945" s="4528"/>
      <c r="R945" s="4528"/>
    </row>
    <row r="946" spans="1:18">
      <c r="A946" s="4528"/>
      <c r="P946" s="4528"/>
      <c r="Q946" s="4528"/>
      <c r="R946" s="4528"/>
    </row>
    <row r="947" spans="1:18">
      <c r="A947" s="4528"/>
      <c r="P947" s="4528"/>
      <c r="Q947" s="4528"/>
      <c r="R947" s="4528"/>
    </row>
    <row r="948" spans="1:18">
      <c r="A948" s="4528"/>
      <c r="P948" s="4528"/>
      <c r="Q948" s="4528"/>
      <c r="R948" s="4528"/>
    </row>
    <row r="949" spans="1:18">
      <c r="A949" s="4528"/>
      <c r="P949" s="4528"/>
      <c r="Q949" s="4528"/>
      <c r="R949" s="4528"/>
    </row>
    <row r="950" spans="1:18">
      <c r="A950" s="4528"/>
      <c r="P950" s="4528"/>
      <c r="Q950" s="4528"/>
      <c r="R950" s="4528"/>
    </row>
    <row r="951" spans="1:18">
      <c r="A951" s="4528"/>
      <c r="P951" s="4528"/>
      <c r="Q951" s="4528"/>
      <c r="R951" s="4528"/>
    </row>
    <row r="952" spans="1:18">
      <c r="A952" s="4528"/>
      <c r="P952" s="4528"/>
      <c r="Q952" s="4528"/>
      <c r="R952" s="4528"/>
    </row>
    <row r="953" spans="1:18">
      <c r="A953" s="4528"/>
      <c r="P953" s="4528"/>
      <c r="Q953" s="4528"/>
      <c r="R953" s="4528"/>
    </row>
    <row r="954" spans="1:18">
      <c r="A954" s="4528"/>
      <c r="P954" s="4528"/>
      <c r="Q954" s="4528"/>
      <c r="R954" s="4528"/>
    </row>
    <row r="955" spans="1:18">
      <c r="A955" s="4528"/>
      <c r="P955" s="4528"/>
      <c r="Q955" s="4528"/>
      <c r="R955" s="4528"/>
    </row>
    <row r="956" spans="1:18">
      <c r="A956" s="4528"/>
      <c r="P956" s="4528"/>
      <c r="Q956" s="4528"/>
      <c r="R956" s="4528"/>
    </row>
    <row r="957" spans="1:18">
      <c r="A957" s="4528"/>
      <c r="P957" s="4528"/>
      <c r="Q957" s="4528"/>
      <c r="R957" s="4528"/>
    </row>
    <row r="958" spans="1:18">
      <c r="A958" s="4528"/>
      <c r="P958" s="4528"/>
      <c r="Q958" s="4528"/>
      <c r="R958" s="4528"/>
    </row>
    <row r="959" spans="1:18">
      <c r="A959" s="4528"/>
      <c r="P959" s="4528"/>
      <c r="Q959" s="4528"/>
      <c r="R959" s="4528"/>
    </row>
    <row r="960" spans="1:18">
      <c r="A960" s="4528"/>
      <c r="P960" s="4528"/>
      <c r="Q960" s="4528"/>
      <c r="R960" s="4528"/>
    </row>
    <row r="961" spans="1:18">
      <c r="A961" s="4528"/>
      <c r="P961" s="4528"/>
      <c r="Q961" s="4528"/>
      <c r="R961" s="4528"/>
    </row>
    <row r="962" spans="1:18">
      <c r="A962" s="4528"/>
      <c r="P962" s="4528"/>
      <c r="Q962" s="4528"/>
      <c r="R962" s="4528"/>
    </row>
    <row r="963" spans="1:18">
      <c r="A963" s="4528"/>
      <c r="P963" s="4528"/>
      <c r="Q963" s="4528"/>
      <c r="R963" s="4528"/>
    </row>
    <row r="964" spans="1:18">
      <c r="A964" s="4528"/>
      <c r="P964" s="4528"/>
      <c r="Q964" s="4528"/>
      <c r="R964" s="4528"/>
    </row>
    <row r="965" spans="1:18">
      <c r="A965" s="4528"/>
      <c r="P965" s="4528"/>
      <c r="Q965" s="4528"/>
      <c r="R965" s="4528"/>
    </row>
    <row r="966" spans="1:18">
      <c r="A966" s="4528"/>
      <c r="P966" s="4528"/>
      <c r="Q966" s="4528"/>
      <c r="R966" s="4528"/>
    </row>
    <row r="967" spans="1:18">
      <c r="A967" s="4528"/>
      <c r="P967" s="4528"/>
      <c r="Q967" s="4528"/>
      <c r="R967" s="4528"/>
    </row>
    <row r="968" spans="1:18">
      <c r="A968" s="4528"/>
      <c r="P968" s="4528"/>
      <c r="Q968" s="4528"/>
      <c r="R968" s="4528"/>
    </row>
    <row r="969" spans="1:18">
      <c r="A969" s="4528"/>
      <c r="P969" s="4528"/>
      <c r="Q969" s="4528"/>
      <c r="R969" s="4528"/>
    </row>
    <row r="970" spans="1:18">
      <c r="A970" s="4528"/>
      <c r="P970" s="4528"/>
      <c r="Q970" s="4528"/>
      <c r="R970" s="4528"/>
    </row>
    <row r="971" spans="1:18">
      <c r="A971" s="4528"/>
      <c r="P971" s="4528"/>
      <c r="Q971" s="4528"/>
      <c r="R971" s="4528"/>
    </row>
    <row r="972" spans="1:18">
      <c r="A972" s="4528"/>
      <c r="P972" s="4528"/>
      <c r="Q972" s="4528"/>
      <c r="R972" s="4528"/>
    </row>
    <row r="973" spans="1:18">
      <c r="A973" s="4528"/>
      <c r="P973" s="4528"/>
      <c r="Q973" s="4528"/>
      <c r="R973" s="4528"/>
    </row>
    <row r="974" spans="1:18">
      <c r="A974" s="4528"/>
      <c r="P974" s="4528"/>
      <c r="Q974" s="4528"/>
      <c r="R974" s="4528"/>
    </row>
    <row r="975" spans="1:18">
      <c r="A975" s="4528"/>
      <c r="P975" s="4528"/>
      <c r="Q975" s="4528"/>
      <c r="R975" s="4528"/>
    </row>
    <row r="976" spans="1:18">
      <c r="A976" s="4528"/>
      <c r="P976" s="4528"/>
      <c r="Q976" s="4528"/>
      <c r="R976" s="4528"/>
    </row>
    <row r="977" spans="1:18">
      <c r="A977" s="4528"/>
      <c r="P977" s="4528"/>
      <c r="Q977" s="4528"/>
      <c r="R977" s="4528"/>
    </row>
    <row r="978" spans="1:18">
      <c r="A978" s="4528"/>
      <c r="P978" s="4528"/>
      <c r="Q978" s="4528"/>
      <c r="R978" s="4528"/>
    </row>
    <row r="979" spans="1:18">
      <c r="A979" s="4528"/>
      <c r="P979" s="4528"/>
      <c r="Q979" s="4528"/>
      <c r="R979" s="4528"/>
    </row>
    <row r="980" spans="1:18">
      <c r="A980" s="4528"/>
      <c r="P980" s="4528"/>
      <c r="Q980" s="4528"/>
      <c r="R980" s="4528"/>
    </row>
    <row r="981" spans="1:18">
      <c r="A981" s="4528"/>
      <c r="P981" s="4528"/>
      <c r="Q981" s="4528"/>
      <c r="R981" s="4528"/>
    </row>
    <row r="982" spans="1:18">
      <c r="A982" s="4528"/>
      <c r="P982" s="4528"/>
      <c r="Q982" s="4528"/>
      <c r="R982" s="4528"/>
    </row>
    <row r="983" spans="1:18">
      <c r="A983" s="4528"/>
      <c r="P983" s="4528"/>
      <c r="Q983" s="4528"/>
      <c r="R983" s="4528"/>
    </row>
    <row r="984" spans="1:18">
      <c r="A984" s="4528"/>
      <c r="P984" s="4528"/>
      <c r="Q984" s="4528"/>
      <c r="R984" s="4528"/>
    </row>
    <row r="985" spans="1:18">
      <c r="A985" s="4528"/>
      <c r="P985" s="4528"/>
      <c r="Q985" s="4528"/>
      <c r="R985" s="4528"/>
    </row>
    <row r="986" spans="1:18">
      <c r="A986" s="4528"/>
      <c r="P986" s="4528"/>
      <c r="Q986" s="4528"/>
      <c r="R986" s="4528"/>
    </row>
    <row r="987" spans="1:18">
      <c r="A987" s="4528"/>
      <c r="P987" s="4528"/>
      <c r="Q987" s="4528"/>
      <c r="R987" s="4528"/>
    </row>
    <row r="988" spans="1:18">
      <c r="A988" s="4528"/>
      <c r="P988" s="4528"/>
      <c r="Q988" s="4528"/>
      <c r="R988" s="4528"/>
    </row>
    <row r="989" spans="1:18">
      <c r="A989" s="4528"/>
      <c r="P989" s="4528"/>
      <c r="Q989" s="4528"/>
      <c r="R989" s="4528"/>
    </row>
    <row r="990" spans="1:18">
      <c r="A990" s="4528"/>
      <c r="P990" s="4528"/>
      <c r="Q990" s="4528"/>
      <c r="R990" s="4528"/>
    </row>
    <row r="991" spans="1:18">
      <c r="A991" s="4528"/>
      <c r="P991" s="4528"/>
      <c r="Q991" s="4528"/>
      <c r="R991" s="4528"/>
    </row>
    <row r="992" spans="1:18">
      <c r="A992" s="4528"/>
      <c r="P992" s="4528"/>
      <c r="Q992" s="4528"/>
      <c r="R992" s="4528"/>
    </row>
    <row r="993" spans="1:18">
      <c r="A993" s="4528"/>
      <c r="P993" s="4528"/>
      <c r="Q993" s="4528"/>
      <c r="R993" s="4528"/>
    </row>
    <row r="994" spans="1:18">
      <c r="A994" s="4528"/>
      <c r="P994" s="4528"/>
      <c r="Q994" s="4528"/>
      <c r="R994" s="4528"/>
    </row>
    <row r="995" spans="1:18">
      <c r="A995" s="4528"/>
      <c r="P995" s="4528"/>
      <c r="Q995" s="4528"/>
      <c r="R995" s="4528"/>
    </row>
    <row r="996" spans="1:18">
      <c r="A996" s="4528"/>
      <c r="P996" s="4528"/>
      <c r="Q996" s="4528"/>
      <c r="R996" s="4528"/>
    </row>
    <row r="997" spans="1:18">
      <c r="A997" s="4528"/>
      <c r="P997" s="4528"/>
      <c r="Q997" s="4528"/>
      <c r="R997" s="4528"/>
    </row>
    <row r="998" spans="1:18">
      <c r="A998" s="4528"/>
      <c r="P998" s="4528"/>
      <c r="Q998" s="4528"/>
      <c r="R998" s="4528"/>
    </row>
    <row r="999" spans="1:18">
      <c r="A999" s="4528"/>
      <c r="P999" s="4528"/>
      <c r="Q999" s="4528"/>
      <c r="R999" s="4528"/>
    </row>
    <row r="1000" spans="1:18">
      <c r="A1000" s="4528"/>
      <c r="P1000" s="4528"/>
      <c r="Q1000" s="4528"/>
      <c r="R1000" s="4528"/>
    </row>
    <row r="1001" spans="1:18">
      <c r="A1001" s="4528"/>
      <c r="P1001" s="4528"/>
      <c r="Q1001" s="4528"/>
      <c r="R1001" s="4528"/>
    </row>
    <row r="1002" spans="1:18">
      <c r="A1002" s="4528"/>
      <c r="P1002" s="4528"/>
      <c r="Q1002" s="4528"/>
      <c r="R1002" s="4528"/>
    </row>
    <row r="1003" spans="1:18">
      <c r="A1003" s="4528"/>
      <c r="P1003" s="4528"/>
      <c r="Q1003" s="4528"/>
      <c r="R1003" s="4528"/>
    </row>
    <row r="1004" spans="1:18">
      <c r="A1004" s="4528"/>
      <c r="P1004" s="4528"/>
      <c r="Q1004" s="4528"/>
      <c r="R1004" s="4528"/>
    </row>
    <row r="1005" spans="1:18">
      <c r="A1005" s="4528"/>
      <c r="P1005" s="4528"/>
      <c r="Q1005" s="4528"/>
      <c r="R1005" s="4528"/>
    </row>
    <row r="1006" spans="1:18">
      <c r="A1006" s="4528"/>
      <c r="P1006" s="4528"/>
      <c r="Q1006" s="4528"/>
      <c r="R1006" s="4528"/>
    </row>
    <row r="1007" spans="1:18">
      <c r="A1007" s="4528"/>
      <c r="P1007" s="4528"/>
      <c r="Q1007" s="4528"/>
      <c r="R1007" s="4528"/>
    </row>
    <row r="1008" spans="1:18">
      <c r="A1008" s="4528"/>
      <c r="P1008" s="4528"/>
      <c r="Q1008" s="4528"/>
      <c r="R1008" s="4528"/>
    </row>
    <row r="1009" spans="1:18">
      <c r="A1009" s="4528"/>
      <c r="P1009" s="4528"/>
      <c r="Q1009" s="4528"/>
      <c r="R1009" s="4528"/>
    </row>
    <row r="1010" spans="1:18">
      <c r="A1010" s="4528"/>
      <c r="P1010" s="4528"/>
      <c r="Q1010" s="4528"/>
      <c r="R1010" s="4528"/>
    </row>
    <row r="1011" spans="1:18">
      <c r="A1011" s="4528"/>
      <c r="P1011" s="4528"/>
      <c r="Q1011" s="4528"/>
      <c r="R1011" s="4528"/>
    </row>
    <row r="1012" spans="1:18">
      <c r="A1012" s="4528"/>
      <c r="P1012" s="4528"/>
      <c r="Q1012" s="4528"/>
      <c r="R1012" s="4528"/>
    </row>
  </sheetData>
  <mergeCells count="52">
    <mergeCell ref="A13:B13"/>
    <mergeCell ref="A14:B14"/>
    <mergeCell ref="A12:B12"/>
    <mergeCell ref="A7:B7"/>
    <mergeCell ref="A8:B8"/>
    <mergeCell ref="A10:B10"/>
    <mergeCell ref="A11:B11"/>
    <mergeCell ref="A21:B21"/>
    <mergeCell ref="A22:B22"/>
    <mergeCell ref="A25:B25"/>
    <mergeCell ref="A16:B16"/>
    <mergeCell ref="A17:B17"/>
    <mergeCell ref="A18:B18"/>
    <mergeCell ref="A19:B19"/>
    <mergeCell ref="A20:B20"/>
    <mergeCell ref="A26:B26"/>
    <mergeCell ref="A23:B23"/>
    <mergeCell ref="A24:B24"/>
    <mergeCell ref="A42:B42"/>
    <mergeCell ref="A43:B43"/>
    <mergeCell ref="A27:B27"/>
    <mergeCell ref="A38:B38"/>
    <mergeCell ref="A39:B39"/>
    <mergeCell ref="A46:B46"/>
    <mergeCell ref="A28:B28"/>
    <mergeCell ref="A29:B29"/>
    <mergeCell ref="A30:B30"/>
    <mergeCell ref="A31:B31"/>
    <mergeCell ref="A32:B32"/>
    <mergeCell ref="A33:B33"/>
    <mergeCell ref="A34:B34"/>
    <mergeCell ref="A35:B35"/>
    <mergeCell ref="A40:B40"/>
    <mergeCell ref="A41:B41"/>
    <mergeCell ref="A45:B45"/>
    <mergeCell ref="A36:B36"/>
    <mergeCell ref="A37:B37"/>
    <mergeCell ref="A1:M1"/>
    <mergeCell ref="A3:B5"/>
    <mergeCell ref="K3:K5"/>
    <mergeCell ref="M3:M5"/>
    <mergeCell ref="A6:B6"/>
    <mergeCell ref="C3:C4"/>
    <mergeCell ref="E3:J3"/>
    <mergeCell ref="I4:I5"/>
    <mergeCell ref="J4:J5"/>
    <mergeCell ref="D3:D5"/>
    <mergeCell ref="E4:E5"/>
    <mergeCell ref="F4:F5"/>
    <mergeCell ref="G4:G5"/>
    <mergeCell ref="H4:H5"/>
    <mergeCell ref="L3:L5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6600"/>
  </sheetPr>
  <dimension ref="A1:V656"/>
  <sheetViews>
    <sheetView view="pageBreakPreview" topLeftCell="A4" zoomScale="104" zoomScaleSheetLayoutView="104" workbookViewId="0">
      <pane xSplit="2" ySplit="5" topLeftCell="C478" activePane="bottomRight" state="frozen"/>
      <selection activeCell="A4" sqref="A4"/>
      <selection pane="topRight" activeCell="C4" sqref="C4"/>
      <selection pane="bottomLeft" activeCell="A9" sqref="A9"/>
      <selection pane="bottomRight" activeCell="A4" sqref="A1:XFD1048576"/>
    </sheetView>
  </sheetViews>
  <sheetFormatPr defaultColWidth="9.140625" defaultRowHeight="12.75"/>
  <cols>
    <col min="1" max="1" width="8.140625" style="4627" customWidth="1"/>
    <col min="2" max="2" width="59" style="4626" customWidth="1"/>
    <col min="3" max="3" width="34" style="4626" customWidth="1"/>
    <col min="4" max="4" width="10.140625" style="4626" customWidth="1"/>
    <col min="5" max="5" width="14.85546875" style="4626" hidden="1" customWidth="1"/>
    <col min="6" max="6" width="14.42578125" style="4626" hidden="1" customWidth="1"/>
    <col min="7" max="7" width="12.5703125" style="4626" hidden="1" customWidth="1"/>
    <col min="8" max="8" width="14" style="4626" customWidth="1"/>
    <col min="9" max="9" width="13.7109375" style="4626" customWidth="1"/>
    <col min="10" max="10" width="12.42578125" style="4626" customWidth="1"/>
    <col min="11" max="11" width="12.140625" style="4626" customWidth="1"/>
    <col min="12" max="12" width="12.42578125" style="4626" customWidth="1"/>
    <col min="13" max="13" width="12.7109375" style="4626" customWidth="1"/>
    <col min="14" max="21" width="11.5703125" style="4626" customWidth="1"/>
    <col min="22" max="22" width="12.5703125" style="4626" customWidth="1"/>
    <col min="23" max="24" width="1.42578125" style="4626" customWidth="1"/>
    <col min="25" max="25" width="9.7109375" style="4626" bestFit="1" customWidth="1"/>
    <col min="26" max="16384" width="9.140625" style="4626"/>
  </cols>
  <sheetData>
    <row r="1" spans="1:22" ht="47.25" customHeight="1">
      <c r="A1" s="4624" t="s">
        <v>327</v>
      </c>
      <c r="B1" s="4625"/>
      <c r="C1" s="4625"/>
      <c r="D1" s="4625"/>
      <c r="E1" s="4625"/>
      <c r="F1" s="4625"/>
      <c r="G1" s="4625"/>
      <c r="H1" s="4625"/>
      <c r="I1" s="4625"/>
      <c r="J1" s="4625"/>
      <c r="K1" s="4625"/>
      <c r="L1" s="4625"/>
      <c r="M1" s="4625"/>
      <c r="N1" s="4625"/>
      <c r="O1" s="4625"/>
      <c r="P1" s="4625"/>
      <c r="Q1" s="4625"/>
      <c r="R1" s="4625"/>
      <c r="S1" s="4625"/>
      <c r="T1" s="4625"/>
      <c r="U1" s="4625"/>
      <c r="V1" s="4625"/>
    </row>
    <row r="2" spans="1:22" ht="7.5" customHeight="1"/>
    <row r="3" spans="1:22" ht="27" customHeight="1" thickBot="1">
      <c r="A3" s="4628" t="s">
        <v>191</v>
      </c>
      <c r="B3" s="4629"/>
      <c r="C3" s="4629"/>
      <c r="D3" s="4629"/>
      <c r="E3" s="4629"/>
      <c r="F3" s="4629"/>
      <c r="G3" s="4629"/>
      <c r="H3" s="4629"/>
      <c r="I3" s="4629"/>
      <c r="J3" s="4629"/>
      <c r="K3" s="4629"/>
      <c r="L3" s="4629"/>
      <c r="M3" s="4629"/>
      <c r="N3" s="4629"/>
      <c r="O3" s="4629"/>
      <c r="P3" s="4629"/>
      <c r="Q3" s="4629"/>
      <c r="R3" s="4629"/>
      <c r="S3" s="4629"/>
      <c r="T3" s="4629"/>
      <c r="U3" s="4629"/>
      <c r="V3" s="4629"/>
    </row>
    <row r="4" spans="1:22" ht="17.25" customHeight="1">
      <c r="A4" s="4630" t="s">
        <v>323</v>
      </c>
      <c r="B4" s="4631" t="s">
        <v>67</v>
      </c>
      <c r="C4" s="4632" t="s">
        <v>193</v>
      </c>
      <c r="D4" s="4633" t="s">
        <v>192</v>
      </c>
      <c r="E4" s="4288" t="s">
        <v>194</v>
      </c>
      <c r="F4" s="4634" t="s">
        <v>502</v>
      </c>
      <c r="G4" s="4635" t="s">
        <v>754</v>
      </c>
      <c r="H4" s="4636" t="s">
        <v>755</v>
      </c>
      <c r="I4" s="4637"/>
      <c r="J4" s="4637"/>
      <c r="K4" s="4637"/>
      <c r="L4" s="4637"/>
      <c r="M4" s="4637"/>
      <c r="N4" s="4638"/>
      <c r="O4" s="4638"/>
      <c r="P4" s="4638"/>
      <c r="Q4" s="4638"/>
      <c r="R4" s="4638"/>
      <c r="S4" s="4638"/>
      <c r="T4" s="4638"/>
      <c r="U4" s="4638"/>
      <c r="V4" s="4639"/>
    </row>
    <row r="5" spans="1:22" ht="28.5" customHeight="1">
      <c r="A5" s="4640"/>
      <c r="B5" s="4641"/>
      <c r="C5" s="4642"/>
      <c r="D5" s="4643"/>
      <c r="E5" s="4644"/>
      <c r="F5" s="4645"/>
      <c r="G5" s="4646"/>
      <c r="H5" s="4647"/>
      <c r="I5" s="4648"/>
      <c r="J5" s="4648"/>
      <c r="K5" s="4648"/>
      <c r="L5" s="4648"/>
      <c r="M5" s="4648"/>
      <c r="N5" s="4649"/>
      <c r="O5" s="4649"/>
      <c r="P5" s="4649"/>
      <c r="Q5" s="4649"/>
      <c r="R5" s="4649"/>
      <c r="S5" s="4649"/>
      <c r="T5" s="4649"/>
      <c r="U5" s="4649"/>
      <c r="V5" s="4650"/>
    </row>
    <row r="6" spans="1:22" ht="13.5" thickBot="1">
      <c r="A6" s="4640"/>
      <c r="B6" s="4641"/>
      <c r="C6" s="4642"/>
      <c r="D6" s="4643"/>
      <c r="E6" s="4644"/>
      <c r="F6" s="4645"/>
      <c r="G6" s="4646"/>
      <c r="H6" s="4651"/>
      <c r="I6" s="4652"/>
      <c r="J6" s="4652"/>
      <c r="K6" s="4652"/>
      <c r="L6" s="4652"/>
      <c r="M6" s="4652"/>
      <c r="N6" s="4653"/>
      <c r="O6" s="4653"/>
      <c r="P6" s="4653"/>
      <c r="Q6" s="4653"/>
      <c r="R6" s="4653"/>
      <c r="S6" s="4653"/>
      <c r="T6" s="4653"/>
      <c r="U6" s="4653"/>
      <c r="V6" s="4654"/>
    </row>
    <row r="7" spans="1:22" ht="22.5" customHeight="1" thickBot="1">
      <c r="A7" s="4655"/>
      <c r="B7" s="4656"/>
      <c r="C7" s="4657"/>
      <c r="D7" s="4658"/>
      <c r="E7" s="4659"/>
      <c r="F7" s="4660"/>
      <c r="G7" s="4661"/>
      <c r="H7" s="4662">
        <v>2018</v>
      </c>
      <c r="I7" s="4663">
        <v>2019</v>
      </c>
      <c r="J7" s="4664">
        <v>2020</v>
      </c>
      <c r="K7" s="4664">
        <v>2021</v>
      </c>
      <c r="L7" s="4664">
        <v>2022</v>
      </c>
      <c r="M7" s="4663">
        <v>2023</v>
      </c>
      <c r="N7" s="4664">
        <v>2024</v>
      </c>
      <c r="O7" s="4664">
        <v>2025</v>
      </c>
      <c r="P7" s="4664">
        <v>2026</v>
      </c>
      <c r="Q7" s="4664">
        <v>2027</v>
      </c>
      <c r="R7" s="4665">
        <v>2028</v>
      </c>
      <c r="S7" s="4665">
        <v>2029</v>
      </c>
      <c r="T7" s="4665">
        <v>2030</v>
      </c>
      <c r="U7" s="4665">
        <v>2031</v>
      </c>
      <c r="V7" s="4665">
        <v>2032</v>
      </c>
    </row>
    <row r="8" spans="1:22" ht="13.5" customHeight="1" thickBot="1">
      <c r="A8" s="4666">
        <v>1</v>
      </c>
      <c r="B8" s="4667">
        <v>2</v>
      </c>
      <c r="C8" s="4668">
        <v>3</v>
      </c>
      <c r="D8" s="4669">
        <v>7</v>
      </c>
      <c r="E8" s="4669">
        <v>8</v>
      </c>
      <c r="F8" s="4669">
        <v>10</v>
      </c>
      <c r="G8" s="4670">
        <v>12</v>
      </c>
      <c r="H8" s="4670">
        <v>13</v>
      </c>
      <c r="I8" s="4670">
        <v>14</v>
      </c>
      <c r="J8" s="4669">
        <v>15</v>
      </c>
      <c r="K8" s="4669">
        <v>16</v>
      </c>
      <c r="L8" s="4669">
        <v>17</v>
      </c>
      <c r="M8" s="4669">
        <v>18</v>
      </c>
      <c r="N8" s="4670">
        <v>19</v>
      </c>
      <c r="O8" s="4670">
        <v>20</v>
      </c>
      <c r="P8" s="4670">
        <v>21</v>
      </c>
      <c r="Q8" s="4670">
        <v>22</v>
      </c>
      <c r="R8" s="4671">
        <v>23</v>
      </c>
      <c r="S8" s="4672"/>
      <c r="T8" s="4672"/>
      <c r="U8" s="4672"/>
      <c r="V8" s="4672"/>
    </row>
    <row r="9" spans="1:22" ht="52.5" customHeight="1" thickBot="1">
      <c r="A9" s="4673" t="s">
        <v>73</v>
      </c>
      <c r="B9" s="4674" t="s">
        <v>392</v>
      </c>
      <c r="C9" s="4675">
        <v>0</v>
      </c>
      <c r="D9" s="4676">
        <v>0</v>
      </c>
      <c r="E9" s="4677">
        <f t="shared" ref="E9:M9" si="0">E12+E208</f>
        <v>1387574470</v>
      </c>
      <c r="F9" s="4677">
        <f t="shared" si="0"/>
        <v>91668819</v>
      </c>
      <c r="G9" s="4677">
        <f t="shared" si="0"/>
        <v>268881255</v>
      </c>
      <c r="H9" s="4677">
        <f t="shared" si="0"/>
        <v>423924326</v>
      </c>
      <c r="I9" s="4677">
        <f t="shared" si="0"/>
        <v>235487636</v>
      </c>
      <c r="J9" s="4677">
        <f t="shared" si="0"/>
        <v>212123690</v>
      </c>
      <c r="K9" s="4677">
        <f t="shared" si="0"/>
        <v>80517730</v>
      </c>
      <c r="L9" s="4677">
        <f t="shared" si="0"/>
        <v>39006835</v>
      </c>
      <c r="M9" s="4677">
        <f t="shared" si="0"/>
        <v>35964179</v>
      </c>
      <c r="N9" s="4677"/>
      <c r="O9" s="4677"/>
      <c r="P9" s="4677"/>
      <c r="Q9" s="4677"/>
      <c r="R9" s="4678"/>
      <c r="S9" s="4678"/>
      <c r="T9" s="4678"/>
      <c r="U9" s="4678"/>
      <c r="V9" s="4678"/>
    </row>
    <row r="10" spans="1:22" s="4686" customFormat="1" ht="21.75" customHeight="1" thickBot="1">
      <c r="A10" s="4679"/>
      <c r="B10" s="4680" t="s">
        <v>483</v>
      </c>
      <c r="C10" s="4681"/>
      <c r="D10" s="4682"/>
      <c r="E10" s="4683"/>
      <c r="F10" s="4683"/>
      <c r="G10" s="4684"/>
      <c r="H10" s="4684"/>
      <c r="I10" s="4684"/>
      <c r="J10" s="4683"/>
      <c r="K10" s="4683"/>
      <c r="L10" s="4683"/>
      <c r="M10" s="4683"/>
      <c r="N10" s="4684"/>
      <c r="O10" s="4684"/>
      <c r="P10" s="4684"/>
      <c r="Q10" s="4684"/>
      <c r="R10" s="4685"/>
      <c r="S10" s="4685"/>
      <c r="T10" s="4685"/>
      <c r="U10" s="4685"/>
      <c r="V10" s="4685"/>
    </row>
    <row r="11" spans="1:22" ht="18.75" customHeight="1" thickBot="1">
      <c r="A11" s="4687" t="s">
        <v>386</v>
      </c>
      <c r="B11" s="4688" t="s">
        <v>388</v>
      </c>
      <c r="C11" s="4689" t="s">
        <v>382</v>
      </c>
      <c r="D11" s="4690"/>
      <c r="E11" s="4691">
        <f>E105+E20+E25+E30+E90+E35+E40+E45+E110+E115+E50+E55+E60+E65+E75+E80+E85+E95+E187+E192+E198+E100+E120+E125+E130+E135+E140+E145+E70+E150+E155+E160+E165+E170+E175+E180</f>
        <v>767998028</v>
      </c>
      <c r="F11" s="4691">
        <f>F105+F20+F25+F30+F90+F35+F40+F45+F110+F115+F50+F55+F60+F65+F75+F80+F85+F95+F187+F192+F198+F100+F120+F125+F130+F135+F140+F145+F70+F150+F155+F160+F165+F170+F175+F180</f>
        <v>13545740</v>
      </c>
      <c r="G11" s="4691">
        <f t="shared" ref="G11:M11" si="1">G105+G20+G25+G30+G90+G35+G40+G45+G110+G115+G50+G55+G60+G65+G75+G80+G85+G95+G187+G192+G198+G100+G120+G125+G130+G135+G140+G145+G70+G150+G155+G160+G165+G170+G175+G180</f>
        <v>178490609</v>
      </c>
      <c r="H11" s="4691">
        <f t="shared" si="1"/>
        <v>308203932</v>
      </c>
      <c r="I11" s="4691">
        <f t="shared" si="1"/>
        <v>118056499</v>
      </c>
      <c r="J11" s="4691">
        <f t="shared" si="1"/>
        <v>123136029</v>
      </c>
      <c r="K11" s="4691">
        <f t="shared" si="1"/>
        <v>26170719</v>
      </c>
      <c r="L11" s="4691">
        <f t="shared" si="1"/>
        <v>200000</v>
      </c>
      <c r="M11" s="4691">
        <f t="shared" si="1"/>
        <v>144500</v>
      </c>
      <c r="N11" s="4691"/>
      <c r="O11" s="4691"/>
      <c r="P11" s="4691"/>
      <c r="Q11" s="4691"/>
      <c r="R11" s="4692"/>
      <c r="S11" s="4693"/>
      <c r="T11" s="4693"/>
      <c r="U11" s="4693"/>
      <c r="V11" s="4693"/>
    </row>
    <row r="12" spans="1:22" ht="18.75" customHeight="1" thickBot="1">
      <c r="A12" s="4694" t="s">
        <v>385</v>
      </c>
      <c r="B12" s="4695" t="s">
        <v>361</v>
      </c>
      <c r="C12" s="4696"/>
      <c r="D12" s="4697"/>
      <c r="E12" s="4698">
        <f>E97+E67+E127+E147+E102+E22+E27+E87+E32+E37+E184+E189+E107+E195+E202+E17+E42+E112+E47+E52+E57+E62+E72+E77+E82+E92+E117+E122+E132+E137+E142+E152+E157+E162+E167+E172+E177</f>
        <v>963423496</v>
      </c>
      <c r="F12" s="4698">
        <f>F97+F67+F127+F147+F102+F22+F27+F87+F32+F37+F184+F189+F107+F195+F202+F17+F42+F112+F47+F52+F57+F62+F72+F77+F82+F92+F117+F122+F132+F137+F142+F152+F157+F162+F167+F172+F177</f>
        <v>45789063</v>
      </c>
      <c r="G12" s="4698">
        <f t="shared" ref="G12:M12" si="2">G97+G67+G127+G147+G102+G22+G27+G87+G32+G37+G184+G189+G107+G195+G202+G17+G42+G112+G47+G52+G57+G62+G72+G77+G82+G92+G117+G122+G132+G137+G142+G152+G157+G162+G167+G172+G177</f>
        <v>222529302</v>
      </c>
      <c r="H12" s="4698">
        <f t="shared" si="2"/>
        <v>354897223</v>
      </c>
      <c r="I12" s="4698">
        <f t="shared" si="2"/>
        <v>155016294</v>
      </c>
      <c r="J12" s="4698">
        <f t="shared" si="2"/>
        <v>147798660</v>
      </c>
      <c r="K12" s="4698">
        <f t="shared" si="2"/>
        <v>37048454</v>
      </c>
      <c r="L12" s="4698">
        <f t="shared" si="2"/>
        <v>200000</v>
      </c>
      <c r="M12" s="4698">
        <f t="shared" si="2"/>
        <v>144500</v>
      </c>
      <c r="N12" s="4698"/>
      <c r="O12" s="4698"/>
      <c r="P12" s="4698"/>
      <c r="Q12" s="4698"/>
      <c r="R12" s="4699"/>
      <c r="S12" s="4700"/>
      <c r="T12" s="4700"/>
      <c r="U12" s="4700"/>
      <c r="V12" s="4700"/>
    </row>
    <row r="13" spans="1:22" s="4708" customFormat="1" ht="11.25" customHeight="1">
      <c r="A13" s="4701"/>
      <c r="B13" s="4702" t="s">
        <v>381</v>
      </c>
      <c r="C13" s="4703">
        <f>E11-E14</f>
        <v>0</v>
      </c>
      <c r="D13" s="4704"/>
      <c r="E13" s="4705"/>
      <c r="F13" s="4705"/>
      <c r="G13" s="4705"/>
      <c r="H13" s="4705"/>
      <c r="I13" s="4705"/>
      <c r="J13" s="4705"/>
      <c r="K13" s="4705"/>
      <c r="L13" s="4705"/>
      <c r="M13" s="4705"/>
      <c r="N13" s="4705"/>
      <c r="O13" s="4705"/>
      <c r="P13" s="4705"/>
      <c r="Q13" s="4705"/>
      <c r="R13" s="4706"/>
      <c r="S13" s="4707"/>
      <c r="T13" s="4707"/>
      <c r="U13" s="4707"/>
      <c r="V13" s="4707"/>
    </row>
    <row r="14" spans="1:22" s="4708" customFormat="1" ht="18.75" customHeight="1">
      <c r="A14" s="4709" t="s">
        <v>387</v>
      </c>
      <c r="B14" s="4710" t="s">
        <v>428</v>
      </c>
      <c r="C14" s="4711" t="s">
        <v>382</v>
      </c>
      <c r="D14" s="4712"/>
      <c r="E14" s="4713">
        <f>E99+E69+E129+E149+E104+E19+E24+E29+E89+E34+E39+E44+E114+E49+E54+E59+E64+E74+E79+E84+E94+E186+E191+E109+E119+E124+E134+E139+E144+E197+E154+E159+E164+E169+E174+E179</f>
        <v>767998028</v>
      </c>
      <c r="F14" s="4713">
        <f>F99+F69+F129+F149+F104+F19+F24+F29+F89+F34+F39+F44+F114+F49+F54+F59+F64+F74+F79+F84+F94+F186+F191+F109+F119+F124+F134+F139+F144+F197+F154+F159+F164+F169+F174+F179</f>
        <v>19190479</v>
      </c>
      <c r="G14" s="4713">
        <f t="shared" ref="G14:M14" si="3">G99+G69+G129+G149+G104+G19+G24+G29+G89+G34+G39+G44+G114+G49+G54+G59+G64+G74+G79+G84+G94+G186+G191+G109+G119+G124+G134+G139+G144+G197+G154+G159+G164+G169+G174+G179</f>
        <v>188949981</v>
      </c>
      <c r="H14" s="4713">
        <f t="shared" si="3"/>
        <v>295915475</v>
      </c>
      <c r="I14" s="4713">
        <f t="shared" si="3"/>
        <v>118276222</v>
      </c>
      <c r="J14" s="4713">
        <f t="shared" si="3"/>
        <v>120650652</v>
      </c>
      <c r="K14" s="4713">
        <f t="shared" si="3"/>
        <v>24670719</v>
      </c>
      <c r="L14" s="4713">
        <f t="shared" si="3"/>
        <v>200000</v>
      </c>
      <c r="M14" s="4713">
        <f t="shared" si="3"/>
        <v>144500</v>
      </c>
      <c r="N14" s="4713"/>
      <c r="O14" s="4713"/>
      <c r="P14" s="4713"/>
      <c r="Q14" s="4713"/>
      <c r="R14" s="4713"/>
      <c r="S14" s="4714"/>
      <c r="T14" s="4714"/>
      <c r="U14" s="4714"/>
      <c r="V14" s="4714"/>
    </row>
    <row r="15" spans="1:22" s="4708" customFormat="1" ht="12" customHeight="1" thickBot="1">
      <c r="A15" s="4701"/>
      <c r="B15" s="4701"/>
      <c r="C15" s="4715"/>
      <c r="D15" s="4704"/>
      <c r="E15" s="4705"/>
      <c r="F15" s="4705"/>
      <c r="G15" s="4716"/>
      <c r="H15" s="4705"/>
      <c r="I15" s="4705"/>
      <c r="J15" s="4705"/>
      <c r="K15" s="4705"/>
      <c r="L15" s="4705"/>
      <c r="M15" s="4705"/>
      <c r="N15" s="4705"/>
      <c r="O15" s="4705"/>
      <c r="P15" s="4705"/>
      <c r="Q15" s="4705"/>
      <c r="R15" s="4706"/>
      <c r="S15" s="4707"/>
      <c r="T15" s="4707"/>
      <c r="U15" s="4707"/>
      <c r="V15" s="4707"/>
    </row>
    <row r="16" spans="1:22" ht="40.5" customHeight="1">
      <c r="A16" s="4717" t="s">
        <v>55</v>
      </c>
      <c r="B16" s="4718" t="str">
        <f>'Tab. 6E - Administracja'!B225</f>
        <v xml:space="preserve">Zakupy inwestycyjne w ramach wsparcia gmin w opracowaniu albo aktualizacji programów rewitalizacji w ramach PO Pomoc Techniczna (2016 - 2018) </v>
      </c>
      <c r="C16" s="4719" t="s">
        <v>329</v>
      </c>
      <c r="D16" s="4720">
        <f>E19/E17%</f>
        <v>84.99306037473977</v>
      </c>
      <c r="E16" s="4721"/>
      <c r="F16" s="4722"/>
      <c r="G16" s="4723"/>
      <c r="H16" s="4722"/>
      <c r="I16" s="4722"/>
      <c r="J16" s="4722"/>
      <c r="K16" s="4722"/>
      <c r="L16" s="4722"/>
      <c r="M16" s="4722"/>
      <c r="N16" s="4722"/>
      <c r="O16" s="4722"/>
      <c r="P16" s="4722"/>
      <c r="Q16" s="4722"/>
      <c r="R16" s="4724"/>
      <c r="S16" s="4725"/>
      <c r="T16" s="4725"/>
      <c r="U16" s="4725"/>
      <c r="V16" s="4725"/>
    </row>
    <row r="17" spans="1:22" ht="14.25" customHeight="1">
      <c r="A17" s="4726"/>
      <c r="B17" s="4727" t="s">
        <v>195</v>
      </c>
      <c r="C17" s="4728"/>
      <c r="D17" s="4729"/>
      <c r="E17" s="4730">
        <f>+F17+G17+H17+I17+J17+K17+L17+M17</f>
        <v>5764</v>
      </c>
      <c r="F17" s="4731">
        <f>'Tab. 6E - Administracja'!E226</f>
        <v>5764</v>
      </c>
      <c r="G17" s="4731">
        <f>'Tab. 6E - Administracja'!F226</f>
        <v>0</v>
      </c>
      <c r="H17" s="4731"/>
      <c r="I17" s="4731"/>
      <c r="J17" s="4731"/>
      <c r="K17" s="4731"/>
      <c r="L17" s="4731"/>
      <c r="M17" s="4731"/>
      <c r="N17" s="4731"/>
      <c r="O17" s="4731"/>
      <c r="P17" s="4731"/>
      <c r="Q17" s="4731"/>
      <c r="R17" s="4732"/>
      <c r="S17" s="4733"/>
      <c r="T17" s="4733"/>
      <c r="U17" s="4733"/>
      <c r="V17" s="4733"/>
    </row>
    <row r="18" spans="1:22">
      <c r="A18" s="4726"/>
      <c r="B18" s="4734" t="s">
        <v>369</v>
      </c>
      <c r="C18" s="4735"/>
      <c r="D18" s="4736"/>
      <c r="E18" s="4737">
        <f>+F18+G18+H18+I18+J18+K18+L18+M18</f>
        <v>865</v>
      </c>
      <c r="F18" s="4738">
        <f>'Tab. 6E - Administracja'!E227</f>
        <v>865</v>
      </c>
      <c r="G18" s="4738">
        <f>'Tab. 6E - Administracja'!F227</f>
        <v>0</v>
      </c>
      <c r="H18" s="4738"/>
      <c r="I18" s="4738"/>
      <c r="J18" s="4738"/>
      <c r="K18" s="4738"/>
      <c r="L18" s="4738"/>
      <c r="M18" s="4738"/>
      <c r="N18" s="4738"/>
      <c r="O18" s="4738"/>
      <c r="P18" s="4738"/>
      <c r="Q18" s="4738"/>
      <c r="R18" s="4739"/>
      <c r="S18" s="4739"/>
      <c r="T18" s="4739"/>
      <c r="U18" s="4739"/>
      <c r="V18" s="4739"/>
    </row>
    <row r="19" spans="1:22" ht="13.5" customHeight="1" thickBot="1">
      <c r="A19" s="4726"/>
      <c r="B19" s="4740" t="s">
        <v>197</v>
      </c>
      <c r="C19" s="4741"/>
      <c r="D19" s="4742"/>
      <c r="E19" s="4743">
        <f>+F19+G19+H19+I19+J19+K19+L19+M19</f>
        <v>4899</v>
      </c>
      <c r="F19" s="4744">
        <f>'Tab. 6E - Administracja'!E229</f>
        <v>4899</v>
      </c>
      <c r="G19" s="4744">
        <f>'Tab. 6E - Administracja'!F229</f>
        <v>0</v>
      </c>
      <c r="H19" s="4744"/>
      <c r="I19" s="4744"/>
      <c r="J19" s="4744"/>
      <c r="K19" s="4744"/>
      <c r="L19" s="4744"/>
      <c r="M19" s="4744"/>
      <c r="N19" s="4744"/>
      <c r="O19" s="4744"/>
      <c r="P19" s="4744"/>
      <c r="Q19" s="4744"/>
      <c r="R19" s="4745"/>
      <c r="S19" s="4746"/>
      <c r="T19" s="4746"/>
      <c r="U19" s="4746"/>
      <c r="V19" s="4746"/>
    </row>
    <row r="20" spans="1:22" ht="13.5" thickBot="1">
      <c r="A20" s="4747"/>
      <c r="B20" s="4748" t="s">
        <v>317</v>
      </c>
      <c r="C20" s="4749"/>
      <c r="D20" s="4750"/>
      <c r="E20" s="4751">
        <f>F20+G20+H20+I20+J20+K20+L20+M20</f>
        <v>4899</v>
      </c>
      <c r="F20" s="4752">
        <f>'Tab. 6E - Administracja'!E234</f>
        <v>4899</v>
      </c>
      <c r="G20" s="4752">
        <f>'Tab. 6E - Administracja'!F234</f>
        <v>0</v>
      </c>
      <c r="H20" s="4752"/>
      <c r="I20" s="4752"/>
      <c r="J20" s="4752"/>
      <c r="K20" s="4752"/>
      <c r="L20" s="4752"/>
      <c r="M20" s="4752"/>
      <c r="N20" s="4752"/>
      <c r="O20" s="4752"/>
      <c r="P20" s="4752"/>
      <c r="Q20" s="4752"/>
      <c r="R20" s="4753"/>
      <c r="S20" s="4753"/>
      <c r="T20" s="4753"/>
      <c r="U20" s="4753"/>
      <c r="V20" s="4753"/>
    </row>
    <row r="21" spans="1:22" ht="63.75" customHeight="1">
      <c r="A21" s="4717" t="s">
        <v>56</v>
      </c>
      <c r="B21" s="4718" t="str">
        <f>'Tab. 6B Polit społ i rozwój prz'!B73</f>
        <v>Oś Priorytetowa VI, Pomoc Techniczna w ramach  PO WER 2014-2020 - wydatki majątkowe (2015-2023)</v>
      </c>
      <c r="C21" s="4719" t="s">
        <v>330</v>
      </c>
      <c r="D21" s="4720">
        <f>E24/E22%</f>
        <v>84.280115971580585</v>
      </c>
      <c r="E21" s="4721"/>
      <c r="F21" s="4722"/>
      <c r="G21" s="4723"/>
      <c r="H21" s="4722"/>
      <c r="I21" s="4722"/>
      <c r="J21" s="4722"/>
      <c r="K21" s="4722"/>
      <c r="L21" s="4722"/>
      <c r="M21" s="4722"/>
      <c r="N21" s="4722"/>
      <c r="O21" s="4722"/>
      <c r="P21" s="4722"/>
      <c r="Q21" s="4722"/>
      <c r="R21" s="4724"/>
      <c r="S21" s="4725"/>
      <c r="T21" s="4725"/>
      <c r="U21" s="4725"/>
      <c r="V21" s="4725"/>
    </row>
    <row r="22" spans="1:22" ht="13.5" customHeight="1">
      <c r="A22" s="4726"/>
      <c r="B22" s="4727" t="s">
        <v>195</v>
      </c>
      <c r="C22" s="4728"/>
      <c r="D22" s="4729"/>
      <c r="E22" s="4730">
        <f>+F22+G22+H22+I22+J22+K22+L22+M22</f>
        <v>31387</v>
      </c>
      <c r="F22" s="4731">
        <f>'Tab. 6B Polit społ i rozwój prz'!E74</f>
        <v>18705</v>
      </c>
      <c r="G22" s="4731">
        <f>'Tab. 6B Polit społ i rozwój prz'!F74</f>
        <v>12682</v>
      </c>
      <c r="H22" s="4731">
        <f>'Tab. 6B Polit społ i rozwój prz'!G74</f>
        <v>0</v>
      </c>
      <c r="I22" s="4731">
        <f>'Tab. 6B Polit społ i rozwój prz'!H74</f>
        <v>0</v>
      </c>
      <c r="J22" s="4731">
        <f>'Tab. 6B Polit społ i rozwój prz'!I74</f>
        <v>0</v>
      </c>
      <c r="K22" s="4731"/>
      <c r="L22" s="4731"/>
      <c r="M22" s="4731"/>
      <c r="N22" s="4731"/>
      <c r="O22" s="4731"/>
      <c r="P22" s="4731"/>
      <c r="Q22" s="4731"/>
      <c r="R22" s="4732"/>
      <c r="S22" s="4733"/>
      <c r="T22" s="4733"/>
      <c r="U22" s="4733"/>
      <c r="V22" s="4733"/>
    </row>
    <row r="23" spans="1:22" ht="15.75" customHeight="1">
      <c r="A23" s="4726"/>
      <c r="B23" s="4734" t="s">
        <v>320</v>
      </c>
      <c r="C23" s="4735"/>
      <c r="D23" s="4736"/>
      <c r="E23" s="4737">
        <f>+F23+G23+H23+I23+J23+K23+L23+M23</f>
        <v>4934</v>
      </c>
      <c r="F23" s="4738">
        <f>'Tab. 6B Polit społ i rozwój prz'!E75</f>
        <v>2940</v>
      </c>
      <c r="G23" s="4738">
        <f>'Tab. 6B Polit społ i rozwój prz'!F75</f>
        <v>1994</v>
      </c>
      <c r="H23" s="4738">
        <f>'Tab. 6B Polit społ i rozwój prz'!G75</f>
        <v>0</v>
      </c>
      <c r="I23" s="4738">
        <f>'Tab. 6B Polit społ i rozwój prz'!H75</f>
        <v>0</v>
      </c>
      <c r="J23" s="4738">
        <f>'Tab. 6B Polit społ i rozwój prz'!I75</f>
        <v>0</v>
      </c>
      <c r="K23" s="4738"/>
      <c r="L23" s="4738"/>
      <c r="M23" s="4738"/>
      <c r="N23" s="4738"/>
      <c r="O23" s="4738"/>
      <c r="P23" s="4738"/>
      <c r="Q23" s="4738"/>
      <c r="R23" s="4739"/>
      <c r="S23" s="4739"/>
      <c r="T23" s="4739"/>
      <c r="U23" s="4739"/>
      <c r="V23" s="4739"/>
    </row>
    <row r="24" spans="1:22" ht="15.75" customHeight="1" thickBot="1">
      <c r="A24" s="4726"/>
      <c r="B24" s="4740" t="s">
        <v>197</v>
      </c>
      <c r="C24" s="4754">
        <f>E24-E25</f>
        <v>0</v>
      </c>
      <c r="D24" s="4742"/>
      <c r="E24" s="4743">
        <f>+F24+G24+H24+I24+J24+K24+L24+M24</f>
        <v>26453</v>
      </c>
      <c r="F24" s="4744">
        <f>'Tab. 6B Polit społ i rozwój prz'!E78</f>
        <v>15765</v>
      </c>
      <c r="G24" s="4744">
        <f>'Tab. 6B Polit społ i rozwój prz'!F78</f>
        <v>10688</v>
      </c>
      <c r="H24" s="4744">
        <f>'Tab. 6B Polit społ i rozwój prz'!G78</f>
        <v>0</v>
      </c>
      <c r="I24" s="4744">
        <f>'Tab. 6B Polit społ i rozwój prz'!H78</f>
        <v>0</v>
      </c>
      <c r="J24" s="4744">
        <f>'Tab. 6B Polit społ i rozwój prz'!I78</f>
        <v>0</v>
      </c>
      <c r="K24" s="4744"/>
      <c r="L24" s="4744"/>
      <c r="M24" s="4744"/>
      <c r="N24" s="4744"/>
      <c r="O24" s="4744"/>
      <c r="P24" s="4744"/>
      <c r="Q24" s="4744"/>
      <c r="R24" s="4745"/>
      <c r="S24" s="4746"/>
      <c r="T24" s="4746"/>
      <c r="U24" s="4746"/>
      <c r="V24" s="4746"/>
    </row>
    <row r="25" spans="1:22" ht="13.5" thickBot="1">
      <c r="A25" s="4747"/>
      <c r="B25" s="4748" t="s">
        <v>317</v>
      </c>
      <c r="C25" s="4749"/>
      <c r="D25" s="4750"/>
      <c r="E25" s="4751">
        <f>F25+G25+H25+I25+J25+K25+L25+M25</f>
        <v>26453</v>
      </c>
      <c r="F25" s="4752">
        <f>'Tab. 6B Polit społ i rozwój prz'!E83</f>
        <v>15765</v>
      </c>
      <c r="G25" s="4752">
        <f>'Tab. 6B Polit społ i rozwój prz'!F83</f>
        <v>10688</v>
      </c>
      <c r="H25" s="4752">
        <f>'Tab. 6B Polit społ i rozwój prz'!G83</f>
        <v>0</v>
      </c>
      <c r="I25" s="4752">
        <f>'Tab. 6B Polit społ i rozwój prz'!H83</f>
        <v>0</v>
      </c>
      <c r="J25" s="4752">
        <f>'Tab. 6B Polit społ i rozwój prz'!I83</f>
        <v>0</v>
      </c>
      <c r="K25" s="4752"/>
      <c r="L25" s="4752"/>
      <c r="M25" s="4752"/>
      <c r="N25" s="4752"/>
      <c r="O25" s="4752"/>
      <c r="P25" s="4755"/>
      <c r="Q25" s="4755"/>
      <c r="R25" s="4755"/>
      <c r="S25" s="4665"/>
      <c r="T25" s="4665"/>
      <c r="U25" s="4665"/>
      <c r="V25" s="4665"/>
    </row>
    <row r="26" spans="1:22" ht="51.75" customHeight="1">
      <c r="A26" s="4717" t="s">
        <v>57</v>
      </c>
      <c r="B26" s="4718" t="str">
        <f>'Tab. 6E - Administracja'!B82</f>
        <v>Sieć Punktów Informacyjnych Funduszy Europejskich (PIFE) w Województwie Zachodniopomorskim w ramach PO Pomoc Techniczna - zakupy inwestycyjne  (2015-2020)</v>
      </c>
      <c r="C26" s="4719" t="s">
        <v>331</v>
      </c>
      <c r="D26" s="4720">
        <f>E29/E27%</f>
        <v>84.998924911006526</v>
      </c>
      <c r="E26" s="4721"/>
      <c r="F26" s="4722"/>
      <c r="G26" s="4723"/>
      <c r="H26" s="4722"/>
      <c r="I26" s="4722"/>
      <c r="J26" s="4722"/>
      <c r="K26" s="4723"/>
      <c r="L26" s="4723"/>
      <c r="M26" s="4722"/>
      <c r="N26" s="4722"/>
      <c r="O26" s="4722"/>
      <c r="P26" s="4722"/>
      <c r="Q26" s="4722"/>
      <c r="R26" s="4724"/>
      <c r="S26" s="4725"/>
      <c r="T26" s="4725"/>
      <c r="U26" s="4725"/>
      <c r="V26" s="4725"/>
    </row>
    <row r="27" spans="1:22" ht="13.5" customHeight="1">
      <c r="A27" s="4726"/>
      <c r="B27" s="4727" t="s">
        <v>195</v>
      </c>
      <c r="C27" s="4728"/>
      <c r="D27" s="4729"/>
      <c r="E27" s="4730">
        <f>+F27+G27+H27+I27+J27+K27+L27+M27</f>
        <v>41857</v>
      </c>
      <c r="F27" s="4731">
        <f>'Tab. 6E - Administracja'!E83</f>
        <v>38038</v>
      </c>
      <c r="G27" s="4731">
        <f>'Tab. 6E - Administracja'!F83</f>
        <v>3819</v>
      </c>
      <c r="H27" s="4731">
        <f>'Tab. 6E - Administracja'!G83</f>
        <v>0</v>
      </c>
      <c r="I27" s="4731"/>
      <c r="J27" s="4731"/>
      <c r="K27" s="4731"/>
      <c r="L27" s="4731"/>
      <c r="M27" s="4731"/>
      <c r="N27" s="4731"/>
      <c r="O27" s="4731"/>
      <c r="P27" s="4731"/>
      <c r="Q27" s="4731"/>
      <c r="R27" s="4732"/>
      <c r="S27" s="4733"/>
      <c r="T27" s="4733"/>
      <c r="U27" s="4733"/>
      <c r="V27" s="4733"/>
    </row>
    <row r="28" spans="1:22" ht="13.5" customHeight="1">
      <c r="A28" s="4726"/>
      <c r="B28" s="4734" t="s">
        <v>347</v>
      </c>
      <c r="C28" s="4735"/>
      <c r="D28" s="4736"/>
      <c r="E28" s="4737">
        <f>+F28+G28+H28+I28+J28+K28+L28+M28</f>
        <v>6279</v>
      </c>
      <c r="F28" s="4738">
        <f>'Tab. 6E - Administracja'!E84</f>
        <v>5706</v>
      </c>
      <c r="G28" s="4738">
        <f>'Tab. 6E - Administracja'!F84</f>
        <v>573</v>
      </c>
      <c r="H28" s="4738">
        <f>'Tab. 6E - Administracja'!G84</f>
        <v>0</v>
      </c>
      <c r="I28" s="4738"/>
      <c r="J28" s="4738"/>
      <c r="K28" s="4738"/>
      <c r="L28" s="4738"/>
      <c r="M28" s="4738"/>
      <c r="N28" s="4738"/>
      <c r="O28" s="4738"/>
      <c r="P28" s="4738"/>
      <c r="Q28" s="4738"/>
      <c r="R28" s="4739"/>
      <c r="S28" s="4739"/>
      <c r="T28" s="4739"/>
      <c r="U28" s="4739"/>
      <c r="V28" s="4739"/>
    </row>
    <row r="29" spans="1:22" ht="13.5" customHeight="1" thickBot="1">
      <c r="A29" s="4726"/>
      <c r="B29" s="4740" t="s">
        <v>197</v>
      </c>
      <c r="C29" s="4754">
        <f>E29-E30</f>
        <v>0</v>
      </c>
      <c r="D29" s="4742"/>
      <c r="E29" s="4743">
        <f>+F29+G29+H29+I29+J29+K29+L29+M29</f>
        <v>35578</v>
      </c>
      <c r="F29" s="4744">
        <f>'Tab. 6E - Administracja'!E87</f>
        <v>32332</v>
      </c>
      <c r="G29" s="4744">
        <f>'Tab. 6E - Administracja'!F87</f>
        <v>3246</v>
      </c>
      <c r="H29" s="4744">
        <f>'Tab. 6E - Administracja'!G87</f>
        <v>0</v>
      </c>
      <c r="I29" s="4744"/>
      <c r="J29" s="4744"/>
      <c r="K29" s="4744"/>
      <c r="L29" s="4744"/>
      <c r="M29" s="4744"/>
      <c r="N29" s="4744"/>
      <c r="O29" s="4744"/>
      <c r="P29" s="4744"/>
      <c r="Q29" s="4744"/>
      <c r="R29" s="4745"/>
      <c r="S29" s="4746"/>
      <c r="T29" s="4746"/>
      <c r="U29" s="4746"/>
      <c r="V29" s="4746"/>
    </row>
    <row r="30" spans="1:22" ht="13.5" customHeight="1" thickBot="1">
      <c r="A30" s="4747"/>
      <c r="B30" s="4748" t="s">
        <v>317</v>
      </c>
      <c r="C30" s="4749"/>
      <c r="D30" s="4750"/>
      <c r="E30" s="4751">
        <f>F30+G30+H30+I30+J30+K30+L30+M30</f>
        <v>35578</v>
      </c>
      <c r="F30" s="4752">
        <f>'Tab. 6E - Administracja'!E91</f>
        <v>32332</v>
      </c>
      <c r="G30" s="4752">
        <f>'Tab. 6E - Administracja'!F91</f>
        <v>3246</v>
      </c>
      <c r="H30" s="4752">
        <f>'Tab. 6E - Administracja'!G91</f>
        <v>0</v>
      </c>
      <c r="I30" s="4752"/>
      <c r="J30" s="4752"/>
      <c r="K30" s="4752"/>
      <c r="L30" s="4752"/>
      <c r="M30" s="4752"/>
      <c r="N30" s="4752"/>
      <c r="O30" s="4752"/>
      <c r="P30" s="4752"/>
      <c r="Q30" s="4752"/>
      <c r="R30" s="4753"/>
      <c r="S30" s="4753"/>
      <c r="T30" s="4753"/>
      <c r="U30" s="4753"/>
      <c r="V30" s="4753"/>
    </row>
    <row r="31" spans="1:22" ht="64.5" customHeight="1">
      <c r="A31" s="4717" t="s">
        <v>58</v>
      </c>
      <c r="B31" s="4718" t="str">
        <f>'Tab. 6E - Administracja'!B118</f>
        <v>Zakupy inwestycyjne w ramach Osi X - Pomoc techniczna RPO WZ 2014 - 2020 (2015-2023)</v>
      </c>
      <c r="C31" s="4719" t="s">
        <v>506</v>
      </c>
      <c r="D31" s="4720">
        <f>E34/E32%</f>
        <v>100</v>
      </c>
      <c r="E31" s="4721"/>
      <c r="F31" s="4722"/>
      <c r="G31" s="4723"/>
      <c r="H31" s="4722"/>
      <c r="I31" s="4722"/>
      <c r="J31" s="4722"/>
      <c r="K31" s="4723"/>
      <c r="L31" s="4723"/>
      <c r="M31" s="4722"/>
      <c r="N31" s="4722"/>
      <c r="O31" s="4722"/>
      <c r="P31" s="4722"/>
      <c r="Q31" s="4722"/>
      <c r="R31" s="4724"/>
      <c r="S31" s="4725"/>
      <c r="T31" s="4725"/>
      <c r="U31" s="4725"/>
      <c r="V31" s="4725"/>
    </row>
    <row r="32" spans="1:22" ht="15" customHeight="1">
      <c r="A32" s="4726"/>
      <c r="B32" s="4727" t="s">
        <v>195</v>
      </c>
      <c r="C32" s="4728"/>
      <c r="D32" s="4729"/>
      <c r="E32" s="4730">
        <f>+F32+G32+H32+I32+J32+K32+L32+M32</f>
        <v>2741069</v>
      </c>
      <c r="F32" s="4731">
        <f>'Tab. 6E - Administracja'!E124</f>
        <v>357504</v>
      </c>
      <c r="G32" s="4731">
        <f>'Tab. 6E - Administracja'!F124</f>
        <v>421938</v>
      </c>
      <c r="H32" s="4731">
        <f>'Tab. 6E - Administracja'!G124</f>
        <v>600000</v>
      </c>
      <c r="I32" s="4731">
        <f>'Tab. 6E - Administracja'!H124</f>
        <v>617127</v>
      </c>
      <c r="J32" s="4731">
        <f>'Tab. 6E - Administracja'!I124</f>
        <v>200000</v>
      </c>
      <c r="K32" s="4731">
        <f>'Tab. 6E - Administracja'!J124</f>
        <v>200000</v>
      </c>
      <c r="L32" s="4731">
        <f>'Tab. 6E - Administracja'!K124</f>
        <v>200000</v>
      </c>
      <c r="M32" s="4731">
        <f>'Tab. 6E - Administracja'!L124</f>
        <v>144500</v>
      </c>
      <c r="N32" s="4731"/>
      <c r="O32" s="4731"/>
      <c r="P32" s="4731"/>
      <c r="Q32" s="4731"/>
      <c r="R32" s="4732"/>
      <c r="S32" s="4733"/>
      <c r="T32" s="4733"/>
      <c r="U32" s="4733"/>
      <c r="V32" s="4733"/>
    </row>
    <row r="33" spans="1:22" ht="13.5" customHeight="1">
      <c r="A33" s="4726"/>
      <c r="B33" s="4734" t="s">
        <v>320</v>
      </c>
      <c r="C33" s="4735"/>
      <c r="D33" s="4736"/>
      <c r="E33" s="4737">
        <f>+F33+G33+H33+I33+J33+K33+L33+M33</f>
        <v>0</v>
      </c>
      <c r="F33" s="4738"/>
      <c r="G33" s="4738"/>
      <c r="H33" s="4738"/>
      <c r="I33" s="4738"/>
      <c r="J33" s="4738"/>
      <c r="K33" s="4738"/>
      <c r="L33" s="4738"/>
      <c r="M33" s="4738"/>
      <c r="N33" s="4738"/>
      <c r="O33" s="4738"/>
      <c r="P33" s="4738"/>
      <c r="Q33" s="4738"/>
      <c r="R33" s="4739"/>
      <c r="S33" s="4739"/>
      <c r="T33" s="4739"/>
      <c r="U33" s="4739"/>
      <c r="V33" s="4739"/>
    </row>
    <row r="34" spans="1:22" ht="13.5" customHeight="1" thickBot="1">
      <c r="A34" s="4726"/>
      <c r="B34" s="4740" t="s">
        <v>197</v>
      </c>
      <c r="C34" s="4754">
        <f>E34-E35</f>
        <v>0</v>
      </c>
      <c r="D34" s="4742"/>
      <c r="E34" s="4743">
        <f>+F34+G34+H34+I34+J34+K34+L34+M34</f>
        <v>2741069</v>
      </c>
      <c r="F34" s="4744">
        <f>'Tab. 6E - Administracja'!E125</f>
        <v>357504</v>
      </c>
      <c r="G34" s="4744">
        <f>'Tab. 6E - Administracja'!F125</f>
        <v>421938</v>
      </c>
      <c r="H34" s="4744">
        <f>'Tab. 6E - Administracja'!G125</f>
        <v>600000</v>
      </c>
      <c r="I34" s="4744">
        <f>'Tab. 6E - Administracja'!H125</f>
        <v>617127</v>
      </c>
      <c r="J34" s="4744">
        <f>'Tab. 6E - Administracja'!I125</f>
        <v>200000</v>
      </c>
      <c r="K34" s="4744">
        <f>'Tab. 6E - Administracja'!J125</f>
        <v>200000</v>
      </c>
      <c r="L34" s="4744">
        <f>'Tab. 6E - Administracja'!K125</f>
        <v>200000</v>
      </c>
      <c r="M34" s="4744">
        <f>'Tab. 6E - Administracja'!L125</f>
        <v>144500</v>
      </c>
      <c r="N34" s="4744"/>
      <c r="O34" s="4744"/>
      <c r="P34" s="4744"/>
      <c r="Q34" s="4744"/>
      <c r="R34" s="4745"/>
      <c r="S34" s="4746"/>
      <c r="T34" s="4746"/>
      <c r="U34" s="4746"/>
      <c r="V34" s="4746"/>
    </row>
    <row r="35" spans="1:22" ht="13.5" customHeight="1" thickBot="1">
      <c r="A35" s="4747"/>
      <c r="B35" s="4748" t="s">
        <v>317</v>
      </c>
      <c r="C35" s="4749"/>
      <c r="D35" s="4750"/>
      <c r="E35" s="4751">
        <f>F35+G35+H35+I35+J35+K35+L35+M35+11590+299481-61071-200000</f>
        <v>2741069</v>
      </c>
      <c r="F35" s="4752">
        <f>'Tab. 6E - Administracja'!E136</f>
        <v>236568</v>
      </c>
      <c r="G35" s="4752">
        <f>'Tab. 6E - Administracja'!F136</f>
        <v>231803</v>
      </c>
      <c r="H35" s="4752">
        <f>'Tab. 6E - Administracja'!G136</f>
        <v>420176</v>
      </c>
      <c r="I35" s="4752">
        <f>'Tab. 6E - Administracja'!H136</f>
        <v>1058022</v>
      </c>
      <c r="J35" s="4752">
        <f>'Tab. 6E - Administracja'!I136</f>
        <v>200000</v>
      </c>
      <c r="K35" s="4752">
        <f>'Tab. 6E - Administracja'!J136</f>
        <v>200000</v>
      </c>
      <c r="L35" s="4752">
        <f>'Tab. 6E - Administracja'!K136</f>
        <v>200000</v>
      </c>
      <c r="M35" s="4752">
        <f>'Tab. 6E - Administracja'!L136</f>
        <v>144500</v>
      </c>
      <c r="N35" s="4752"/>
      <c r="O35" s="4752"/>
      <c r="P35" s="4752"/>
      <c r="Q35" s="4752"/>
      <c r="R35" s="4753"/>
      <c r="S35" s="4753"/>
      <c r="T35" s="4753"/>
      <c r="U35" s="4753"/>
      <c r="V35" s="4753"/>
    </row>
    <row r="36" spans="1:22" ht="66.75" customHeight="1">
      <c r="A36" s="4717" t="s">
        <v>59</v>
      </c>
      <c r="B36" s="4718" t="str">
        <f>'Tab. 6E - Administracja'!B137</f>
        <v>Konsolidacja siedziby Urzędu Marszałkowskiego Województwa Zachodniopomorskiego - razem etap A i B  (2016-2020)</v>
      </c>
      <c r="C36" s="4719" t="s">
        <v>339</v>
      </c>
      <c r="D36" s="4720">
        <f>E39/E37%</f>
        <v>70.553755798015956</v>
      </c>
      <c r="E36" s="4721"/>
      <c r="F36" s="4722"/>
      <c r="G36" s="4723"/>
      <c r="H36" s="4722"/>
      <c r="I36" s="4722"/>
      <c r="J36" s="4722"/>
      <c r="K36" s="4723"/>
      <c r="L36" s="4723"/>
      <c r="M36" s="4722"/>
      <c r="N36" s="4722"/>
      <c r="O36" s="4722"/>
      <c r="P36" s="4722"/>
      <c r="Q36" s="4722"/>
      <c r="R36" s="4724"/>
      <c r="S36" s="4725"/>
      <c r="T36" s="4725"/>
      <c r="U36" s="4725"/>
      <c r="V36" s="4725"/>
    </row>
    <row r="37" spans="1:22" ht="13.5" customHeight="1">
      <c r="A37" s="4726"/>
      <c r="B37" s="4727" t="s">
        <v>195</v>
      </c>
      <c r="C37" s="4728"/>
      <c r="D37" s="4729"/>
      <c r="E37" s="4730">
        <f>+F37+G37+H37+I37+J37+K37+L37+M37</f>
        <v>98152110</v>
      </c>
      <c r="F37" s="4731">
        <f>'Tab. 6E - Administracja'!E138</f>
        <v>360377</v>
      </c>
      <c r="G37" s="4731">
        <f>'Tab. 6E - Administracja'!F138</f>
        <v>1019503</v>
      </c>
      <c r="H37" s="4731">
        <f>'Tab. 6E - Administracja'!G138</f>
        <v>1817275</v>
      </c>
      <c r="I37" s="4731">
        <f>'Tab. 6E - Administracja'!H138</f>
        <v>18000000</v>
      </c>
      <c r="J37" s="4731">
        <f>'Tab. 6E - Administracja'!I138</f>
        <v>48895582</v>
      </c>
      <c r="K37" s="4731">
        <f>'Tab. 6E - Administracja'!J138</f>
        <v>28059373</v>
      </c>
      <c r="L37" s="4731">
        <f>'Tab. 6E - Administracja'!K138</f>
        <v>0</v>
      </c>
      <c r="M37" s="4731">
        <f>'Tab. 6E - Administracja'!L138</f>
        <v>0</v>
      </c>
      <c r="N37" s="4731"/>
      <c r="O37" s="4731"/>
      <c r="P37" s="4731"/>
      <c r="Q37" s="4731"/>
      <c r="R37" s="4732"/>
      <c r="S37" s="4733"/>
      <c r="T37" s="4733"/>
      <c r="U37" s="4733"/>
      <c r="V37" s="4733"/>
    </row>
    <row r="38" spans="1:22" ht="27" customHeight="1">
      <c r="A38" s="4726"/>
      <c r="B38" s="4734" t="s">
        <v>348</v>
      </c>
      <c r="C38" s="4735"/>
      <c r="D38" s="4736"/>
      <c r="E38" s="4737">
        <f>+F38+G38+H38+I38+J38+K38+L38+M38</f>
        <v>28902110</v>
      </c>
      <c r="F38" s="4738">
        <f>'Tab. 6E - Administracja'!E139</f>
        <v>6785</v>
      </c>
      <c r="G38" s="4738">
        <f>'Tab. 6E - Administracja'!F139</f>
        <v>32934</v>
      </c>
      <c r="H38" s="4738">
        <f>'Tab. 6E - Administracja'!G139</f>
        <v>35242</v>
      </c>
      <c r="I38" s="4738">
        <f>'Tab. 6E - Administracja'!H139</f>
        <v>5425229</v>
      </c>
      <c r="J38" s="4738">
        <f>'Tab. 6E - Administracja'!I139</f>
        <v>12342547</v>
      </c>
      <c r="K38" s="4738">
        <f>'Tab. 6E - Administracja'!J139</f>
        <v>11059373</v>
      </c>
      <c r="L38" s="4738">
        <f>'Tab. 6E - Administracja'!K139</f>
        <v>0</v>
      </c>
      <c r="M38" s="4738">
        <f>'Tab. 6E - Administracja'!L139</f>
        <v>0</v>
      </c>
      <c r="N38" s="4738"/>
      <c r="O38" s="4738"/>
      <c r="P38" s="4738"/>
      <c r="Q38" s="4738"/>
      <c r="R38" s="4739"/>
      <c r="S38" s="4739"/>
      <c r="T38" s="4739"/>
      <c r="U38" s="4739"/>
      <c r="V38" s="4739"/>
    </row>
    <row r="39" spans="1:22" ht="16.5" customHeight="1" thickBot="1">
      <c r="A39" s="4726"/>
      <c r="B39" s="4740" t="s">
        <v>197</v>
      </c>
      <c r="C39" s="4754">
        <f>E39-E40</f>
        <v>0</v>
      </c>
      <c r="D39" s="4742"/>
      <c r="E39" s="4743">
        <f>+F39+G39+H39+I39+J39+K39+L39+M39</f>
        <v>69250000</v>
      </c>
      <c r="F39" s="4744">
        <f>'Tab. 6E - Administracja'!E142</f>
        <v>353592</v>
      </c>
      <c r="G39" s="4744">
        <f>'Tab. 6E - Administracja'!F142</f>
        <v>986569</v>
      </c>
      <c r="H39" s="4744">
        <f>'Tab. 6E - Administracja'!G142</f>
        <v>1782033</v>
      </c>
      <c r="I39" s="4744">
        <f>'Tab. 6E - Administracja'!H142</f>
        <v>12574771</v>
      </c>
      <c r="J39" s="4744">
        <f>'Tab. 6E - Administracja'!I142</f>
        <v>36553035</v>
      </c>
      <c r="K39" s="4744">
        <f>'Tab. 6E - Administracja'!J142</f>
        <v>17000000</v>
      </c>
      <c r="L39" s="4744">
        <f>'Tab. 6E - Administracja'!K142</f>
        <v>0</v>
      </c>
      <c r="M39" s="4744">
        <f>'Tab. 6E - Administracja'!L142</f>
        <v>0</v>
      </c>
      <c r="N39" s="4744"/>
      <c r="O39" s="4744"/>
      <c r="P39" s="4744"/>
      <c r="Q39" s="4744"/>
      <c r="R39" s="4745"/>
      <c r="S39" s="4746"/>
      <c r="T39" s="4746"/>
      <c r="U39" s="4746"/>
      <c r="V39" s="4746"/>
    </row>
    <row r="40" spans="1:22" ht="13.5" customHeight="1" thickBot="1">
      <c r="A40" s="4747"/>
      <c r="B40" s="4748" t="s">
        <v>317</v>
      </c>
      <c r="C40" s="4749"/>
      <c r="D40" s="4750"/>
      <c r="E40" s="4751">
        <f>F40+G40+H40+I40+J40+K40+L40+M40</f>
        <v>69250000</v>
      </c>
      <c r="F40" s="4752">
        <f>'Tab. 6E - Administracja'!E150</f>
        <v>219395</v>
      </c>
      <c r="G40" s="4752">
        <f>'Tab. 6E - Administracja'!F150</f>
        <v>1022720</v>
      </c>
      <c r="H40" s="4752">
        <f>'Tab. 6E - Administracja'!G150</f>
        <v>1634324</v>
      </c>
      <c r="I40" s="4752">
        <f>'Tab. 6E - Administracja'!H150</f>
        <v>11820526</v>
      </c>
      <c r="J40" s="4752">
        <f>'Tab. 6E - Administracja'!I150</f>
        <v>36053035</v>
      </c>
      <c r="K40" s="4752">
        <f>'Tab. 6E - Administracja'!J150</f>
        <v>18500000</v>
      </c>
      <c r="L40" s="4752">
        <f>'Tab. 6E - Administracja'!K150</f>
        <v>0</v>
      </c>
      <c r="M40" s="4752">
        <f>'Tab. 6E - Administracja'!L150</f>
        <v>0</v>
      </c>
      <c r="N40" s="4752"/>
      <c r="O40" s="4752"/>
      <c r="P40" s="4752"/>
      <c r="Q40" s="4752"/>
      <c r="R40" s="4753"/>
      <c r="S40" s="4753"/>
      <c r="T40" s="4753"/>
      <c r="U40" s="4753"/>
      <c r="V40" s="4753"/>
    </row>
    <row r="41" spans="1:22" ht="33.75" customHeight="1">
      <c r="A41" s="4717" t="s">
        <v>107</v>
      </c>
      <c r="B41" s="4718" t="str">
        <f>'Tab. 6B Polit społ i rozwój prz'!B97</f>
        <v>Oś X, Pomoc techniczna RPO WZ 2014-2020 - wydatki majątkowe (2015-2023)</v>
      </c>
      <c r="C41" s="4719" t="s">
        <v>339</v>
      </c>
      <c r="D41" s="4720">
        <f>E44/E42%</f>
        <v>84.999314175982448</v>
      </c>
      <c r="E41" s="4721"/>
      <c r="F41" s="4722"/>
      <c r="G41" s="4723"/>
      <c r="H41" s="4722"/>
      <c r="I41" s="4722"/>
      <c r="J41" s="4722"/>
      <c r="K41" s="4723"/>
      <c r="L41" s="4723"/>
      <c r="M41" s="4722"/>
      <c r="N41" s="4722"/>
      <c r="O41" s="4722"/>
      <c r="P41" s="4722"/>
      <c r="Q41" s="4722"/>
      <c r="R41" s="4724"/>
      <c r="S41" s="4725"/>
      <c r="T41" s="4725"/>
      <c r="U41" s="4725"/>
      <c r="V41" s="4725"/>
    </row>
    <row r="42" spans="1:22" ht="13.5" customHeight="1">
      <c r="A42" s="4726"/>
      <c r="B42" s="4727" t="s">
        <v>195</v>
      </c>
      <c r="C42" s="4728"/>
      <c r="D42" s="4729"/>
      <c r="E42" s="4730">
        <f>+F42+G42+H42+I42+J42+K42+L42+M42</f>
        <v>58324</v>
      </c>
      <c r="F42" s="4731"/>
      <c r="G42" s="4731">
        <f>'Tab. 6B Polit społ i rozwój prz'!F98</f>
        <v>58324</v>
      </c>
      <c r="H42" s="4731">
        <f>'Tab. 6B Polit społ i rozwój prz'!G98</f>
        <v>0</v>
      </c>
      <c r="I42" s="4731">
        <f>'Tab. 6B Polit społ i rozwój prz'!H98</f>
        <v>0</v>
      </c>
      <c r="J42" s="4731">
        <f>'Tab. 6B Polit społ i rozwój prz'!I98</f>
        <v>0</v>
      </c>
      <c r="K42" s="4731"/>
      <c r="L42" s="4731"/>
      <c r="M42" s="4731"/>
      <c r="N42" s="4731"/>
      <c r="O42" s="4731"/>
      <c r="P42" s="4731"/>
      <c r="Q42" s="4731"/>
      <c r="R42" s="4732"/>
      <c r="S42" s="4733"/>
      <c r="T42" s="4733"/>
      <c r="U42" s="4733"/>
      <c r="V42" s="4733"/>
    </row>
    <row r="43" spans="1:22">
      <c r="A43" s="4726"/>
      <c r="B43" s="4756" t="s">
        <v>320</v>
      </c>
      <c r="C43" s="4735"/>
      <c r="D43" s="4736"/>
      <c r="E43" s="4737">
        <f>+F43+G43+H43+I43+J43+K43+L43+M43</f>
        <v>8749</v>
      </c>
      <c r="F43" s="4738"/>
      <c r="G43" s="4738">
        <f>'Tab. 6B Polit społ i rozwój prz'!F99</f>
        <v>8749</v>
      </c>
      <c r="H43" s="4738">
        <f>'Tab. 6B Polit społ i rozwój prz'!G99</f>
        <v>0</v>
      </c>
      <c r="I43" s="4738">
        <f>'Tab. 6B Polit społ i rozwój prz'!H99</f>
        <v>0</v>
      </c>
      <c r="J43" s="4738">
        <f>'Tab. 6B Polit społ i rozwój prz'!I99</f>
        <v>0</v>
      </c>
      <c r="K43" s="4738"/>
      <c r="L43" s="4738"/>
      <c r="M43" s="4738"/>
      <c r="N43" s="4738"/>
      <c r="O43" s="4738"/>
      <c r="P43" s="4738"/>
      <c r="Q43" s="4738"/>
      <c r="R43" s="4739"/>
      <c r="S43" s="4739"/>
      <c r="T43" s="4739"/>
      <c r="U43" s="4739"/>
      <c r="V43" s="4739"/>
    </row>
    <row r="44" spans="1:22" ht="13.5" customHeight="1" thickBot="1">
      <c r="A44" s="4726"/>
      <c r="B44" s="4740" t="s">
        <v>197</v>
      </c>
      <c r="C44" s="4754">
        <f>E44-E45</f>
        <v>0</v>
      </c>
      <c r="D44" s="4742"/>
      <c r="E44" s="4743">
        <f>+F44+G44+H44+I44+J44+K44+L44+M44</f>
        <v>49575</v>
      </c>
      <c r="F44" s="4744"/>
      <c r="G44" s="4744">
        <f>'Tab. 6B Polit społ i rozwój prz'!F102</f>
        <v>49575</v>
      </c>
      <c r="H44" s="4744">
        <f>'Tab. 6B Polit społ i rozwój prz'!G102</f>
        <v>0</v>
      </c>
      <c r="I44" s="4744">
        <f>'Tab. 6B Polit społ i rozwój prz'!H102</f>
        <v>0</v>
      </c>
      <c r="J44" s="4744">
        <f>'Tab. 6B Polit społ i rozwój prz'!I102</f>
        <v>0</v>
      </c>
      <c r="K44" s="4744"/>
      <c r="L44" s="4744"/>
      <c r="M44" s="4744"/>
      <c r="N44" s="4744"/>
      <c r="O44" s="4744"/>
      <c r="P44" s="4744"/>
      <c r="Q44" s="4744"/>
      <c r="R44" s="4745"/>
      <c r="S44" s="4746"/>
      <c r="T44" s="4746"/>
      <c r="U44" s="4746"/>
      <c r="V44" s="4746"/>
    </row>
    <row r="45" spans="1:22" ht="13.5" customHeight="1" thickBot="1">
      <c r="A45" s="4747"/>
      <c r="B45" s="4748" t="s">
        <v>317</v>
      </c>
      <c r="C45" s="4749"/>
      <c r="D45" s="4750"/>
      <c r="E45" s="4751">
        <f>F45+G45+H45+I45+J45+K45+L45+M45</f>
        <v>49575</v>
      </c>
      <c r="F45" s="4752"/>
      <c r="G45" s="4752">
        <f>'Tab. 6B Polit społ i rozwój prz'!F107</f>
        <v>49575</v>
      </c>
      <c r="H45" s="4752">
        <f>'Tab. 6B Polit społ i rozwój prz'!G107</f>
        <v>0</v>
      </c>
      <c r="I45" s="4752">
        <f>'Tab. 6B Polit społ i rozwój prz'!H107</f>
        <v>0</v>
      </c>
      <c r="J45" s="4752">
        <f>'Tab. 6B Polit społ i rozwój prz'!I107</f>
        <v>0</v>
      </c>
      <c r="K45" s="4752"/>
      <c r="L45" s="4752"/>
      <c r="M45" s="4752"/>
      <c r="N45" s="4752"/>
      <c r="O45" s="4752"/>
      <c r="P45" s="4752"/>
      <c r="Q45" s="4752"/>
      <c r="R45" s="4753"/>
      <c r="S45" s="4753"/>
      <c r="T45" s="4753"/>
      <c r="U45" s="4753"/>
      <c r="V45" s="4753"/>
    </row>
    <row r="46" spans="1:22" ht="31.5" customHeight="1">
      <c r="A46" s="4757" t="s">
        <v>80</v>
      </c>
      <c r="B46" s="4758" t="str">
        <f>'Tab. 6C - Ochrona zdrowia'!B21</f>
        <v>Zachodniopomorskie e-zdrowie (2018-2021) w ramach Osi IX RPO WZ - wydatki majątkowe</v>
      </c>
      <c r="C46" s="4719" t="s">
        <v>751</v>
      </c>
      <c r="D46" s="4720">
        <f>E49/E47%</f>
        <v>87.252207514632232</v>
      </c>
      <c r="E46" s="4721"/>
      <c r="F46" s="4722"/>
      <c r="G46" s="4723"/>
      <c r="H46" s="4722"/>
      <c r="I46" s="4722"/>
      <c r="J46" s="4722"/>
      <c r="K46" s="4722"/>
      <c r="L46" s="4722"/>
      <c r="M46" s="4722"/>
      <c r="N46" s="4722"/>
      <c r="O46" s="4722"/>
      <c r="P46" s="4722"/>
      <c r="Q46" s="4722"/>
      <c r="R46" s="4724"/>
      <c r="S46" s="4725"/>
      <c r="T46" s="4725"/>
      <c r="U46" s="4725"/>
      <c r="V46" s="4725"/>
    </row>
    <row r="47" spans="1:22" ht="13.5" customHeight="1">
      <c r="A47" s="4759"/>
      <c r="B47" s="4760" t="s">
        <v>195</v>
      </c>
      <c r="C47" s="4728"/>
      <c r="D47" s="4729"/>
      <c r="E47" s="4730">
        <f>+F47+G47+H47+I47+J47+K47+L47+M47</f>
        <v>37726477</v>
      </c>
      <c r="F47" s="4731">
        <f>'Tab. 6C - Ochrona zdrowia'!E22-'Tab. 6C - Ochrona zdrowia'!E25</f>
        <v>0</v>
      </c>
      <c r="G47" s="4731">
        <f>'Tab. 6C - Ochrona zdrowia'!F22-'Tab. 6C - Ochrona zdrowia'!F25</f>
        <v>0</v>
      </c>
      <c r="H47" s="4731">
        <f>'Tab. 6C - Ochrona zdrowia'!G22-'Tab. 6C - Ochrona zdrowia'!G25</f>
        <v>5508086</v>
      </c>
      <c r="I47" s="4731">
        <f>'Tab. 6C - Ochrona zdrowia'!H22-'Tab. 6C - Ochrona zdrowia'!H25</f>
        <v>15012716</v>
      </c>
      <c r="J47" s="4731">
        <f>'Tab. 6C - Ochrona zdrowia'!I22-'Tab. 6C - Ochrona zdrowia'!I25</f>
        <v>15011977</v>
      </c>
      <c r="K47" s="4731">
        <f>'Tab. 6C - Ochrona zdrowia'!J22-'Tab. 6C - Ochrona zdrowia'!J25</f>
        <v>2193698</v>
      </c>
      <c r="L47" s="4731">
        <f>'Tab. 6C - Ochrona zdrowia'!K22-'Tab. 6C - Ochrona zdrowia'!K25</f>
        <v>0</v>
      </c>
      <c r="M47" s="4731">
        <f>'Tab. 6C - Ochrona zdrowia'!L22-'Tab. 6C - Ochrona zdrowia'!L25</f>
        <v>0</v>
      </c>
      <c r="N47" s="4731"/>
      <c r="O47" s="4731"/>
      <c r="P47" s="4731"/>
      <c r="Q47" s="4731"/>
      <c r="R47" s="4732"/>
      <c r="S47" s="4733"/>
      <c r="T47" s="4733"/>
      <c r="U47" s="4733"/>
      <c r="V47" s="4733"/>
    </row>
    <row r="48" spans="1:22" ht="13.5" customHeight="1">
      <c r="A48" s="4759"/>
      <c r="B48" s="4761" t="s">
        <v>320</v>
      </c>
      <c r="C48" s="4735"/>
      <c r="D48" s="4736"/>
      <c r="E48" s="4737">
        <f>+F48+G48+H48+I48+J48+K48+L48+M48</f>
        <v>4809293</v>
      </c>
      <c r="F48" s="4738">
        <f>'Tab. 6C - Ochrona zdrowia'!E23-'Tab. 6C - Ochrona zdrowia'!E25</f>
        <v>0</v>
      </c>
      <c r="G48" s="4738">
        <f>'Tab. 6C - Ochrona zdrowia'!F23-'Tab. 6C - Ochrona zdrowia'!F25</f>
        <v>0</v>
      </c>
      <c r="H48" s="4738">
        <f>'Tab. 6C - Ochrona zdrowia'!G23-'Tab. 6C - Ochrona zdrowia'!G25</f>
        <v>579799</v>
      </c>
      <c r="I48" s="4738">
        <f>'Tab. 6C - Ochrona zdrowia'!H23-'Tab. 6C - Ochrona zdrowia'!H25</f>
        <v>1648643</v>
      </c>
      <c r="J48" s="4738">
        <f>'Tab. 6C - Ochrona zdrowia'!I23-'Tab. 6C - Ochrona zdrowia'!I25</f>
        <v>2251796</v>
      </c>
      <c r="K48" s="4738">
        <f>'Tab. 6C - Ochrona zdrowia'!J23-'Tab. 6C - Ochrona zdrowia'!J25</f>
        <v>329055</v>
      </c>
      <c r="L48" s="4738">
        <f>'Tab. 6C - Ochrona zdrowia'!K23-'Tab. 6C - Ochrona zdrowia'!K25</f>
        <v>0</v>
      </c>
      <c r="M48" s="4738">
        <f>'Tab. 6C - Ochrona zdrowia'!L23-'Tab. 6C - Ochrona zdrowia'!L25</f>
        <v>0</v>
      </c>
      <c r="N48" s="4738"/>
      <c r="O48" s="4738"/>
      <c r="P48" s="4738"/>
      <c r="Q48" s="4738"/>
      <c r="R48" s="4739"/>
      <c r="S48" s="4739"/>
      <c r="T48" s="4739"/>
      <c r="U48" s="4739"/>
      <c r="V48" s="4739"/>
    </row>
    <row r="49" spans="1:22" ht="13.5" customHeight="1" thickBot="1">
      <c r="A49" s="4759"/>
      <c r="B49" s="4762" t="s">
        <v>197</v>
      </c>
      <c r="C49" s="4754">
        <f>E49-E50</f>
        <v>0</v>
      </c>
      <c r="D49" s="4742"/>
      <c r="E49" s="4743">
        <f>+F49+G49+H49+I49+J49+K49+L49+M49</f>
        <v>32917184</v>
      </c>
      <c r="F49" s="4744">
        <f>'Tab. 6C - Ochrona zdrowia'!E28</f>
        <v>0</v>
      </c>
      <c r="G49" s="4744">
        <f>'Tab. 6C - Ochrona zdrowia'!F28</f>
        <v>0</v>
      </c>
      <c r="H49" s="4744">
        <f>'Tab. 6C - Ochrona zdrowia'!G28</f>
        <v>4928287</v>
      </c>
      <c r="I49" s="4744">
        <f>'Tab. 6C - Ochrona zdrowia'!H28</f>
        <v>13364073</v>
      </c>
      <c r="J49" s="4744">
        <f>'Tab. 6C - Ochrona zdrowia'!I28</f>
        <v>12760181</v>
      </c>
      <c r="K49" s="4744">
        <f>'Tab. 6C - Ochrona zdrowia'!J28</f>
        <v>1864643</v>
      </c>
      <c r="L49" s="4744">
        <f>'Tab. 6C - Ochrona zdrowia'!K28</f>
        <v>0</v>
      </c>
      <c r="M49" s="4744">
        <f>'Tab. 6C - Ochrona zdrowia'!L28</f>
        <v>0</v>
      </c>
      <c r="N49" s="4744"/>
      <c r="O49" s="4744"/>
      <c r="P49" s="4744"/>
      <c r="Q49" s="4744"/>
      <c r="R49" s="4745"/>
      <c r="S49" s="4746"/>
      <c r="T49" s="4746"/>
      <c r="U49" s="4746"/>
      <c r="V49" s="4746"/>
    </row>
    <row r="50" spans="1:22" ht="13.5" customHeight="1" thickBot="1">
      <c r="A50" s="4763"/>
      <c r="B50" s="4764" t="s">
        <v>317</v>
      </c>
      <c r="C50" s="4749"/>
      <c r="D50" s="4750"/>
      <c r="E50" s="4751">
        <f>F50+G50+H50+I50+J50+K50+L50+M50</f>
        <v>32917184</v>
      </c>
      <c r="F50" s="4752">
        <f>'Tab. 6C - Ochrona zdrowia'!E32</f>
        <v>0</v>
      </c>
      <c r="G50" s="4752">
        <f>'Tab. 6C - Ochrona zdrowia'!F32</f>
        <v>0</v>
      </c>
      <c r="H50" s="4752">
        <f>'Tab. 6C - Ochrona zdrowia'!G32</f>
        <v>4928287</v>
      </c>
      <c r="I50" s="4752">
        <f>'Tab. 6C - Ochrona zdrowia'!H32</f>
        <v>13364073</v>
      </c>
      <c r="J50" s="4752">
        <f>'Tab. 6C - Ochrona zdrowia'!I32</f>
        <v>12760181</v>
      </c>
      <c r="K50" s="4752">
        <f>'Tab. 6C - Ochrona zdrowia'!J32</f>
        <v>1864643</v>
      </c>
      <c r="L50" s="4752">
        <f>'Tab. 6C - Ochrona zdrowia'!K32</f>
        <v>0</v>
      </c>
      <c r="M50" s="4752">
        <f>'Tab. 6C - Ochrona zdrowia'!L32</f>
        <v>0</v>
      </c>
      <c r="N50" s="4752"/>
      <c r="O50" s="4752"/>
      <c r="P50" s="4752"/>
      <c r="Q50" s="4752"/>
      <c r="R50" s="4753"/>
      <c r="S50" s="4753"/>
      <c r="T50" s="4753"/>
      <c r="U50" s="4753"/>
      <c r="V50" s="4753"/>
    </row>
    <row r="51" spans="1:22" ht="30.75" customHeight="1">
      <c r="A51" s="4757" t="s">
        <v>81</v>
      </c>
      <c r="B51" s="4758" t="str">
        <f>'Tab.6I - Planow. przestrz.'!B73</f>
        <v>Budowa Regionalnej Infrastruktury Informacji Przestrzennej Województwa Zachodniopomorskiego w ramach działania 9.10 RPO WZ (2019 - 2021)</v>
      </c>
      <c r="C51" s="4719" t="s">
        <v>752</v>
      </c>
      <c r="D51" s="4720">
        <f>E54/E52%</f>
        <v>85</v>
      </c>
      <c r="E51" s="4721"/>
      <c r="F51" s="4722"/>
      <c r="G51" s="4723"/>
      <c r="H51" s="4722"/>
      <c r="I51" s="4722"/>
      <c r="J51" s="4722"/>
      <c r="K51" s="4722"/>
      <c r="L51" s="4722"/>
      <c r="M51" s="4722"/>
      <c r="N51" s="4722"/>
      <c r="O51" s="4722"/>
      <c r="P51" s="4722"/>
      <c r="Q51" s="4722"/>
      <c r="R51" s="4724"/>
      <c r="S51" s="4725"/>
      <c r="T51" s="4725"/>
      <c r="U51" s="4725"/>
      <c r="V51" s="4725"/>
    </row>
    <row r="52" spans="1:22" ht="17.25" customHeight="1">
      <c r="A52" s="4759"/>
      <c r="B52" s="4727" t="s">
        <v>195</v>
      </c>
      <c r="C52" s="4728"/>
      <c r="D52" s="4729"/>
      <c r="E52" s="4730">
        <f>+F52+G52+H52+I52+J52+K52+L52+M52</f>
        <v>52566300</v>
      </c>
      <c r="F52" s="4731">
        <f>'Tab.6I - Planow. przestrz.'!E74</f>
        <v>0</v>
      </c>
      <c r="G52" s="4731">
        <f>'Tab.6I - Planow. przestrz.'!F74</f>
        <v>0</v>
      </c>
      <c r="H52" s="4731">
        <f>'Tab.6I - Planow. przestrz.'!G74</f>
        <v>0</v>
      </c>
      <c r="I52" s="4731">
        <f>'Tab.6I - Planow. przestrz.'!H74</f>
        <v>15657298</v>
      </c>
      <c r="J52" s="4731">
        <f>'Tab.6I - Planow. przestrz.'!I74</f>
        <v>30313619</v>
      </c>
      <c r="K52" s="4731">
        <f>'Tab.6I - Planow. przestrz.'!J74</f>
        <v>6595383</v>
      </c>
      <c r="L52" s="4731">
        <f>'Tab.6I - Planow. przestrz.'!K74</f>
        <v>0</v>
      </c>
      <c r="M52" s="4731">
        <f>'Tab.6I - Planow. przestrz.'!L74</f>
        <v>0</v>
      </c>
      <c r="N52" s="4731"/>
      <c r="O52" s="4731"/>
      <c r="P52" s="4731"/>
      <c r="Q52" s="4731"/>
      <c r="R52" s="4732"/>
      <c r="S52" s="4733"/>
      <c r="T52" s="4733"/>
      <c r="U52" s="4733"/>
      <c r="V52" s="4733"/>
    </row>
    <row r="53" spans="1:22" ht="13.5" customHeight="1">
      <c r="A53" s="4759"/>
      <c r="B53" s="4734" t="s">
        <v>196</v>
      </c>
      <c r="C53" s="4735"/>
      <c r="D53" s="4736"/>
      <c r="E53" s="4737">
        <f>+F53+G53+H53+I53+J53+K53+L53+M53</f>
        <v>7884945</v>
      </c>
      <c r="F53" s="4738">
        <f>'Tab.6I - Planow. przestrz.'!E75</f>
        <v>0</v>
      </c>
      <c r="G53" s="4738">
        <f>'Tab.6I - Planow. przestrz.'!F75</f>
        <v>0</v>
      </c>
      <c r="H53" s="4738">
        <f>'Tab.6I - Planow. przestrz.'!G75</f>
        <v>0</v>
      </c>
      <c r="I53" s="4738">
        <f>'Tab.6I - Planow. przestrz.'!H75</f>
        <v>2348595</v>
      </c>
      <c r="J53" s="4738">
        <f>'Tab.6I - Planow. przestrz.'!I75</f>
        <v>4547043</v>
      </c>
      <c r="K53" s="4738">
        <f>'Tab.6I - Planow. przestrz.'!J75</f>
        <v>989307</v>
      </c>
      <c r="L53" s="4738">
        <f>'Tab.6I - Planow. przestrz.'!K75</f>
        <v>0</v>
      </c>
      <c r="M53" s="4738">
        <f>'Tab.6I - Planow. przestrz.'!L75</f>
        <v>0</v>
      </c>
      <c r="N53" s="4738"/>
      <c r="O53" s="4738"/>
      <c r="P53" s="4738"/>
      <c r="Q53" s="4738"/>
      <c r="R53" s="4739"/>
      <c r="S53" s="4739"/>
      <c r="T53" s="4739"/>
      <c r="U53" s="4739"/>
      <c r="V53" s="4739"/>
    </row>
    <row r="54" spans="1:22" ht="13.5" customHeight="1" thickBot="1">
      <c r="A54" s="4759"/>
      <c r="B54" s="4740" t="s">
        <v>197</v>
      </c>
      <c r="C54" s="4754">
        <f>E54-E55</f>
        <v>0</v>
      </c>
      <c r="D54" s="4742"/>
      <c r="E54" s="4743">
        <f>+F54+G54+H54+I54+J54+K54+L54+M54</f>
        <v>44681355</v>
      </c>
      <c r="F54" s="4744">
        <f>'Tab.6I - Planow. przestrz.'!E78</f>
        <v>0</v>
      </c>
      <c r="G54" s="4744">
        <f>'Tab.6I - Planow. przestrz.'!F78</f>
        <v>0</v>
      </c>
      <c r="H54" s="4744">
        <f>'Tab.6I - Planow. przestrz.'!G78</f>
        <v>0</v>
      </c>
      <c r="I54" s="4744">
        <f>'Tab.6I - Planow. przestrz.'!H78</f>
        <v>13308703</v>
      </c>
      <c r="J54" s="4744">
        <f>'Tab.6I - Planow. przestrz.'!I78</f>
        <v>25766576</v>
      </c>
      <c r="K54" s="4744">
        <f>'Tab.6I - Planow. przestrz.'!J78</f>
        <v>5606076</v>
      </c>
      <c r="L54" s="4744">
        <f>'Tab.6I - Planow. przestrz.'!K78</f>
        <v>0</v>
      </c>
      <c r="M54" s="4744">
        <f>'Tab.6I - Planow. przestrz.'!L78</f>
        <v>0</v>
      </c>
      <c r="N54" s="4744"/>
      <c r="O54" s="4744"/>
      <c r="P54" s="4744"/>
      <c r="Q54" s="4744"/>
      <c r="R54" s="4745"/>
      <c r="S54" s="4746"/>
      <c r="T54" s="4746"/>
      <c r="U54" s="4746"/>
      <c r="V54" s="4746"/>
    </row>
    <row r="55" spans="1:22" ht="13.5" customHeight="1" thickBot="1">
      <c r="A55" s="4763"/>
      <c r="B55" s="4748" t="s">
        <v>317</v>
      </c>
      <c r="C55" s="4749"/>
      <c r="D55" s="4750"/>
      <c r="E55" s="4751">
        <f>F55+G55+H55+I55+J55+K55+L55+M55</f>
        <v>44681355</v>
      </c>
      <c r="F55" s="4752">
        <f>'Tab.6I - Planow. przestrz.'!E83</f>
        <v>0</v>
      </c>
      <c r="G55" s="4752">
        <f>'Tab.6I - Planow. przestrz.'!F83</f>
        <v>0</v>
      </c>
      <c r="H55" s="4752">
        <f>'Tab.6I - Planow. przestrz.'!G83</f>
        <v>0</v>
      </c>
      <c r="I55" s="4752">
        <f>'Tab.6I - Planow. przestrz.'!H83</f>
        <v>13308703</v>
      </c>
      <c r="J55" s="4752">
        <f>'Tab.6I - Planow. przestrz.'!I83</f>
        <v>25766576</v>
      </c>
      <c r="K55" s="4752">
        <f>'Tab.6I - Planow. przestrz.'!J83</f>
        <v>5606076</v>
      </c>
      <c r="L55" s="4752">
        <f>'Tab.6I - Planow. przestrz.'!K83</f>
        <v>0</v>
      </c>
      <c r="M55" s="4752">
        <f>'Tab.6I - Planow. przestrz.'!L83</f>
        <v>0</v>
      </c>
      <c r="N55" s="4752"/>
      <c r="O55" s="4752"/>
      <c r="P55" s="4752"/>
      <c r="Q55" s="4752"/>
      <c r="R55" s="4753"/>
      <c r="S55" s="4753"/>
      <c r="T55" s="4753"/>
      <c r="U55" s="4753"/>
      <c r="V55" s="4753"/>
    </row>
    <row r="56" spans="1:22" ht="25.5" customHeight="1">
      <c r="A56" s="4717" t="s">
        <v>82</v>
      </c>
      <c r="B56" s="4765" t="str">
        <f>'Tab. 6A -Drogi'!B128</f>
        <v>Przebudowa drogi wojewódzkiej nr 203 na odcinku Dąbki - Darłowo w ramach Osi V RPO (2007-2019)</v>
      </c>
      <c r="C56" s="4719" t="s">
        <v>373</v>
      </c>
      <c r="D56" s="4720">
        <f>E59/E57%</f>
        <v>88.462108200867874</v>
      </c>
      <c r="E56" s="4721"/>
      <c r="F56" s="4722"/>
      <c r="G56" s="4723"/>
      <c r="H56" s="4722"/>
      <c r="I56" s="4722"/>
      <c r="J56" s="4722"/>
      <c r="K56" s="4722"/>
      <c r="L56" s="4722"/>
      <c r="M56" s="4722"/>
      <c r="N56" s="4722"/>
      <c r="O56" s="4722"/>
      <c r="P56" s="4722"/>
      <c r="Q56" s="4722"/>
      <c r="R56" s="4724"/>
      <c r="S56" s="4725"/>
      <c r="T56" s="4725"/>
      <c r="U56" s="4725"/>
      <c r="V56" s="4725"/>
    </row>
    <row r="57" spans="1:22" ht="13.5" customHeight="1">
      <c r="A57" s="4726"/>
      <c r="B57" s="4727" t="s">
        <v>195</v>
      </c>
      <c r="C57" s="4728"/>
      <c r="D57" s="4729"/>
      <c r="E57" s="4730">
        <f>+F57+G57+H57+I57+J57+K57+L57+M57</f>
        <v>41962510</v>
      </c>
      <c r="F57" s="4731">
        <f>'Tab. 6A -Drogi'!E129</f>
        <v>21145902</v>
      </c>
      <c r="G57" s="4731">
        <f>'Tab. 6A -Drogi'!F129</f>
        <v>20739608</v>
      </c>
      <c r="H57" s="4731">
        <f>'Tab. 6A -Drogi'!G129</f>
        <v>15124</v>
      </c>
      <c r="I57" s="4731">
        <f>'Tab. 6A -Drogi'!H129</f>
        <v>61876</v>
      </c>
      <c r="J57" s="4731"/>
      <c r="K57" s="4731"/>
      <c r="L57" s="4731"/>
      <c r="M57" s="4731"/>
      <c r="N57" s="4731"/>
      <c r="O57" s="4731"/>
      <c r="P57" s="4731"/>
      <c r="Q57" s="4731"/>
      <c r="R57" s="4732"/>
      <c r="S57" s="4733"/>
      <c r="T57" s="4733"/>
      <c r="U57" s="4733"/>
      <c r="V57" s="4733"/>
    </row>
    <row r="58" spans="1:22" ht="15" customHeight="1">
      <c r="A58" s="4726"/>
      <c r="B58" s="4734" t="s">
        <v>319</v>
      </c>
      <c r="C58" s="4735"/>
      <c r="D58" s="4736"/>
      <c r="E58" s="4737">
        <f>+F58+G58+H58+I58+J58+K58+L58+M58</f>
        <v>4841589</v>
      </c>
      <c r="F58" s="4738">
        <f>'Tab. 6A -Drogi'!E130</f>
        <v>3234734</v>
      </c>
      <c r="G58" s="4738">
        <f>'Tab. 6A -Drogi'!F130</f>
        <v>1529855</v>
      </c>
      <c r="H58" s="4738">
        <f>'Tab. 6A -Drogi'!G130</f>
        <v>15124</v>
      </c>
      <c r="I58" s="4738">
        <f>'Tab. 6A -Drogi'!H130</f>
        <v>61876</v>
      </c>
      <c r="J58" s="4738"/>
      <c r="K58" s="4738"/>
      <c r="L58" s="4738"/>
      <c r="M58" s="4738"/>
      <c r="N58" s="4738"/>
      <c r="O58" s="4738"/>
      <c r="P58" s="4738"/>
      <c r="Q58" s="4738"/>
      <c r="R58" s="4739"/>
      <c r="S58" s="4739"/>
      <c r="T58" s="4739"/>
      <c r="U58" s="4739"/>
      <c r="V58" s="4739"/>
    </row>
    <row r="59" spans="1:22" ht="13.5" customHeight="1" thickBot="1">
      <c r="A59" s="4726"/>
      <c r="B59" s="4740" t="s">
        <v>197</v>
      </c>
      <c r="C59" s="4754">
        <f>E59-E60</f>
        <v>0</v>
      </c>
      <c r="D59" s="4742"/>
      <c r="E59" s="4743">
        <f>+F59+G59+H59+I59+J59+K59+L59+M59</f>
        <v>37120921</v>
      </c>
      <c r="F59" s="4744">
        <f>'Tab. 6A -Drogi'!E134</f>
        <v>17911168</v>
      </c>
      <c r="G59" s="4744">
        <f>'Tab. 6A -Drogi'!F134</f>
        <v>19209753</v>
      </c>
      <c r="H59" s="4744">
        <f>'Tab. 6A -Drogi'!G134</f>
        <v>0</v>
      </c>
      <c r="I59" s="4744">
        <f>'Tab. 6A -Drogi'!H134</f>
        <v>0</v>
      </c>
      <c r="J59" s="4744"/>
      <c r="K59" s="4744"/>
      <c r="L59" s="4744"/>
      <c r="M59" s="4744"/>
      <c r="N59" s="4744"/>
      <c r="O59" s="4744"/>
      <c r="P59" s="4744"/>
      <c r="Q59" s="4744"/>
      <c r="R59" s="4745"/>
      <c r="S59" s="4746"/>
      <c r="T59" s="4746"/>
      <c r="U59" s="4746"/>
      <c r="V59" s="4746"/>
    </row>
    <row r="60" spans="1:22" ht="13.5" thickBot="1">
      <c r="A60" s="4747"/>
      <c r="B60" s="4748" t="s">
        <v>317</v>
      </c>
      <c r="C60" s="4749"/>
      <c r="D60" s="4750"/>
      <c r="E60" s="4751">
        <f>F60+G60+H60+I60+J60+K60+L60+M60</f>
        <v>37120921</v>
      </c>
      <c r="F60" s="4752">
        <f>'Tab. 6A -Drogi'!E141</f>
        <v>13036781</v>
      </c>
      <c r="G60" s="4752">
        <f>'Tab. 6A -Drogi'!F141</f>
        <v>23546022</v>
      </c>
      <c r="H60" s="4752">
        <f>'Tab. 6A -Drogi'!G141</f>
        <v>538118</v>
      </c>
      <c r="I60" s="4752">
        <f>'Tab. 6A -Drogi'!H141</f>
        <v>0</v>
      </c>
      <c r="J60" s="4752"/>
      <c r="K60" s="4752"/>
      <c r="L60" s="4752"/>
      <c r="M60" s="4752"/>
      <c r="N60" s="4752"/>
      <c r="O60" s="4752"/>
      <c r="P60" s="4752"/>
      <c r="Q60" s="4752"/>
      <c r="R60" s="4753"/>
      <c r="S60" s="4753"/>
      <c r="T60" s="4753"/>
      <c r="U60" s="4753"/>
      <c r="V60" s="4753"/>
    </row>
    <row r="61" spans="1:22" ht="63.75" customHeight="1">
      <c r="A61" s="4717" t="s">
        <v>83</v>
      </c>
      <c r="B61" s="4718" t="str">
        <f>'Tab. 6A -Drogi'!B336</f>
        <v>Zakup kolejowego taboru pasażerskiego o napędzie elektrycznym w ramach Osi V RPO (2017-2018)</v>
      </c>
      <c r="C61" s="4719" t="s">
        <v>585</v>
      </c>
      <c r="D61" s="4720">
        <f>E64/E62%</f>
        <v>85</v>
      </c>
      <c r="E61" s="4721"/>
      <c r="F61" s="4722"/>
      <c r="G61" s="4723"/>
      <c r="H61" s="4722"/>
      <c r="I61" s="4722"/>
      <c r="J61" s="4722"/>
      <c r="K61" s="4722"/>
      <c r="L61" s="4722"/>
      <c r="M61" s="4722"/>
      <c r="N61" s="4722"/>
      <c r="O61" s="4722"/>
      <c r="P61" s="4722"/>
      <c r="Q61" s="4722"/>
      <c r="R61" s="4724"/>
      <c r="S61" s="4725"/>
      <c r="T61" s="4725"/>
      <c r="U61" s="4725"/>
      <c r="V61" s="4725"/>
    </row>
    <row r="62" spans="1:22" ht="13.5" customHeight="1">
      <c r="A62" s="4726"/>
      <c r="B62" s="4727" t="s">
        <v>195</v>
      </c>
      <c r="C62" s="4728"/>
      <c r="D62" s="4729"/>
      <c r="E62" s="4730">
        <f>+F62+G62+H62+I62+J62+K62+L62+M62</f>
        <v>203900000</v>
      </c>
      <c r="F62" s="4731">
        <f>'Tab. 6A -Drogi'!E337</f>
        <v>0</v>
      </c>
      <c r="G62" s="4731">
        <f>'Tab. 6A -Drogi'!F337</f>
        <v>142545000</v>
      </c>
      <c r="H62" s="4731">
        <f>'Tab. 6A -Drogi'!G337</f>
        <v>61355000</v>
      </c>
      <c r="I62" s="4731">
        <f>'Tab. 6A -Drogi'!H337</f>
        <v>0</v>
      </c>
      <c r="J62" s="4731">
        <f>'Tab. 6A -Drogi'!I337</f>
        <v>0</v>
      </c>
      <c r="K62" s="4731"/>
      <c r="L62" s="4731"/>
      <c r="M62" s="4731"/>
      <c r="N62" s="4731"/>
      <c r="O62" s="4731"/>
      <c r="P62" s="4731"/>
      <c r="Q62" s="4731"/>
      <c r="R62" s="4732"/>
      <c r="S62" s="4733"/>
      <c r="T62" s="4733"/>
      <c r="U62" s="4733"/>
      <c r="V62" s="4733"/>
    </row>
    <row r="63" spans="1:22">
      <c r="A63" s="4726"/>
      <c r="B63" s="4734" t="s">
        <v>321</v>
      </c>
      <c r="C63" s="4735"/>
      <c r="D63" s="4736"/>
      <c r="E63" s="4737">
        <f>+F63+G63+H63+I63+J63+K63+L63+M63</f>
        <v>30585000</v>
      </c>
      <c r="F63" s="4738">
        <f>'Tab. 6A -Drogi'!E338</f>
        <v>0</v>
      </c>
      <c r="G63" s="4738">
        <f>'Tab. 6A -Drogi'!F338</f>
        <v>21381750</v>
      </c>
      <c r="H63" s="4738">
        <f>'Tab. 6A -Drogi'!G338</f>
        <v>9203250</v>
      </c>
      <c r="I63" s="4738">
        <f>'Tab. 6A -Drogi'!H338</f>
        <v>0</v>
      </c>
      <c r="J63" s="4738">
        <f>'Tab. 6A -Drogi'!I338</f>
        <v>0</v>
      </c>
      <c r="K63" s="4738"/>
      <c r="L63" s="4738"/>
      <c r="M63" s="4738"/>
      <c r="N63" s="4738"/>
      <c r="O63" s="4738"/>
      <c r="P63" s="4738"/>
      <c r="Q63" s="4738"/>
      <c r="R63" s="4739"/>
      <c r="S63" s="4739"/>
      <c r="T63" s="4739"/>
      <c r="U63" s="4739"/>
      <c r="V63" s="4739"/>
    </row>
    <row r="64" spans="1:22" ht="13.5" customHeight="1" thickBot="1">
      <c r="A64" s="4726"/>
      <c r="B64" s="4740" t="s">
        <v>197</v>
      </c>
      <c r="C64" s="4754">
        <f>E64-E65</f>
        <v>0</v>
      </c>
      <c r="D64" s="4742"/>
      <c r="E64" s="4743">
        <f>+F64+G64+H64+I64+J64+K64+L64+M64</f>
        <v>173315000</v>
      </c>
      <c r="F64" s="4744">
        <f>'Tab. 6A -Drogi'!E342</f>
        <v>0</v>
      </c>
      <c r="G64" s="4744">
        <f>'Tab. 6A -Drogi'!F342</f>
        <v>121163250</v>
      </c>
      <c r="H64" s="4744">
        <f>'Tab. 6A -Drogi'!G342</f>
        <v>52151750</v>
      </c>
      <c r="I64" s="4744">
        <f>'Tab. 6A -Drogi'!H342</f>
        <v>0</v>
      </c>
      <c r="J64" s="4744">
        <f>'Tab. 6A -Drogi'!I342</f>
        <v>0</v>
      </c>
      <c r="K64" s="4744"/>
      <c r="L64" s="4744"/>
      <c r="M64" s="4744"/>
      <c r="N64" s="4744"/>
      <c r="O64" s="4744"/>
      <c r="P64" s="4744"/>
      <c r="Q64" s="4744"/>
      <c r="R64" s="4745"/>
      <c r="S64" s="4746"/>
      <c r="T64" s="4746"/>
      <c r="U64" s="4746"/>
      <c r="V64" s="4746"/>
    </row>
    <row r="65" spans="1:22" ht="15" customHeight="1" thickBot="1">
      <c r="A65" s="4747"/>
      <c r="B65" s="4766" t="s">
        <v>317</v>
      </c>
      <c r="C65" s="4767"/>
      <c r="D65" s="4768"/>
      <c r="E65" s="4751">
        <f>F65+G65+H65+I65+J65+K65+L65+M65</f>
        <v>173315000</v>
      </c>
      <c r="F65" s="4752">
        <f>'Tab. 6A -Drogi'!E348</f>
        <v>0</v>
      </c>
      <c r="G65" s="4752">
        <f>'Tab. 6A -Drogi'!F348</f>
        <v>121163250</v>
      </c>
      <c r="H65" s="4752">
        <f>'Tab. 6A -Drogi'!G348</f>
        <v>52151750</v>
      </c>
      <c r="I65" s="4752">
        <f>'Tab. 6A -Drogi'!H348</f>
        <v>0</v>
      </c>
      <c r="J65" s="4752">
        <f>'Tab. 6A -Drogi'!I348</f>
        <v>0</v>
      </c>
      <c r="K65" s="4752"/>
      <c r="L65" s="4752"/>
      <c r="M65" s="4752"/>
      <c r="N65" s="4752"/>
      <c r="O65" s="4752"/>
      <c r="P65" s="4752"/>
      <c r="Q65" s="4752"/>
      <c r="R65" s="4753"/>
      <c r="S65" s="4753"/>
      <c r="T65" s="4753"/>
      <c r="U65" s="4753"/>
      <c r="V65" s="4753"/>
    </row>
    <row r="66" spans="1:22" ht="35.25" customHeight="1" thickBot="1">
      <c r="A66" s="4769" t="s">
        <v>84</v>
      </c>
      <c r="B66" s="4770" t="str">
        <f>'Tab. 6A -Drogi'!B350</f>
        <v>Zakup kolejowego taboru pasażerskiego o napędzie elektrycznym  - prawo opcji w ramach Osi V RPO (2017-2018)</v>
      </c>
      <c r="C66" s="4771" t="s">
        <v>586</v>
      </c>
      <c r="D66" s="4772">
        <f>E69/E67%</f>
        <v>85</v>
      </c>
      <c r="E66" s="4773"/>
      <c r="F66" s="4774"/>
      <c r="G66" s="4775"/>
      <c r="H66" s="4774"/>
      <c r="I66" s="4774"/>
      <c r="J66" s="4774"/>
      <c r="K66" s="4774"/>
      <c r="L66" s="4774"/>
      <c r="M66" s="4774"/>
      <c r="N66" s="4774"/>
      <c r="O66" s="4774"/>
      <c r="P66" s="4774"/>
      <c r="Q66" s="4774"/>
      <c r="R66" s="4776"/>
      <c r="S66" s="4725"/>
      <c r="T66" s="4725"/>
      <c r="U66" s="4725"/>
      <c r="V66" s="4725"/>
    </row>
    <row r="67" spans="1:22" ht="15" customHeight="1" thickTop="1">
      <c r="A67" s="4777"/>
      <c r="B67" s="4729" t="s">
        <v>195</v>
      </c>
      <c r="C67" s="4778"/>
      <c r="D67" s="4779"/>
      <c r="E67" s="4730">
        <f>+F67+G67+H67</f>
        <v>122710000</v>
      </c>
      <c r="F67" s="4731">
        <f>'Tab. 6A -Drogi'!E351</f>
        <v>0</v>
      </c>
      <c r="G67" s="4731">
        <f>'Tab. 6A -Drogi'!F351</f>
        <v>0</v>
      </c>
      <c r="H67" s="4731">
        <f>'Tab. 6A -Drogi'!G351</f>
        <v>122710000</v>
      </c>
      <c r="I67" s="4731">
        <f>'Tab. 6A -Drogi'!H351</f>
        <v>0</v>
      </c>
      <c r="J67" s="4731">
        <f>'Tab. 6A -Drogi'!I351</f>
        <v>0</v>
      </c>
      <c r="K67" s="4731"/>
      <c r="L67" s="4731"/>
      <c r="M67" s="4731"/>
      <c r="N67" s="4731"/>
      <c r="O67" s="4731"/>
      <c r="P67" s="4731"/>
      <c r="Q67" s="4731"/>
      <c r="R67" s="4732"/>
      <c r="S67" s="4733"/>
      <c r="T67" s="4733"/>
      <c r="U67" s="4733"/>
      <c r="V67" s="4733"/>
    </row>
    <row r="68" spans="1:22" ht="16.5" customHeight="1">
      <c r="A68" s="4777"/>
      <c r="B68" s="4780" t="s">
        <v>196</v>
      </c>
      <c r="C68" s="4781"/>
      <c r="D68" s="4736"/>
      <c r="E68" s="4737">
        <f>+F68+G68+H68</f>
        <v>18406500</v>
      </c>
      <c r="F68" s="4782">
        <f>'Tab. 6A -Drogi'!E352</f>
        <v>0</v>
      </c>
      <c r="G68" s="4782">
        <f>'Tab. 6A -Drogi'!F352</f>
        <v>0</v>
      </c>
      <c r="H68" s="4782">
        <f>'Tab. 6A -Drogi'!G352</f>
        <v>18406500</v>
      </c>
      <c r="I68" s="4782">
        <f>'Tab. 6A -Drogi'!H352</f>
        <v>0</v>
      </c>
      <c r="J68" s="4782">
        <f>'Tab. 6A -Drogi'!I352</f>
        <v>0</v>
      </c>
      <c r="K68" s="4782"/>
      <c r="L68" s="4782"/>
      <c r="M68" s="4782"/>
      <c r="N68" s="4782"/>
      <c r="O68" s="4782"/>
      <c r="P68" s="4782"/>
      <c r="Q68" s="4782"/>
      <c r="R68" s="4783"/>
      <c r="S68" s="4739"/>
      <c r="T68" s="4739"/>
      <c r="U68" s="4739"/>
      <c r="V68" s="4739"/>
    </row>
    <row r="69" spans="1:22" ht="16.5" customHeight="1" thickBot="1">
      <c r="A69" s="4777"/>
      <c r="B69" s="4784" t="s">
        <v>197</v>
      </c>
      <c r="C69" s="4785"/>
      <c r="D69" s="4742"/>
      <c r="E69" s="4786">
        <f>+F69+G69+H69</f>
        <v>104303500</v>
      </c>
      <c r="F69" s="4744">
        <f>'Tab. 6A -Drogi'!E356</f>
        <v>0</v>
      </c>
      <c r="G69" s="4744">
        <f>'Tab. 6A -Drogi'!F356</f>
        <v>0</v>
      </c>
      <c r="H69" s="4744">
        <f>'Tab. 6A -Drogi'!G356</f>
        <v>104303500</v>
      </c>
      <c r="I69" s="4744">
        <f>'Tab. 6A -Drogi'!H356</f>
        <v>0</v>
      </c>
      <c r="J69" s="4744">
        <f>'Tab. 6A -Drogi'!I356</f>
        <v>0</v>
      </c>
      <c r="K69" s="4744"/>
      <c r="L69" s="4744"/>
      <c r="M69" s="4744"/>
      <c r="N69" s="4744"/>
      <c r="O69" s="4744"/>
      <c r="P69" s="4744"/>
      <c r="Q69" s="4744"/>
      <c r="R69" s="4745"/>
      <c r="S69" s="4787"/>
      <c r="T69" s="4787"/>
      <c r="U69" s="4787"/>
      <c r="V69" s="4787"/>
    </row>
    <row r="70" spans="1:22" ht="15" customHeight="1" thickBot="1">
      <c r="A70" s="4788"/>
      <c r="B70" s="4768" t="s">
        <v>317</v>
      </c>
      <c r="C70" s="4789"/>
      <c r="D70" s="4790"/>
      <c r="E70" s="4751">
        <f>F70+G70+H70+I70+J70+K70+L70+M70</f>
        <v>104303500</v>
      </c>
      <c r="F70" s="4752">
        <f>'Tab. 6A -Drogi'!E360</f>
        <v>0</v>
      </c>
      <c r="G70" s="4752">
        <f>'Tab. 6A -Drogi'!F360</f>
        <v>0</v>
      </c>
      <c r="H70" s="4752">
        <f>'Tab. 6A -Drogi'!G360</f>
        <v>104303500</v>
      </c>
      <c r="I70" s="4752">
        <f>'Tab. 6A -Drogi'!H360</f>
        <v>0</v>
      </c>
      <c r="J70" s="4752">
        <f>'Tab. 6A -Drogi'!I360</f>
        <v>0</v>
      </c>
      <c r="K70" s="4752"/>
      <c r="L70" s="4752"/>
      <c r="M70" s="4752"/>
      <c r="N70" s="4752"/>
      <c r="O70" s="4752"/>
      <c r="P70" s="4752"/>
      <c r="Q70" s="4752"/>
      <c r="R70" s="4753"/>
      <c r="S70" s="4753"/>
      <c r="T70" s="4753"/>
      <c r="U70" s="4753"/>
      <c r="V70" s="4753"/>
    </row>
    <row r="71" spans="1:22" ht="28.5" customHeight="1">
      <c r="A71" s="4717" t="s">
        <v>85</v>
      </c>
      <c r="B71" s="4791" t="str">
        <f>'Tab. 6H - Kultura fiz. i turyst'!B25</f>
        <v>Budowa sieci tras rowerowych Pomorza Zachodniego - Trasa Pojezierna w ramach Osi IV RPO WZ (2016-2018)</v>
      </c>
      <c r="C71" s="4792" t="s">
        <v>376</v>
      </c>
      <c r="D71" s="4720">
        <f>E74/E72%</f>
        <v>82.629486845798937</v>
      </c>
      <c r="E71" s="4721"/>
      <c r="F71" s="4722"/>
      <c r="G71" s="4723"/>
      <c r="H71" s="4722"/>
      <c r="I71" s="4722"/>
      <c r="J71" s="4722"/>
      <c r="K71" s="4722"/>
      <c r="L71" s="4722"/>
      <c r="M71" s="4722"/>
      <c r="N71" s="4722"/>
      <c r="O71" s="4722"/>
      <c r="P71" s="4722"/>
      <c r="Q71" s="4722"/>
      <c r="R71" s="4724"/>
      <c r="S71" s="4725"/>
      <c r="T71" s="4725"/>
      <c r="U71" s="4725"/>
      <c r="V71" s="4725"/>
    </row>
    <row r="72" spans="1:22" ht="13.5" customHeight="1">
      <c r="A72" s="4726"/>
      <c r="B72" s="4727" t="s">
        <v>195</v>
      </c>
      <c r="C72" s="4728"/>
      <c r="D72" s="4729"/>
      <c r="E72" s="4730">
        <f>+F72+G72+H72+I72+J72+K72+L72+M72</f>
        <v>28373635</v>
      </c>
      <c r="F72" s="4731">
        <f>'Tab. 6H - Kultura fiz. i turyst'!E26</f>
        <v>146960</v>
      </c>
      <c r="G72" s="4731">
        <f>'Tab. 6H - Kultura fiz. i turyst'!F26</f>
        <v>482652</v>
      </c>
      <c r="H72" s="4731">
        <f>'Tab. 6H - Kultura fiz. i turyst'!G26</f>
        <v>27744023</v>
      </c>
      <c r="I72" s="4731">
        <f>'Tab. 6H - Kultura fiz. i turyst'!H26</f>
        <v>0</v>
      </c>
      <c r="J72" s="4731">
        <f>'Tab. 6H - Kultura fiz. i turyst'!I26</f>
        <v>0</v>
      </c>
      <c r="K72" s="4731">
        <f>'Tab. 6H - Kultura fiz. i turyst'!J26</f>
        <v>0</v>
      </c>
      <c r="L72" s="4731">
        <f>'Tab. 6H - Kultura fiz. i turyst'!K26</f>
        <v>0</v>
      </c>
      <c r="M72" s="4731">
        <f>'Tab. 6H - Kultura fiz. i turyst'!L26</f>
        <v>0</v>
      </c>
      <c r="N72" s="4731"/>
      <c r="O72" s="4731"/>
      <c r="P72" s="4731"/>
      <c r="Q72" s="4731"/>
      <c r="R72" s="4732"/>
      <c r="S72" s="4733"/>
      <c r="T72" s="4733"/>
      <c r="U72" s="4733"/>
      <c r="V72" s="4733"/>
    </row>
    <row r="73" spans="1:22" ht="13.5" customHeight="1">
      <c r="A73" s="4726"/>
      <c r="B73" s="4734" t="s">
        <v>321</v>
      </c>
      <c r="C73" s="4735"/>
      <c r="D73" s="4736"/>
      <c r="E73" s="4737">
        <f>+F73+G73+H73+I73+J73+K73+L73+M73</f>
        <v>4928646</v>
      </c>
      <c r="F73" s="4738">
        <f>'Tab. 6H - Kultura fiz. i turyst'!E27</f>
        <v>146960</v>
      </c>
      <c r="G73" s="4738">
        <f>'Tab. 6H - Kultura fiz. i turyst'!F27</f>
        <v>80135</v>
      </c>
      <c r="H73" s="4738">
        <f>'Tab. 6H - Kultura fiz. i turyst'!G27</f>
        <v>4701551</v>
      </c>
      <c r="I73" s="4738">
        <f>'Tab. 6H - Kultura fiz. i turyst'!H27</f>
        <v>0</v>
      </c>
      <c r="J73" s="4738">
        <f>'Tab. 6H - Kultura fiz. i turyst'!I27</f>
        <v>0</v>
      </c>
      <c r="K73" s="4738">
        <f>'Tab. 6H - Kultura fiz. i turyst'!J27</f>
        <v>0</v>
      </c>
      <c r="L73" s="4738">
        <f>'Tab. 6H - Kultura fiz. i turyst'!K27</f>
        <v>0</v>
      </c>
      <c r="M73" s="4738">
        <f>'Tab. 6H - Kultura fiz. i turyst'!L27</f>
        <v>0</v>
      </c>
      <c r="N73" s="4738"/>
      <c r="O73" s="4738"/>
      <c r="P73" s="4738"/>
      <c r="Q73" s="4738"/>
      <c r="R73" s="4739"/>
      <c r="S73" s="4739"/>
      <c r="T73" s="4739"/>
      <c r="U73" s="4739"/>
      <c r="V73" s="4739"/>
    </row>
    <row r="74" spans="1:22" ht="13.5" customHeight="1" thickBot="1">
      <c r="A74" s="4726"/>
      <c r="B74" s="4740" t="s">
        <v>197</v>
      </c>
      <c r="C74" s="4754">
        <f>E74-E75</f>
        <v>0</v>
      </c>
      <c r="D74" s="4742"/>
      <c r="E74" s="4743">
        <f>+F74+G74+H74+I74+J74+K74+L74+M74</f>
        <v>23444989</v>
      </c>
      <c r="F74" s="4744">
        <f>'Tab. 6H - Kultura fiz. i turyst'!E31</f>
        <v>0</v>
      </c>
      <c r="G74" s="4744">
        <f>'Tab. 6H - Kultura fiz. i turyst'!F31</f>
        <v>402517</v>
      </c>
      <c r="H74" s="4744">
        <f>'Tab. 6H - Kultura fiz. i turyst'!G31</f>
        <v>23042472</v>
      </c>
      <c r="I74" s="4744">
        <f>'Tab. 6H - Kultura fiz. i turyst'!H31</f>
        <v>0</v>
      </c>
      <c r="J74" s="4744">
        <f>'Tab. 6H - Kultura fiz. i turyst'!I31</f>
        <v>0</v>
      </c>
      <c r="K74" s="4744">
        <f>'Tab. 6H - Kultura fiz. i turyst'!J31</f>
        <v>0</v>
      </c>
      <c r="L74" s="4744">
        <f>'Tab. 6H - Kultura fiz. i turyst'!K31</f>
        <v>0</v>
      </c>
      <c r="M74" s="4744">
        <f>'Tab. 6H - Kultura fiz. i turyst'!L31</f>
        <v>0</v>
      </c>
      <c r="N74" s="4744"/>
      <c r="O74" s="4744"/>
      <c r="P74" s="4744"/>
      <c r="Q74" s="4744"/>
      <c r="R74" s="4745"/>
      <c r="S74" s="4746"/>
      <c r="T74" s="4746"/>
      <c r="U74" s="4746"/>
      <c r="V74" s="4746"/>
    </row>
    <row r="75" spans="1:22" ht="13.5" customHeight="1" thickBot="1">
      <c r="A75" s="4747"/>
      <c r="B75" s="4748" t="s">
        <v>317</v>
      </c>
      <c r="C75" s="4749"/>
      <c r="D75" s="4750"/>
      <c r="E75" s="4751">
        <f>F75+G75+H75+I75+J75+K75+L75+M75</f>
        <v>23444989</v>
      </c>
      <c r="F75" s="4752">
        <f>'Tab. 6H - Kultura fiz. i turyst'!E35</f>
        <v>0</v>
      </c>
      <c r="G75" s="4752">
        <f>'Tab. 6H - Kultura fiz. i turyst'!F35</f>
        <v>0</v>
      </c>
      <c r="H75" s="4752">
        <f>'Tab. 6H - Kultura fiz. i turyst'!G35</f>
        <v>23444989</v>
      </c>
      <c r="I75" s="4752">
        <f>'Tab. 6H - Kultura fiz. i turyst'!H35</f>
        <v>0</v>
      </c>
      <c r="J75" s="4752">
        <f>'Tab. 6H - Kultura fiz. i turyst'!I35</f>
        <v>0</v>
      </c>
      <c r="K75" s="4752">
        <f>'Tab. 6H - Kultura fiz. i turyst'!J35</f>
        <v>0</v>
      </c>
      <c r="L75" s="4752">
        <f>'Tab. 6H - Kultura fiz. i turyst'!K35</f>
        <v>0</v>
      </c>
      <c r="M75" s="4752">
        <f>'Tab. 6H - Kultura fiz. i turyst'!L35</f>
        <v>0</v>
      </c>
      <c r="N75" s="4752"/>
      <c r="O75" s="4752"/>
      <c r="P75" s="4752"/>
      <c r="Q75" s="4752"/>
      <c r="R75" s="4753"/>
      <c r="S75" s="4753"/>
      <c r="T75" s="4753"/>
      <c r="U75" s="4753"/>
      <c r="V75" s="4753"/>
    </row>
    <row r="76" spans="1:22" ht="27.75" customHeight="1">
      <c r="A76" s="4717" t="s">
        <v>86</v>
      </c>
      <c r="B76" s="4718" t="str">
        <f>'Tab. 6H - Kultura fiz. i turyst'!B37</f>
        <v>Budowa sieci tras rowerowych Pomorza Zachodniego - Trasa Nadmorska w ramach Osi IV RPO WZ (2016-2018)</v>
      </c>
      <c r="C76" s="4719" t="s">
        <v>377</v>
      </c>
      <c r="D76" s="4720">
        <f>E79/E77%</f>
        <v>84.244831226404088</v>
      </c>
      <c r="E76" s="4721"/>
      <c r="F76" s="4722"/>
      <c r="G76" s="4723"/>
      <c r="H76" s="4722"/>
      <c r="I76" s="4722"/>
      <c r="J76" s="4722"/>
      <c r="K76" s="4722"/>
      <c r="L76" s="4722"/>
      <c r="M76" s="4722"/>
      <c r="N76" s="4722"/>
      <c r="O76" s="4722"/>
      <c r="P76" s="4722"/>
      <c r="Q76" s="4722"/>
      <c r="R76" s="4724"/>
      <c r="S76" s="4725"/>
      <c r="T76" s="4725"/>
      <c r="U76" s="4725"/>
      <c r="V76" s="4725"/>
    </row>
    <row r="77" spans="1:22" ht="13.5" customHeight="1">
      <c r="A77" s="4726"/>
      <c r="B77" s="4760" t="s">
        <v>195</v>
      </c>
      <c r="C77" s="4728"/>
      <c r="D77" s="4729"/>
      <c r="E77" s="4730">
        <f>+F77+G77+H77+I77+J77+K77+L77+M77</f>
        <v>10832115</v>
      </c>
      <c r="F77" s="4731">
        <f>'Tab. 6H - Kultura fiz. i turyst'!E38</f>
        <v>52306</v>
      </c>
      <c r="G77" s="4731">
        <f>'Tab. 6H - Kultura fiz. i turyst'!F38</f>
        <v>251149</v>
      </c>
      <c r="H77" s="4731">
        <f>'Tab. 6H - Kultura fiz. i turyst'!G38</f>
        <v>10528660</v>
      </c>
      <c r="I77" s="4731">
        <f>'Tab. 6H - Kultura fiz. i turyst'!H38</f>
        <v>0</v>
      </c>
      <c r="J77" s="4731">
        <f>'Tab. 6H - Kultura fiz. i turyst'!I38</f>
        <v>0</v>
      </c>
      <c r="K77" s="4731">
        <f>'Tab. 6H - Kultura fiz. i turyst'!J38</f>
        <v>0</v>
      </c>
      <c r="L77" s="4731">
        <f>'Tab. 6H - Kultura fiz. i turyst'!K38</f>
        <v>0</v>
      </c>
      <c r="M77" s="4731">
        <f>'Tab. 6H - Kultura fiz. i turyst'!L38</f>
        <v>0</v>
      </c>
      <c r="N77" s="4731"/>
      <c r="O77" s="4731"/>
      <c r="P77" s="4731"/>
      <c r="Q77" s="4731"/>
      <c r="R77" s="4732"/>
      <c r="S77" s="4733"/>
      <c r="T77" s="4733"/>
      <c r="U77" s="4733"/>
      <c r="V77" s="4733"/>
    </row>
    <row r="78" spans="1:22" ht="13.5" customHeight="1">
      <c r="A78" s="4726"/>
      <c r="B78" s="4761" t="s">
        <v>321</v>
      </c>
      <c r="C78" s="4735"/>
      <c r="D78" s="4736"/>
      <c r="E78" s="4737">
        <f>+F78+G78+H78+I78+J78+K78+L78+M78</f>
        <v>1706618</v>
      </c>
      <c r="F78" s="4738">
        <f>'Tab. 6H - Kultura fiz. i turyst'!E39</f>
        <v>52306</v>
      </c>
      <c r="G78" s="4738">
        <f>'Tab. 6H - Kultura fiz. i turyst'!F39</f>
        <v>37672</v>
      </c>
      <c r="H78" s="4738">
        <f>'Tab. 6H - Kultura fiz. i turyst'!G39</f>
        <v>1616640</v>
      </c>
      <c r="I78" s="4738">
        <f>'Tab. 6H - Kultura fiz. i turyst'!H39</f>
        <v>0</v>
      </c>
      <c r="J78" s="4738">
        <f>'Tab. 6H - Kultura fiz. i turyst'!I39</f>
        <v>0</v>
      </c>
      <c r="K78" s="4738">
        <f>'Tab. 6H - Kultura fiz. i turyst'!J39</f>
        <v>0</v>
      </c>
      <c r="L78" s="4738">
        <f>'Tab. 6H - Kultura fiz. i turyst'!K39</f>
        <v>0</v>
      </c>
      <c r="M78" s="4738">
        <f>'Tab. 6H - Kultura fiz. i turyst'!L39</f>
        <v>0</v>
      </c>
      <c r="N78" s="4738"/>
      <c r="O78" s="4738"/>
      <c r="P78" s="4738"/>
      <c r="Q78" s="4738"/>
      <c r="R78" s="4739"/>
      <c r="S78" s="4739"/>
      <c r="T78" s="4739"/>
      <c r="U78" s="4739"/>
      <c r="V78" s="4739"/>
    </row>
    <row r="79" spans="1:22" ht="13.5" customHeight="1" thickBot="1">
      <c r="A79" s="4726"/>
      <c r="B79" s="4762" t="s">
        <v>197</v>
      </c>
      <c r="C79" s="4754">
        <f>E79-E80</f>
        <v>0</v>
      </c>
      <c r="D79" s="4742"/>
      <c r="E79" s="4743">
        <f>+F79+G79+H79+I79+J79+K79+L79+M79</f>
        <v>9125497</v>
      </c>
      <c r="F79" s="4744">
        <f>'Tab. 6H - Kultura fiz. i turyst'!E43</f>
        <v>0</v>
      </c>
      <c r="G79" s="4744">
        <f>'Tab. 6H - Kultura fiz. i turyst'!F43</f>
        <v>213477</v>
      </c>
      <c r="H79" s="4744">
        <f>'Tab. 6H - Kultura fiz. i turyst'!G43</f>
        <v>8912020</v>
      </c>
      <c r="I79" s="4744">
        <f>'Tab. 6H - Kultura fiz. i turyst'!H43</f>
        <v>0</v>
      </c>
      <c r="J79" s="4744">
        <f>'Tab. 6H - Kultura fiz. i turyst'!I43</f>
        <v>0</v>
      </c>
      <c r="K79" s="4744">
        <f>'Tab. 6H - Kultura fiz. i turyst'!J43</f>
        <v>0</v>
      </c>
      <c r="L79" s="4744">
        <f>'Tab. 6H - Kultura fiz. i turyst'!K43</f>
        <v>0</v>
      </c>
      <c r="M79" s="4744">
        <f>'Tab. 6H - Kultura fiz. i turyst'!L43</f>
        <v>0</v>
      </c>
      <c r="N79" s="4744"/>
      <c r="O79" s="4744"/>
      <c r="P79" s="4744"/>
      <c r="Q79" s="4744"/>
      <c r="R79" s="4745"/>
      <c r="S79" s="4746"/>
      <c r="T79" s="4746"/>
      <c r="U79" s="4746"/>
      <c r="V79" s="4746"/>
    </row>
    <row r="80" spans="1:22" ht="13.5" customHeight="1" thickBot="1">
      <c r="A80" s="4747"/>
      <c r="B80" s="4764" t="s">
        <v>317</v>
      </c>
      <c r="C80" s="4749"/>
      <c r="D80" s="4750"/>
      <c r="E80" s="4751">
        <f>F80+G80+H80+I80+J80+K80+L80+M80</f>
        <v>9125497</v>
      </c>
      <c r="F80" s="4752">
        <f>'Tab. 6H - Kultura fiz. i turyst'!E47</f>
        <v>0</v>
      </c>
      <c r="G80" s="4752">
        <f>'Tab. 6H - Kultura fiz. i turyst'!F47</f>
        <v>0</v>
      </c>
      <c r="H80" s="4752">
        <f>'Tab. 6H - Kultura fiz. i turyst'!G47</f>
        <v>9125497</v>
      </c>
      <c r="I80" s="4752">
        <f>'Tab. 6H - Kultura fiz. i turyst'!H47</f>
        <v>0</v>
      </c>
      <c r="J80" s="4752">
        <f>'Tab. 6H - Kultura fiz. i turyst'!I47</f>
        <v>0</v>
      </c>
      <c r="K80" s="4752">
        <f>'Tab. 6H - Kultura fiz. i turyst'!J47</f>
        <v>0</v>
      </c>
      <c r="L80" s="4752">
        <f>'Tab. 6H - Kultura fiz. i turyst'!K47</f>
        <v>0</v>
      </c>
      <c r="M80" s="4752">
        <f>'Tab. 6H - Kultura fiz. i turyst'!L47</f>
        <v>0</v>
      </c>
      <c r="N80" s="4752"/>
      <c r="O80" s="4752"/>
      <c r="P80" s="4752"/>
      <c r="Q80" s="4752"/>
      <c r="R80" s="4753"/>
      <c r="S80" s="4753"/>
      <c r="T80" s="4753"/>
      <c r="U80" s="4753"/>
      <c r="V80" s="4753"/>
    </row>
    <row r="81" spans="1:22" ht="36.75" customHeight="1">
      <c r="A81" s="4717" t="s">
        <v>87</v>
      </c>
      <c r="B81" s="4718" t="str">
        <f>'Tab. 6H - Kultura fiz. i turyst'!B82</f>
        <v>Zaprojektowanie i wykonanie szlaku rowerowego na wale przeciwpowodziowym wzdłuż rzeki Chełszcząca i jeziora Dąbie w ramach Osi IV RPO WZ (2017-2019)</v>
      </c>
      <c r="C81" s="4719" t="s">
        <v>714</v>
      </c>
      <c r="D81" s="4720">
        <f>E84/E82%</f>
        <v>84.999994950190356</v>
      </c>
      <c r="E81" s="4721"/>
      <c r="F81" s="4722"/>
      <c r="G81" s="4723"/>
      <c r="H81" s="4722"/>
      <c r="I81" s="4722"/>
      <c r="J81" s="4722"/>
      <c r="K81" s="4722"/>
      <c r="L81" s="4722"/>
      <c r="M81" s="4722"/>
      <c r="N81" s="4722"/>
      <c r="O81" s="4722"/>
      <c r="P81" s="4722"/>
      <c r="Q81" s="4722"/>
      <c r="R81" s="4724"/>
      <c r="S81" s="4725"/>
      <c r="T81" s="4725"/>
      <c r="U81" s="4725"/>
      <c r="V81" s="4725"/>
    </row>
    <row r="82" spans="1:22" ht="13.5" customHeight="1">
      <c r="A82" s="4726"/>
      <c r="B82" s="4727" t="s">
        <v>195</v>
      </c>
      <c r="C82" s="4728"/>
      <c r="D82" s="4729"/>
      <c r="E82" s="4730">
        <f>+F82+G82+H82+I82+J82+K82+L82+M82</f>
        <v>5940818</v>
      </c>
      <c r="F82" s="4731">
        <f>'Tab. 6H - Kultura fiz. i turyst'!E83</f>
        <v>0</v>
      </c>
      <c r="G82" s="4731">
        <f>'Tab. 6H - Kultura fiz. i turyst'!F83</f>
        <v>0</v>
      </c>
      <c r="H82" s="4731">
        <f>'Tab. 6H - Kultura fiz. i turyst'!G83</f>
        <v>2200125</v>
      </c>
      <c r="I82" s="4731">
        <f>'Tab. 6H - Kultura fiz. i turyst'!H83</f>
        <v>3740693</v>
      </c>
      <c r="J82" s="4731">
        <f>'Tab. 6H - Kultura fiz. i turyst'!I83</f>
        <v>0</v>
      </c>
      <c r="K82" s="4731">
        <f>'Tab. 6H - Kultura fiz. i turyst'!J83</f>
        <v>0</v>
      </c>
      <c r="L82" s="4731">
        <f>'Tab. 6H - Kultura fiz. i turyst'!K83</f>
        <v>0</v>
      </c>
      <c r="M82" s="4731">
        <f>'Tab. 6H - Kultura fiz. i turyst'!L83</f>
        <v>0</v>
      </c>
      <c r="N82" s="4731"/>
      <c r="O82" s="4731"/>
      <c r="P82" s="4731"/>
      <c r="Q82" s="4731"/>
      <c r="R82" s="4732"/>
      <c r="S82" s="4733"/>
      <c r="T82" s="4733"/>
      <c r="U82" s="4733"/>
      <c r="V82" s="4733"/>
    </row>
    <row r="83" spans="1:22" ht="13.5" customHeight="1">
      <c r="A83" s="4726"/>
      <c r="B83" s="4734" t="s">
        <v>321</v>
      </c>
      <c r="C83" s="4735"/>
      <c r="D83" s="4736"/>
      <c r="E83" s="4737">
        <f>+F83+G83+H83+I83+J83+K83+L83+M83</f>
        <v>891123</v>
      </c>
      <c r="F83" s="4738">
        <f>'Tab. 6H - Kultura fiz. i turyst'!E84</f>
        <v>0</v>
      </c>
      <c r="G83" s="4738">
        <f>'Tab. 6H - Kultura fiz. i turyst'!F84</f>
        <v>0</v>
      </c>
      <c r="H83" s="4738">
        <f>'Tab. 6H - Kultura fiz. i turyst'!G84</f>
        <v>330020</v>
      </c>
      <c r="I83" s="4738">
        <f>'Tab. 6H - Kultura fiz. i turyst'!H84</f>
        <v>561103</v>
      </c>
      <c r="J83" s="4738">
        <f>'Tab. 6H - Kultura fiz. i turyst'!I84</f>
        <v>0</v>
      </c>
      <c r="K83" s="4738">
        <f>'Tab. 6H - Kultura fiz. i turyst'!J84</f>
        <v>0</v>
      </c>
      <c r="L83" s="4738">
        <f>'Tab. 6H - Kultura fiz. i turyst'!K84</f>
        <v>0</v>
      </c>
      <c r="M83" s="4738">
        <f>'Tab. 6H - Kultura fiz. i turyst'!L84</f>
        <v>0</v>
      </c>
      <c r="N83" s="4738"/>
      <c r="O83" s="4738"/>
      <c r="P83" s="4738"/>
      <c r="Q83" s="4738"/>
      <c r="R83" s="4739"/>
      <c r="S83" s="4739"/>
      <c r="T83" s="4739"/>
      <c r="U83" s="4739"/>
      <c r="V83" s="4739"/>
    </row>
    <row r="84" spans="1:22" ht="13.5" customHeight="1" thickBot="1">
      <c r="A84" s="4726"/>
      <c r="B84" s="4740" t="s">
        <v>197</v>
      </c>
      <c r="C84" s="4754">
        <f>E84-E85</f>
        <v>0</v>
      </c>
      <c r="D84" s="4742"/>
      <c r="E84" s="4743">
        <f>+F84+G84+H84+I84+J84+K84+L84+M84</f>
        <v>5049695</v>
      </c>
      <c r="F84" s="4744">
        <f>'Tab. 6H - Kultura fiz. i turyst'!E88</f>
        <v>0</v>
      </c>
      <c r="G84" s="4744">
        <f>'Tab. 6H - Kultura fiz. i turyst'!F88</f>
        <v>0</v>
      </c>
      <c r="H84" s="4744">
        <f>'Tab. 6H - Kultura fiz. i turyst'!G88</f>
        <v>1870105</v>
      </c>
      <c r="I84" s="4744">
        <f>'Tab. 6H - Kultura fiz. i turyst'!H88</f>
        <v>3179590</v>
      </c>
      <c r="J84" s="4744">
        <f>'Tab. 6H - Kultura fiz. i turyst'!I88</f>
        <v>0</v>
      </c>
      <c r="K84" s="4744">
        <f>'Tab. 6H - Kultura fiz. i turyst'!J88</f>
        <v>0</v>
      </c>
      <c r="L84" s="4744">
        <f>'Tab. 6H - Kultura fiz. i turyst'!K88</f>
        <v>0</v>
      </c>
      <c r="M84" s="4744">
        <f>'Tab. 6H - Kultura fiz. i turyst'!L88</f>
        <v>0</v>
      </c>
      <c r="N84" s="4744"/>
      <c r="O84" s="4744"/>
      <c r="P84" s="4744"/>
      <c r="Q84" s="4744"/>
      <c r="R84" s="4745"/>
      <c r="S84" s="4746"/>
      <c r="T84" s="4746"/>
      <c r="U84" s="4746"/>
      <c r="V84" s="4746"/>
    </row>
    <row r="85" spans="1:22" ht="13.5" customHeight="1" thickBot="1">
      <c r="A85" s="4747"/>
      <c r="B85" s="4748" t="s">
        <v>317</v>
      </c>
      <c r="C85" s="4749"/>
      <c r="D85" s="4750"/>
      <c r="E85" s="4751">
        <f>F85+G85+H85+I85+J85+K85+L85+M85</f>
        <v>5049695</v>
      </c>
      <c r="F85" s="4752">
        <f>'Tab. 6H - Kultura fiz. i turyst'!E93</f>
        <v>0</v>
      </c>
      <c r="G85" s="4752">
        <f>'Tab. 6H - Kultura fiz. i turyst'!F93</f>
        <v>0</v>
      </c>
      <c r="H85" s="4752">
        <f>'Tab. 6H - Kultura fiz. i turyst'!G93</f>
        <v>0</v>
      </c>
      <c r="I85" s="4752">
        <f>'Tab. 6H - Kultura fiz. i turyst'!H93</f>
        <v>5049695</v>
      </c>
      <c r="J85" s="4752">
        <f>'Tab. 6H - Kultura fiz. i turyst'!I93</f>
        <v>0</v>
      </c>
      <c r="K85" s="4752">
        <f>'Tab. 6H - Kultura fiz. i turyst'!J93</f>
        <v>0</v>
      </c>
      <c r="L85" s="4752">
        <f>'Tab. 6H - Kultura fiz. i turyst'!K93</f>
        <v>0</v>
      </c>
      <c r="M85" s="4752">
        <f>'Tab. 6H - Kultura fiz. i turyst'!L93</f>
        <v>0</v>
      </c>
      <c r="N85" s="4752"/>
      <c r="O85" s="4752"/>
      <c r="P85" s="4752"/>
      <c r="Q85" s="4752"/>
      <c r="R85" s="4753"/>
      <c r="S85" s="4753"/>
      <c r="T85" s="4753"/>
      <c r="U85" s="4753"/>
      <c r="V85" s="4753"/>
    </row>
    <row r="86" spans="1:22" ht="40.5" customHeight="1">
      <c r="A86" s="4757" t="s">
        <v>88</v>
      </c>
      <c r="B86" s="4758" t="str">
        <f>'Tab. 6H - Kultura fiz. i turyst'!B95</f>
        <v>Zaprojektowanie i wykonanie szlaku rowerowego na wale przeciwpowodziowym nad rzeką Iną, wale Skoszewo i Skoszewo - Czarnocin w ramach Osi IV RPO WZ (2017-2019)</v>
      </c>
      <c r="C86" s="4719" t="s">
        <v>715</v>
      </c>
      <c r="D86" s="4720">
        <f>E89/E87%</f>
        <v>84.999997903083013</v>
      </c>
      <c r="E86" s="4721"/>
      <c r="F86" s="4722"/>
      <c r="G86" s="4723"/>
      <c r="H86" s="4722"/>
      <c r="I86" s="4722"/>
      <c r="J86" s="4722"/>
      <c r="K86" s="4723"/>
      <c r="L86" s="4723"/>
      <c r="M86" s="4722"/>
      <c r="N86" s="4722"/>
      <c r="O86" s="4722"/>
      <c r="P86" s="4722"/>
      <c r="Q86" s="4722"/>
      <c r="R86" s="4724"/>
      <c r="S86" s="4725"/>
      <c r="T86" s="4725"/>
      <c r="U86" s="4725"/>
      <c r="V86" s="4725"/>
    </row>
    <row r="87" spans="1:22" ht="13.5" customHeight="1">
      <c r="A87" s="4759"/>
      <c r="B87" s="4727" t="s">
        <v>195</v>
      </c>
      <c r="C87" s="4728"/>
      <c r="D87" s="4729"/>
      <c r="E87" s="4730">
        <f>+F87+G87+H87+I87+J87+K87+L87+M87</f>
        <v>4768906</v>
      </c>
      <c r="F87" s="4731"/>
      <c r="G87" s="4731"/>
      <c r="H87" s="4731">
        <f>'Tab. 6H - Kultura fiz. i turyst'!G96</f>
        <v>2049234</v>
      </c>
      <c r="I87" s="4731">
        <f>'Tab. 6H - Kultura fiz. i turyst'!H96</f>
        <v>2719672</v>
      </c>
      <c r="J87" s="4731">
        <f>'Tab. 6H - Kultura fiz. i turyst'!I96</f>
        <v>0</v>
      </c>
      <c r="K87" s="4731">
        <f>'Tab. 6H - Kultura fiz. i turyst'!J96</f>
        <v>0</v>
      </c>
      <c r="L87" s="4731">
        <f>'Tab. 6H - Kultura fiz. i turyst'!K96</f>
        <v>0</v>
      </c>
      <c r="M87" s="4731">
        <f>'Tab. 6H - Kultura fiz. i turyst'!L96</f>
        <v>0</v>
      </c>
      <c r="N87" s="4731"/>
      <c r="O87" s="4731"/>
      <c r="P87" s="4731"/>
      <c r="Q87" s="4731"/>
      <c r="R87" s="4732"/>
      <c r="S87" s="4733"/>
      <c r="T87" s="4733"/>
      <c r="U87" s="4733"/>
      <c r="V87" s="4733"/>
    </row>
    <row r="88" spans="1:22" ht="13.5" customHeight="1">
      <c r="A88" s="4759"/>
      <c r="B88" s="4734" t="s">
        <v>320</v>
      </c>
      <c r="C88" s="4735"/>
      <c r="D88" s="4736"/>
      <c r="E88" s="4737">
        <f>+F88+G88+H88+I88+J88+K88+L88+M88</f>
        <v>715336</v>
      </c>
      <c r="F88" s="4738"/>
      <c r="G88" s="4738"/>
      <c r="H88" s="4738">
        <f>'Tab. 6H - Kultura fiz. i turyst'!G97</f>
        <v>307386</v>
      </c>
      <c r="I88" s="4738">
        <f>'Tab. 6H - Kultura fiz. i turyst'!H97</f>
        <v>407950</v>
      </c>
      <c r="J88" s="4738">
        <f>'Tab. 6H - Kultura fiz. i turyst'!I97</f>
        <v>0</v>
      </c>
      <c r="K88" s="4738">
        <f>'Tab. 6H - Kultura fiz. i turyst'!J97</f>
        <v>0</v>
      </c>
      <c r="L88" s="4738">
        <f>'Tab. 6H - Kultura fiz. i turyst'!K97</f>
        <v>0</v>
      </c>
      <c r="M88" s="4738">
        <f>'Tab. 6H - Kultura fiz. i turyst'!L97</f>
        <v>0</v>
      </c>
      <c r="N88" s="4738"/>
      <c r="O88" s="4738"/>
      <c r="P88" s="4738"/>
      <c r="Q88" s="4738"/>
      <c r="R88" s="4739"/>
      <c r="S88" s="4739"/>
      <c r="T88" s="4739"/>
      <c r="U88" s="4739"/>
      <c r="V88" s="4739"/>
    </row>
    <row r="89" spans="1:22" ht="13.5" customHeight="1" thickBot="1">
      <c r="A89" s="4759"/>
      <c r="B89" s="4740" t="s">
        <v>197</v>
      </c>
      <c r="C89" s="4754">
        <f>E89-E90</f>
        <v>0</v>
      </c>
      <c r="D89" s="4742"/>
      <c r="E89" s="4743">
        <f>+F89+G89+H89+I89+J89+K89+L89+M89</f>
        <v>4053570</v>
      </c>
      <c r="F89" s="4744"/>
      <c r="G89" s="4744"/>
      <c r="H89" s="4744">
        <f>'Tab. 6H - Kultura fiz. i turyst'!G102</f>
        <v>1741848</v>
      </c>
      <c r="I89" s="4744">
        <f>'Tab. 6H - Kultura fiz. i turyst'!H102</f>
        <v>2311722</v>
      </c>
      <c r="J89" s="4744">
        <f>'Tab. 6H - Kultura fiz. i turyst'!I102</f>
        <v>0</v>
      </c>
      <c r="K89" s="4744">
        <f>'Tab. 6H - Kultura fiz. i turyst'!J102</f>
        <v>0</v>
      </c>
      <c r="L89" s="4744">
        <f>'Tab. 6H - Kultura fiz. i turyst'!K102</f>
        <v>0</v>
      </c>
      <c r="M89" s="4744">
        <f>'Tab. 6H - Kultura fiz. i turyst'!L102</f>
        <v>0</v>
      </c>
      <c r="N89" s="4744"/>
      <c r="O89" s="4744"/>
      <c r="P89" s="4744"/>
      <c r="Q89" s="4744"/>
      <c r="R89" s="4745"/>
      <c r="S89" s="4746"/>
      <c r="T89" s="4746"/>
      <c r="U89" s="4746"/>
      <c r="V89" s="4746"/>
    </row>
    <row r="90" spans="1:22" ht="13.5" customHeight="1" thickBot="1">
      <c r="A90" s="4763"/>
      <c r="B90" s="4748" t="s">
        <v>317</v>
      </c>
      <c r="C90" s="4749"/>
      <c r="D90" s="4750"/>
      <c r="E90" s="4751">
        <f>F90+G90+H90+I90+J90+K90+L90+M90</f>
        <v>4053570</v>
      </c>
      <c r="F90" s="4752"/>
      <c r="G90" s="4752"/>
      <c r="H90" s="4752">
        <f>'Tab. 6H - Kultura fiz. i turyst'!G106</f>
        <v>0</v>
      </c>
      <c r="I90" s="4752">
        <f>'Tab. 6H - Kultura fiz. i turyst'!H106</f>
        <v>4053570</v>
      </c>
      <c r="J90" s="4752">
        <f>'Tab. 6H - Kultura fiz. i turyst'!I106</f>
        <v>0</v>
      </c>
      <c r="K90" s="4752">
        <f>'Tab. 6H - Kultura fiz. i turyst'!J106</f>
        <v>0</v>
      </c>
      <c r="L90" s="4752">
        <f>'Tab. 6H - Kultura fiz. i turyst'!K106</f>
        <v>0</v>
      </c>
      <c r="M90" s="4752">
        <f>'Tab. 6H - Kultura fiz. i turyst'!L106</f>
        <v>0</v>
      </c>
      <c r="N90" s="4752"/>
      <c r="O90" s="4752"/>
      <c r="P90" s="4752"/>
      <c r="Q90" s="4752"/>
      <c r="R90" s="4753"/>
      <c r="S90" s="4753"/>
      <c r="T90" s="4753"/>
      <c r="U90" s="4753"/>
      <c r="V90" s="4753"/>
    </row>
    <row r="91" spans="1:22" ht="39.75" customHeight="1">
      <c r="A91" s="4717" t="s">
        <v>89</v>
      </c>
      <c r="B91" s="4718" t="str">
        <f>'Tab. 6H - Kultura fiz. i turyst'!B126</f>
        <v>Budowa infrastruktury turystycznej w Parkach Krajobrazowych województwa zachodniopomorskiego w celu zmniejszenia antropopresji - II etap w ramach Osi IV RPO WZ (2016-2018)*</v>
      </c>
      <c r="C91" s="4719" t="s">
        <v>378</v>
      </c>
      <c r="D91" s="4720">
        <f>E94/E92%</f>
        <v>85.000000434512572</v>
      </c>
      <c r="E91" s="4721"/>
      <c r="F91" s="4722"/>
      <c r="G91" s="4723"/>
      <c r="H91" s="4722"/>
      <c r="I91" s="4722"/>
      <c r="J91" s="4722"/>
      <c r="K91" s="4722"/>
      <c r="L91" s="4722"/>
      <c r="M91" s="4722"/>
      <c r="N91" s="4722"/>
      <c r="O91" s="4722"/>
      <c r="P91" s="4722"/>
      <c r="Q91" s="4722"/>
      <c r="R91" s="4724"/>
      <c r="S91" s="4725"/>
      <c r="T91" s="4725"/>
      <c r="U91" s="4725"/>
      <c r="V91" s="4725"/>
    </row>
    <row r="92" spans="1:22" ht="13.5" customHeight="1">
      <c r="A92" s="4726"/>
      <c r="B92" s="4727" t="s">
        <v>195</v>
      </c>
      <c r="C92" s="4728"/>
      <c r="D92" s="4729"/>
      <c r="E92" s="4730">
        <f>+F92+G92+H92+I92+J92+K92+L92+M92</f>
        <v>11507147</v>
      </c>
      <c r="F92" s="4731">
        <f>'Tab. 6H - Kultura fiz. i turyst'!E127</f>
        <v>250844</v>
      </c>
      <c r="G92" s="4731">
        <f>'Tab. 6H - Kultura fiz. i turyst'!F127</f>
        <v>113780</v>
      </c>
      <c r="H92" s="4731">
        <f>'Tab. 6H - Kultura fiz. i turyst'!G127</f>
        <v>11142523</v>
      </c>
      <c r="I92" s="4731">
        <f>'Tab. 6H - Kultura fiz. i turyst'!H127</f>
        <v>0</v>
      </c>
      <c r="J92" s="4731">
        <f>'Tab. 6H - Kultura fiz. i turyst'!I127</f>
        <v>0</v>
      </c>
      <c r="K92" s="4731"/>
      <c r="L92" s="4731"/>
      <c r="M92" s="4731"/>
      <c r="N92" s="4731"/>
      <c r="O92" s="4731"/>
      <c r="P92" s="4731"/>
      <c r="Q92" s="4731"/>
      <c r="R92" s="4732"/>
      <c r="S92" s="4733"/>
      <c r="T92" s="4733"/>
      <c r="U92" s="4733"/>
      <c r="V92" s="4733"/>
    </row>
    <row r="93" spans="1:22" ht="13.5" customHeight="1">
      <c r="A93" s="4726"/>
      <c r="B93" s="4734" t="s">
        <v>321</v>
      </c>
      <c r="C93" s="4735"/>
      <c r="D93" s="4736"/>
      <c r="E93" s="4737">
        <f>+F93+G93+H93+I93+J93+K93+L93+M93</f>
        <v>1726072</v>
      </c>
      <c r="F93" s="4738">
        <f>'Tab. 6H - Kultura fiz. i turyst'!E128</f>
        <v>37627</v>
      </c>
      <c r="G93" s="4738">
        <f>'Tab. 6H - Kultura fiz. i turyst'!F128</f>
        <v>17067</v>
      </c>
      <c r="H93" s="4738">
        <f>'Tab. 6H - Kultura fiz. i turyst'!G128</f>
        <v>1671378</v>
      </c>
      <c r="I93" s="4738">
        <f>'Tab. 6H - Kultura fiz. i turyst'!H128</f>
        <v>0</v>
      </c>
      <c r="J93" s="4738">
        <f>'Tab. 6H - Kultura fiz. i turyst'!I128</f>
        <v>0</v>
      </c>
      <c r="K93" s="4738"/>
      <c r="L93" s="4738"/>
      <c r="M93" s="4738"/>
      <c r="N93" s="4738"/>
      <c r="O93" s="4738"/>
      <c r="P93" s="4738"/>
      <c r="Q93" s="4738"/>
      <c r="R93" s="4739"/>
      <c r="S93" s="4739"/>
      <c r="T93" s="4739"/>
      <c r="U93" s="4739"/>
      <c r="V93" s="4739"/>
    </row>
    <row r="94" spans="1:22" ht="13.5" customHeight="1" thickBot="1">
      <c r="A94" s="4726"/>
      <c r="B94" s="4740" t="s">
        <v>197</v>
      </c>
      <c r="C94" s="4754">
        <f>E94-E95</f>
        <v>0</v>
      </c>
      <c r="D94" s="4742"/>
      <c r="E94" s="4743">
        <f>+F94+G94+H94+I94+J94+K94+L94+M94</f>
        <v>9781075</v>
      </c>
      <c r="F94" s="4744">
        <f>'Tab. 6H - Kultura fiz. i turyst'!E131</f>
        <v>213217</v>
      </c>
      <c r="G94" s="4744">
        <f>'Tab. 6H - Kultura fiz. i turyst'!F131</f>
        <v>96713</v>
      </c>
      <c r="H94" s="4744">
        <f>'Tab. 6H - Kultura fiz. i turyst'!G131</f>
        <v>9471145</v>
      </c>
      <c r="I94" s="4744">
        <f>'Tab. 6H - Kultura fiz. i turyst'!H131</f>
        <v>0</v>
      </c>
      <c r="J94" s="4744">
        <f>'Tab. 6H - Kultura fiz. i turyst'!I131</f>
        <v>0</v>
      </c>
      <c r="K94" s="4744"/>
      <c r="L94" s="4744"/>
      <c r="M94" s="4744"/>
      <c r="N94" s="4744"/>
      <c r="O94" s="4744"/>
      <c r="P94" s="4744"/>
      <c r="Q94" s="4744"/>
      <c r="R94" s="4745"/>
      <c r="S94" s="4746"/>
      <c r="T94" s="4746"/>
      <c r="U94" s="4746"/>
      <c r="V94" s="4746"/>
    </row>
    <row r="95" spans="1:22" ht="13.5" customHeight="1" thickBot="1">
      <c r="A95" s="4747"/>
      <c r="B95" s="4748" t="s">
        <v>317</v>
      </c>
      <c r="C95" s="4749"/>
      <c r="D95" s="4750"/>
      <c r="E95" s="4751">
        <f>F95+G95+H95+I95+J95+K95+L95+M95</f>
        <v>9781075</v>
      </c>
      <c r="F95" s="4752">
        <f>'Tab. 6H - Kultura fiz. i turyst'!E136</f>
        <v>0</v>
      </c>
      <c r="G95" s="4752">
        <f>'Tab. 6H - Kultura fiz. i turyst'!F136</f>
        <v>0</v>
      </c>
      <c r="H95" s="4752">
        <f>'Tab. 6H - Kultura fiz. i turyst'!G136</f>
        <v>9781075</v>
      </c>
      <c r="I95" s="4752">
        <f>'Tab. 6H - Kultura fiz. i turyst'!H133</f>
        <v>0</v>
      </c>
      <c r="J95" s="4752">
        <f>'Tab. 6H - Kultura fiz. i turyst'!I133</f>
        <v>0</v>
      </c>
      <c r="K95" s="4752"/>
      <c r="L95" s="4752"/>
      <c r="M95" s="4752"/>
      <c r="N95" s="4752"/>
      <c r="O95" s="4752"/>
      <c r="P95" s="4752"/>
      <c r="Q95" s="4752"/>
      <c r="R95" s="4753"/>
      <c r="S95" s="4753"/>
      <c r="T95" s="4753"/>
      <c r="U95" s="4753"/>
      <c r="V95" s="4753"/>
    </row>
    <row r="96" spans="1:22" ht="51.75" customHeight="1" thickBot="1">
      <c r="A96" s="4769" t="s">
        <v>90</v>
      </c>
      <c r="B96" s="4793" t="str">
        <f>'Tab. 6H - Kultura fiz. i turyst'!B151</f>
        <v>Biking South Baltic! Promocja i rozwój Trasy Rowerowej Morza Bałtyckiego (EuroVelo 10) w Danii, Niemczech, Litwie, Polsce i Szwecji w ramach PW INTERREG Południowy Bałtyk (2017-2019) - zakupy inwestycyjne</v>
      </c>
      <c r="C96" s="4771" t="s">
        <v>455</v>
      </c>
      <c r="D96" s="4772">
        <f>E99/E97%</f>
        <v>84.999943469609264</v>
      </c>
      <c r="E96" s="4794"/>
      <c r="F96" s="4795"/>
      <c r="G96" s="4796"/>
      <c r="H96" s="4795"/>
      <c r="I96" s="4795"/>
      <c r="J96" s="4795"/>
      <c r="K96" s="4795"/>
      <c r="L96" s="4795"/>
      <c r="M96" s="4795"/>
      <c r="N96" s="4795"/>
      <c r="O96" s="4795"/>
      <c r="P96" s="4795"/>
      <c r="Q96" s="4795"/>
      <c r="R96" s="4797"/>
      <c r="S96" s="4798"/>
      <c r="T96" s="4798"/>
      <c r="U96" s="4798"/>
      <c r="V96" s="4798"/>
    </row>
    <row r="97" spans="1:22" ht="13.5" thickTop="1">
      <c r="A97" s="4777"/>
      <c r="B97" s="4727" t="s">
        <v>195</v>
      </c>
      <c r="C97" s="4728"/>
      <c r="D97" s="4730"/>
      <c r="E97" s="4730">
        <f>+F97+G97+H97+I97+J97+K97+L97+M97</f>
        <v>353792</v>
      </c>
      <c r="F97" s="4731"/>
      <c r="G97" s="4731">
        <f>'Tab. 6H - Kultura fiz. i turyst'!F152</f>
        <v>52792</v>
      </c>
      <c r="H97" s="4731">
        <f>'Tab. 6H - Kultura fiz. i turyst'!G152</f>
        <v>81774</v>
      </c>
      <c r="I97" s="4731">
        <f>'Tab. 6H - Kultura fiz. i turyst'!H152</f>
        <v>219226</v>
      </c>
      <c r="J97" s="4731">
        <f>'Tab. 6H - Kultura fiz. i turyst'!I152</f>
        <v>0</v>
      </c>
      <c r="K97" s="4731">
        <f>'Tab. 6H - Kultura fiz. i turyst'!J152</f>
        <v>0</v>
      </c>
      <c r="L97" s="4731">
        <f>'Tab. 6H - Kultura fiz. i turyst'!K152</f>
        <v>0</v>
      </c>
      <c r="M97" s="4731">
        <f>'Tab. 6H - Kultura fiz. i turyst'!L152</f>
        <v>0</v>
      </c>
      <c r="N97" s="4731"/>
      <c r="O97" s="4731"/>
      <c r="P97" s="4731"/>
      <c r="Q97" s="4731"/>
      <c r="R97" s="4732"/>
      <c r="S97" s="4733"/>
      <c r="T97" s="4733"/>
      <c r="U97" s="4733"/>
      <c r="V97" s="4733"/>
    </row>
    <row r="98" spans="1:22">
      <c r="A98" s="4777"/>
      <c r="B98" s="4734" t="s">
        <v>196</v>
      </c>
      <c r="C98" s="4799"/>
      <c r="D98" s="4737"/>
      <c r="E98" s="4737">
        <f>+F98+G98+H98+I98+J98+K98+L98+M98</f>
        <v>53069</v>
      </c>
      <c r="F98" s="4782"/>
      <c r="G98" s="4782">
        <f>'Tab. 6H - Kultura fiz. i turyst'!F153</f>
        <v>7919</v>
      </c>
      <c r="H98" s="4782">
        <f>'Tab. 6H - Kultura fiz. i turyst'!G153</f>
        <v>12266</v>
      </c>
      <c r="I98" s="4782">
        <f>'Tab. 6H - Kultura fiz. i turyst'!H153</f>
        <v>32884</v>
      </c>
      <c r="J98" s="4782">
        <f>'Tab. 6H - Kultura fiz. i turyst'!I153</f>
        <v>0</v>
      </c>
      <c r="K98" s="4782">
        <f>'Tab. 6H - Kultura fiz. i turyst'!J153</f>
        <v>0</v>
      </c>
      <c r="L98" s="4782">
        <f>'Tab. 6H - Kultura fiz. i turyst'!K153</f>
        <v>0</v>
      </c>
      <c r="M98" s="4782">
        <f>'Tab. 6H - Kultura fiz. i turyst'!L153</f>
        <v>0</v>
      </c>
      <c r="N98" s="4782"/>
      <c r="O98" s="4782"/>
      <c r="P98" s="4782"/>
      <c r="Q98" s="4782"/>
      <c r="R98" s="4783"/>
      <c r="S98" s="4739"/>
      <c r="T98" s="4739"/>
      <c r="U98" s="4739"/>
      <c r="V98" s="4739"/>
    </row>
    <row r="99" spans="1:22" ht="13.5" thickBot="1">
      <c r="A99" s="4777"/>
      <c r="B99" s="4740" t="s">
        <v>197</v>
      </c>
      <c r="C99" s="4754">
        <f>E99-E100</f>
        <v>0</v>
      </c>
      <c r="D99" s="4800"/>
      <c r="E99" s="4743">
        <f>+F99+G99+H99+I99+J99+K99+L99+M99</f>
        <v>300723</v>
      </c>
      <c r="F99" s="4744"/>
      <c r="G99" s="4744">
        <f>'Tab. 6H - Kultura fiz. i turyst'!F155</f>
        <v>44873</v>
      </c>
      <c r="H99" s="4744">
        <f>'Tab. 6H - Kultura fiz. i turyst'!G155</f>
        <v>69508</v>
      </c>
      <c r="I99" s="4744">
        <f>'Tab. 6H - Kultura fiz. i turyst'!H155</f>
        <v>186342</v>
      </c>
      <c r="J99" s="4744">
        <f>'Tab. 6H - Kultura fiz. i turyst'!I155</f>
        <v>0</v>
      </c>
      <c r="K99" s="4744">
        <f>'Tab. 6H - Kultura fiz. i turyst'!J155</f>
        <v>0</v>
      </c>
      <c r="L99" s="4744">
        <f>'Tab. 6H - Kultura fiz. i turyst'!K155</f>
        <v>0</v>
      </c>
      <c r="M99" s="4744">
        <f>'Tab. 6H - Kultura fiz. i turyst'!L155</f>
        <v>0</v>
      </c>
      <c r="N99" s="4744"/>
      <c r="O99" s="4744"/>
      <c r="P99" s="4744"/>
      <c r="Q99" s="4744"/>
      <c r="R99" s="4745"/>
      <c r="S99" s="4746"/>
      <c r="T99" s="4746"/>
      <c r="U99" s="4746"/>
      <c r="V99" s="4746"/>
    </row>
    <row r="100" spans="1:22" ht="13.5" customHeight="1" thickBot="1">
      <c r="A100" s="4788"/>
      <c r="B100" s="4748" t="s">
        <v>317</v>
      </c>
      <c r="C100" s="4749"/>
      <c r="D100" s="4750"/>
      <c r="E100" s="4751">
        <f>F100+G100+H100+I100+J100+K100+L100+M100</f>
        <v>300723</v>
      </c>
      <c r="F100" s="4752"/>
      <c r="G100" s="4752">
        <f>'Tab. 6H - Kultura fiz. i turyst'!F158</f>
        <v>0</v>
      </c>
      <c r="H100" s="4752">
        <f>'Tab. 6H - Kultura fiz. i turyst'!G158</f>
        <v>42826</v>
      </c>
      <c r="I100" s="4752">
        <f>'Tab. 6H - Kultura fiz. i turyst'!H158</f>
        <v>0</v>
      </c>
      <c r="J100" s="4752">
        <f>'Tab. 6H - Kultura fiz. i turyst'!I158</f>
        <v>257897</v>
      </c>
      <c r="K100" s="4752">
        <f>'Tab. 6H - Kultura fiz. i turyst'!J158</f>
        <v>0</v>
      </c>
      <c r="L100" s="4752">
        <f>'Tab. 6H - Kultura fiz. i turyst'!K158</f>
        <v>0</v>
      </c>
      <c r="M100" s="4752">
        <f>'Tab. 6H - Kultura fiz. i turyst'!L158</f>
        <v>0</v>
      </c>
      <c r="N100" s="4752"/>
      <c r="O100" s="4752"/>
      <c r="P100" s="4752"/>
      <c r="Q100" s="4752"/>
      <c r="R100" s="4753"/>
      <c r="S100" s="4801"/>
      <c r="T100" s="4801"/>
      <c r="U100" s="4801"/>
      <c r="V100" s="4801"/>
    </row>
    <row r="101" spans="1:22" ht="25.5" customHeight="1">
      <c r="A101" s="4757" t="s">
        <v>92</v>
      </c>
      <c r="B101" s="4765" t="str">
        <f>'Tab. 6A -Drogi'!B156</f>
        <v>Przebudowa drogi wojewódzkiej nr 142 na odcinku Szczecin - Krzywnica w ramach Osi V RPO (2016-2018)</v>
      </c>
      <c r="C101" s="4719" t="s">
        <v>503</v>
      </c>
      <c r="D101" s="4720">
        <f>E104/E102%</f>
        <v>84.977665691735737</v>
      </c>
      <c r="E101" s="4721"/>
      <c r="F101" s="4722"/>
      <c r="G101" s="4723"/>
      <c r="H101" s="4722"/>
      <c r="I101" s="4722"/>
      <c r="J101" s="4722"/>
      <c r="K101" s="4722"/>
      <c r="L101" s="4722"/>
      <c r="M101" s="4722"/>
      <c r="N101" s="4722"/>
      <c r="O101" s="4722"/>
      <c r="P101" s="4722"/>
      <c r="Q101" s="4722"/>
      <c r="R101" s="4724"/>
      <c r="S101" s="4725"/>
      <c r="T101" s="4725"/>
      <c r="U101" s="4725"/>
      <c r="V101" s="4725"/>
    </row>
    <row r="102" spans="1:22">
      <c r="A102" s="4759"/>
      <c r="B102" s="4727" t="s">
        <v>195</v>
      </c>
      <c r="C102" s="4728"/>
      <c r="D102" s="4729"/>
      <c r="E102" s="4730">
        <f>+F102+G102+H102+I102+J102+K102+L102+M102</f>
        <v>50174153</v>
      </c>
      <c r="F102" s="4731">
        <f>'Tab. 6A -Drogi'!E157</f>
        <v>330606</v>
      </c>
      <c r="G102" s="4731">
        <f>'Tab. 6A -Drogi'!F157</f>
        <v>27200773</v>
      </c>
      <c r="H102" s="4731">
        <f>'Tab. 6A -Drogi'!G157</f>
        <v>22642774</v>
      </c>
      <c r="I102" s="4731">
        <f>'Tab. 6A -Drogi'!H157</f>
        <v>0</v>
      </c>
      <c r="J102" s="4731">
        <f>'Tab. 6A -Drogi'!I157</f>
        <v>0</v>
      </c>
      <c r="K102" s="4731"/>
      <c r="L102" s="4731"/>
      <c r="M102" s="4731"/>
      <c r="N102" s="4731"/>
      <c r="O102" s="4731"/>
      <c r="P102" s="4731"/>
      <c r="Q102" s="4731"/>
      <c r="R102" s="4732"/>
      <c r="S102" s="4733"/>
      <c r="T102" s="4733"/>
      <c r="U102" s="4733"/>
      <c r="V102" s="4733"/>
    </row>
    <row r="103" spans="1:22" ht="13.5" customHeight="1">
      <c r="A103" s="4759"/>
      <c r="B103" s="4734" t="s">
        <v>320</v>
      </c>
      <c r="C103" s="4735"/>
      <c r="D103" s="4736"/>
      <c r="E103" s="4737">
        <f>+F103+G103+H103+I103+J103+K103+L103+M103</f>
        <v>7537329</v>
      </c>
      <c r="F103" s="4738">
        <f>'Tab. 6A -Drogi'!E158</f>
        <v>49591</v>
      </c>
      <c r="G103" s="4738">
        <f>'Tab. 6A -Drogi'!F158</f>
        <v>4091322</v>
      </c>
      <c r="H103" s="4738">
        <f>'Tab. 6A -Drogi'!G158</f>
        <v>3396416</v>
      </c>
      <c r="I103" s="4738">
        <f>'Tab. 6A -Drogi'!H158</f>
        <v>0</v>
      </c>
      <c r="J103" s="4738">
        <f>'Tab. 6A -Drogi'!I158</f>
        <v>0</v>
      </c>
      <c r="K103" s="4738"/>
      <c r="L103" s="4738"/>
      <c r="M103" s="4738"/>
      <c r="N103" s="4738"/>
      <c r="O103" s="4738"/>
      <c r="P103" s="4738"/>
      <c r="Q103" s="4738"/>
      <c r="R103" s="4739"/>
      <c r="S103" s="4739"/>
      <c r="T103" s="4739"/>
      <c r="U103" s="4739"/>
      <c r="V103" s="4739"/>
    </row>
    <row r="104" spans="1:22" ht="13.5" customHeight="1" thickBot="1">
      <c r="A104" s="4759"/>
      <c r="B104" s="4740" t="s">
        <v>197</v>
      </c>
      <c r="C104" s="4754">
        <f>E104-E105</f>
        <v>0</v>
      </c>
      <c r="D104" s="4742"/>
      <c r="E104" s="4743">
        <f>+F104+G104+H104+I104+J104+K104+L104+M104</f>
        <v>42636824</v>
      </c>
      <c r="F104" s="4744">
        <f>'Tab. 6A -Drogi'!E161</f>
        <v>281015</v>
      </c>
      <c r="G104" s="4744">
        <f>'Tab. 6A -Drogi'!F162</f>
        <v>23109451</v>
      </c>
      <c r="H104" s="4744">
        <f>'Tab. 6A -Drogi'!G162</f>
        <v>19246358</v>
      </c>
      <c r="I104" s="4744">
        <f>'Tab. 6A -Drogi'!H162</f>
        <v>0</v>
      </c>
      <c r="J104" s="4744">
        <f>'Tab. 6A -Drogi'!I162</f>
        <v>0</v>
      </c>
      <c r="K104" s="4744"/>
      <c r="L104" s="4744"/>
      <c r="M104" s="4744"/>
      <c r="N104" s="4744"/>
      <c r="O104" s="4744"/>
      <c r="P104" s="4744"/>
      <c r="Q104" s="4744"/>
      <c r="R104" s="4745"/>
      <c r="S104" s="4746"/>
      <c r="T104" s="4746"/>
      <c r="U104" s="4746"/>
      <c r="V104" s="4746"/>
    </row>
    <row r="105" spans="1:22" ht="13.5" thickBot="1">
      <c r="A105" s="4763"/>
      <c r="B105" s="4748" t="s">
        <v>317</v>
      </c>
      <c r="C105" s="4749"/>
      <c r="D105" s="4750"/>
      <c r="E105" s="4751">
        <f>F105+G105+H105+I105+J105+K105+L105+M105</f>
        <v>42636824</v>
      </c>
      <c r="F105" s="4752"/>
      <c r="G105" s="4752">
        <f>'Tab. 6A -Drogi'!F166</f>
        <v>26097077</v>
      </c>
      <c r="H105" s="4752">
        <f>'Tab. 6A -Drogi'!G166</f>
        <v>16539747</v>
      </c>
      <c r="I105" s="4752">
        <f>'Tab. 6A -Drogi'!H166</f>
        <v>0</v>
      </c>
      <c r="J105" s="4752">
        <f>'Tab. 6A -Drogi'!I166</f>
        <v>0</v>
      </c>
      <c r="K105" s="4752"/>
      <c r="L105" s="4752"/>
      <c r="M105" s="4752"/>
      <c r="N105" s="4752"/>
      <c r="O105" s="4752"/>
      <c r="P105" s="4752"/>
      <c r="Q105" s="4752"/>
      <c r="R105" s="4753"/>
      <c r="S105" s="4753"/>
      <c r="T105" s="4753"/>
      <c r="U105" s="4753"/>
      <c r="V105" s="4753"/>
    </row>
    <row r="106" spans="1:22" ht="30" customHeight="1">
      <c r="A106" s="4757" t="s">
        <v>286</v>
      </c>
      <c r="B106" s="4765" t="str">
        <f>'Tab. 6A -Drogi'!B204</f>
        <v>Budowa obejścia m. Barlinek w ciągu drogi nr 151 w ramach Osi V RPO (2010-2019)</v>
      </c>
      <c r="C106" s="4719" t="s">
        <v>543</v>
      </c>
      <c r="D106" s="4720">
        <f>E109/E107%</f>
        <v>62.805516650859708</v>
      </c>
      <c r="E106" s="4721"/>
      <c r="F106" s="4722"/>
      <c r="G106" s="4723"/>
      <c r="H106" s="4722"/>
      <c r="I106" s="4722"/>
      <c r="J106" s="4722"/>
      <c r="K106" s="4723"/>
      <c r="L106" s="4723"/>
      <c r="M106" s="4722"/>
      <c r="N106" s="4722"/>
      <c r="O106" s="4722"/>
      <c r="P106" s="4722"/>
      <c r="Q106" s="4722"/>
      <c r="R106" s="4724"/>
      <c r="S106" s="4725"/>
      <c r="T106" s="4725"/>
      <c r="U106" s="4725"/>
      <c r="V106" s="4725"/>
    </row>
    <row r="107" spans="1:22" ht="13.5" customHeight="1">
      <c r="A107" s="4759"/>
      <c r="B107" s="4727" t="s">
        <v>195</v>
      </c>
      <c r="C107" s="4728"/>
      <c r="D107" s="4729"/>
      <c r="E107" s="4730">
        <f>+F107+G107+H107+I107+J107+K107+L107+M107</f>
        <v>23642533</v>
      </c>
      <c r="F107" s="4731">
        <f>'Tab. 6A -Drogi'!E205</f>
        <v>598614</v>
      </c>
      <c r="G107" s="4731">
        <f>'Tab. 6A -Drogi'!F205</f>
        <v>2091120</v>
      </c>
      <c r="H107" s="4731">
        <f>'Tab. 6A -Drogi'!G205</f>
        <v>10664710</v>
      </c>
      <c r="I107" s="4731">
        <f>'Tab. 6A -Drogi'!H205</f>
        <v>10288089</v>
      </c>
      <c r="J107" s="4731">
        <f>'Tab. 6A -Drogi'!I205</f>
        <v>0</v>
      </c>
      <c r="K107" s="4731"/>
      <c r="L107" s="4731"/>
      <c r="M107" s="4731"/>
      <c r="N107" s="4731"/>
      <c r="O107" s="4731"/>
      <c r="P107" s="4731"/>
      <c r="Q107" s="4731"/>
      <c r="R107" s="4732"/>
      <c r="S107" s="4733"/>
      <c r="T107" s="4733"/>
      <c r="U107" s="4733"/>
      <c r="V107" s="4733"/>
    </row>
    <row r="108" spans="1:22">
      <c r="A108" s="4759"/>
      <c r="B108" s="4756" t="s">
        <v>320</v>
      </c>
      <c r="C108" s="4735"/>
      <c r="D108" s="4736"/>
      <c r="E108" s="4737">
        <f>+F108+G108+H108+I108+J108+K108+L108+M108</f>
        <v>718614</v>
      </c>
      <c r="F108" s="4738">
        <f>'Tab. 6A -Drogi'!E207</f>
        <v>598614</v>
      </c>
      <c r="G108" s="4738">
        <f>'Tab. 6A -Drogi'!F207</f>
        <v>6236</v>
      </c>
      <c r="H108" s="4738">
        <f>'Tab. 6A -Drogi'!G207</f>
        <v>113764</v>
      </c>
      <c r="I108" s="4738">
        <f>'Tab. 6A -Drogi'!H207</f>
        <v>0</v>
      </c>
      <c r="J108" s="4738">
        <f>'Tab. 6A -Drogi'!I207</f>
        <v>0</v>
      </c>
      <c r="K108" s="4738"/>
      <c r="L108" s="4738"/>
      <c r="M108" s="4738"/>
      <c r="N108" s="4738"/>
      <c r="O108" s="4738"/>
      <c r="P108" s="4738"/>
      <c r="Q108" s="4738"/>
      <c r="R108" s="4739"/>
      <c r="S108" s="4739"/>
      <c r="T108" s="4739"/>
      <c r="U108" s="4739"/>
      <c r="V108" s="4739"/>
    </row>
    <row r="109" spans="1:22" ht="13.5" customHeight="1" thickBot="1">
      <c r="A109" s="4759"/>
      <c r="B109" s="4740" t="s">
        <v>197</v>
      </c>
      <c r="C109" s="4754">
        <f>E109-E110</f>
        <v>0</v>
      </c>
      <c r="D109" s="4742"/>
      <c r="E109" s="4743">
        <f>+F109+G109+H109+I109+J109+K109+L109+M109</f>
        <v>14848815</v>
      </c>
      <c r="F109" s="4744">
        <f>'Tab. 6A -Drogi'!E210</f>
        <v>0</v>
      </c>
      <c r="G109" s="4744">
        <f>'Tab. 6A -Drogi'!F210</f>
        <v>970783</v>
      </c>
      <c r="H109" s="4744">
        <f>'Tab. 6A -Drogi'!G210</f>
        <v>7747376</v>
      </c>
      <c r="I109" s="4744">
        <f>'Tab. 6A -Drogi'!H210</f>
        <v>6130656</v>
      </c>
      <c r="J109" s="4744">
        <f>'Tab. 6A -Drogi'!I210</f>
        <v>0</v>
      </c>
      <c r="K109" s="4744"/>
      <c r="L109" s="4744"/>
      <c r="M109" s="4744"/>
      <c r="N109" s="4744"/>
      <c r="O109" s="4744"/>
      <c r="P109" s="4744"/>
      <c r="Q109" s="4744"/>
      <c r="R109" s="4745"/>
      <c r="S109" s="4746"/>
      <c r="T109" s="4746"/>
      <c r="U109" s="4746"/>
      <c r="V109" s="4746"/>
    </row>
    <row r="110" spans="1:22" ht="13.5" customHeight="1" thickBot="1">
      <c r="A110" s="4763"/>
      <c r="B110" s="4748" t="s">
        <v>317</v>
      </c>
      <c r="C110" s="4749"/>
      <c r="D110" s="4750"/>
      <c r="E110" s="4751">
        <f>F110+G110+H110+I110+J110+K110+L110+M110</f>
        <v>14848815</v>
      </c>
      <c r="F110" s="4752">
        <f>'Tab. 6A -Drogi'!E214</f>
        <v>0</v>
      </c>
      <c r="G110" s="4752">
        <f>'Tab. 6A -Drogi'!F214</f>
        <v>1871403</v>
      </c>
      <c r="H110" s="4752">
        <f>'Tab. 6A -Drogi'!G214</f>
        <v>8499400</v>
      </c>
      <c r="I110" s="4752">
        <f>'Tab. 6A -Drogi'!H214</f>
        <v>4478012</v>
      </c>
      <c r="J110" s="4752">
        <f>'Tab. 6A -Drogi'!I214</f>
        <v>0</v>
      </c>
      <c r="K110" s="4752"/>
      <c r="L110" s="4752"/>
      <c r="M110" s="4752"/>
      <c r="N110" s="4752"/>
      <c r="O110" s="4752"/>
      <c r="P110" s="4752"/>
      <c r="Q110" s="4752"/>
      <c r="R110" s="4753"/>
      <c r="S110" s="4753"/>
      <c r="T110" s="4753"/>
      <c r="U110" s="4753"/>
      <c r="V110" s="4753"/>
    </row>
    <row r="111" spans="1:22" ht="29.25" customHeight="1">
      <c r="A111" s="4757" t="s">
        <v>96</v>
      </c>
      <c r="B111" s="4758" t="str">
        <f>'Tab. 6E - Administracja'!B59</f>
        <v>Regionalny Punkt Kontaktowy - Pomoc Techniczna w ramach Programu Współpracy INTERREG VA - wydatki majątkowe  (2016-2020)</v>
      </c>
      <c r="C111" s="4719" t="s">
        <v>550</v>
      </c>
      <c r="D111" s="4720">
        <f>E114/E112%</f>
        <v>85.001606683804624</v>
      </c>
      <c r="E111" s="4721"/>
      <c r="F111" s="4722"/>
      <c r="G111" s="4723"/>
      <c r="H111" s="4722"/>
      <c r="I111" s="4722"/>
      <c r="J111" s="4722"/>
      <c r="K111" s="4722"/>
      <c r="L111" s="4722"/>
      <c r="M111" s="4722"/>
      <c r="N111" s="4722"/>
      <c r="O111" s="4722"/>
      <c r="P111" s="4722"/>
      <c r="Q111" s="4722"/>
      <c r="R111" s="4724"/>
      <c r="S111" s="4725"/>
      <c r="T111" s="4725"/>
      <c r="U111" s="4725"/>
      <c r="V111" s="4725"/>
    </row>
    <row r="112" spans="1:22" ht="13.5" customHeight="1">
      <c r="A112" s="4759"/>
      <c r="B112" s="4727" t="s">
        <v>195</v>
      </c>
      <c r="C112" s="4728"/>
      <c r="D112" s="4729"/>
      <c r="E112" s="4730">
        <f>+F112+G112+H112+I112+J112+K112+L112+M112</f>
        <v>12448</v>
      </c>
      <c r="F112" s="4731"/>
      <c r="G112" s="4731">
        <f>'Tab. 6E - Administracja'!F60</f>
        <v>12448</v>
      </c>
      <c r="H112" s="4731">
        <f>'Tab. 6E - Administracja'!G60</f>
        <v>0</v>
      </c>
      <c r="I112" s="4731">
        <f>'Tab. 6E - Administracja'!H60</f>
        <v>0</v>
      </c>
      <c r="J112" s="4731">
        <f>'Tab. 6E - Administracja'!I60</f>
        <v>0</v>
      </c>
      <c r="K112" s="4731"/>
      <c r="L112" s="4731"/>
      <c r="M112" s="4731"/>
      <c r="N112" s="4731"/>
      <c r="O112" s="4731"/>
      <c r="P112" s="4731"/>
      <c r="Q112" s="4731"/>
      <c r="R112" s="4732"/>
      <c r="S112" s="4733"/>
      <c r="T112" s="4733"/>
      <c r="U112" s="4733"/>
      <c r="V112" s="4733"/>
    </row>
    <row r="113" spans="1:22" ht="13.5" customHeight="1">
      <c r="A113" s="4759"/>
      <c r="B113" s="4734" t="s">
        <v>196</v>
      </c>
      <c r="C113" s="4735"/>
      <c r="D113" s="4736"/>
      <c r="E113" s="4737">
        <f>+F113+G113+H113+I113+J113+K113+L113+M113</f>
        <v>1867</v>
      </c>
      <c r="F113" s="4738"/>
      <c r="G113" s="4738">
        <f>'Tab. 6E - Administracja'!F61</f>
        <v>1867</v>
      </c>
      <c r="H113" s="4738">
        <f>'Tab. 6E - Administracja'!G61</f>
        <v>0</v>
      </c>
      <c r="I113" s="4738">
        <f>'Tab. 6E - Administracja'!H61</f>
        <v>0</v>
      </c>
      <c r="J113" s="4738">
        <f>'Tab. 6E - Administracja'!I61</f>
        <v>0</v>
      </c>
      <c r="K113" s="4738"/>
      <c r="L113" s="4738"/>
      <c r="M113" s="4738"/>
      <c r="N113" s="4738"/>
      <c r="O113" s="4738"/>
      <c r="P113" s="4738"/>
      <c r="Q113" s="4738"/>
      <c r="R113" s="4739"/>
      <c r="S113" s="4739"/>
      <c r="T113" s="4739"/>
      <c r="U113" s="4739"/>
      <c r="V113" s="4739"/>
    </row>
    <row r="114" spans="1:22" ht="13.5" customHeight="1" thickBot="1">
      <c r="A114" s="4759"/>
      <c r="B114" s="4740" t="s">
        <v>197</v>
      </c>
      <c r="C114" s="4754">
        <f>E114-E115</f>
        <v>0</v>
      </c>
      <c r="D114" s="4742"/>
      <c r="E114" s="4743">
        <f>+F114+G114+H114+I114+J114+K114+L114+M114</f>
        <v>10581</v>
      </c>
      <c r="F114" s="4744"/>
      <c r="G114" s="4744">
        <f>'Tab. 6E - Administracja'!F64</f>
        <v>10581</v>
      </c>
      <c r="H114" s="4744">
        <f>'Tab. 6E - Administracja'!G64</f>
        <v>0</v>
      </c>
      <c r="I114" s="4744">
        <f>'Tab. 6E - Administracja'!H64</f>
        <v>0</v>
      </c>
      <c r="J114" s="4744">
        <f>'Tab. 6E - Administracja'!I64</f>
        <v>0</v>
      </c>
      <c r="K114" s="4744"/>
      <c r="L114" s="4744"/>
      <c r="M114" s="4744"/>
      <c r="N114" s="4744"/>
      <c r="O114" s="4744"/>
      <c r="P114" s="4744"/>
      <c r="Q114" s="4744"/>
      <c r="R114" s="4745"/>
      <c r="S114" s="4746"/>
      <c r="T114" s="4746"/>
      <c r="U114" s="4746"/>
      <c r="V114" s="4746"/>
    </row>
    <row r="115" spans="1:22" ht="15" customHeight="1" thickBot="1">
      <c r="A115" s="4763"/>
      <c r="B115" s="4748" t="s">
        <v>317</v>
      </c>
      <c r="C115" s="4749"/>
      <c r="D115" s="4750"/>
      <c r="E115" s="4751">
        <f>F115+G115+H115+I115+J115+K115+L115+M115</f>
        <v>10581</v>
      </c>
      <c r="F115" s="4752"/>
      <c r="G115" s="4752">
        <f>'Tab. 6E - Administracja'!F69</f>
        <v>0</v>
      </c>
      <c r="H115" s="4752">
        <f>'Tab. 6E - Administracja'!G69</f>
        <v>10581</v>
      </c>
      <c r="I115" s="4752">
        <f>'Tab. 6E - Administracja'!H69</f>
        <v>0</v>
      </c>
      <c r="J115" s="4752">
        <f>'Tab. 6E - Administracja'!I69</f>
        <v>0</v>
      </c>
      <c r="K115" s="4752"/>
      <c r="L115" s="4752"/>
      <c r="M115" s="4752"/>
      <c r="N115" s="4752"/>
      <c r="O115" s="4752"/>
      <c r="P115" s="4752"/>
      <c r="Q115" s="4752"/>
      <c r="R115" s="4753"/>
      <c r="S115" s="4753"/>
      <c r="T115" s="4753"/>
      <c r="U115" s="4753"/>
      <c r="V115" s="4753"/>
    </row>
    <row r="116" spans="1:22" ht="26.25" customHeight="1">
      <c r="A116" s="4757" t="s">
        <v>287</v>
      </c>
      <c r="B116" s="4758" t="str">
        <f>'Tab.6I - Planow. przestrz.'!B62</f>
        <v>Wsparcie techniczne Interreg VA Południowy Bałtyk - wydatki majątkowe (2015-2020)</v>
      </c>
      <c r="C116" s="4719" t="s">
        <v>333</v>
      </c>
      <c r="D116" s="4720">
        <f>E119/E117%</f>
        <v>74.994232987312571</v>
      </c>
      <c r="E116" s="4721"/>
      <c r="F116" s="4722"/>
      <c r="G116" s="4723"/>
      <c r="H116" s="4722"/>
      <c r="I116" s="4722"/>
      <c r="J116" s="4722"/>
      <c r="K116" s="4722"/>
      <c r="L116" s="4722"/>
      <c r="M116" s="4722"/>
      <c r="N116" s="4722"/>
      <c r="O116" s="4722"/>
      <c r="P116" s="4722"/>
      <c r="Q116" s="4722"/>
      <c r="R116" s="4724"/>
      <c r="S116" s="4725"/>
      <c r="T116" s="4725"/>
      <c r="U116" s="4725"/>
      <c r="V116" s="4725"/>
    </row>
    <row r="117" spans="1:22" ht="13.5" customHeight="1">
      <c r="A117" s="4759"/>
      <c r="B117" s="4727" t="s">
        <v>195</v>
      </c>
      <c r="C117" s="4728"/>
      <c r="D117" s="4729"/>
      <c r="E117" s="4730">
        <f>+F117+G117+H117+I117+J117+K117+L117+M117</f>
        <v>4335</v>
      </c>
      <c r="F117" s="4731"/>
      <c r="G117" s="4731">
        <f>'Tab.6I - Planow. przestrz.'!F63</f>
        <v>4335</v>
      </c>
      <c r="H117" s="4731">
        <f>'Tab.6I - Planow. przestrz.'!G63</f>
        <v>0</v>
      </c>
      <c r="I117" s="4731">
        <f>'Tab.6I - Planow. przestrz.'!H63</f>
        <v>0</v>
      </c>
      <c r="J117" s="4731">
        <f>'Tab.6I - Planow. przestrz.'!I63</f>
        <v>0</v>
      </c>
      <c r="K117" s="4731">
        <f>'Tab.6I - Planow. przestrz.'!J63</f>
        <v>0</v>
      </c>
      <c r="L117" s="4731">
        <f>'Tab.6I - Planow. przestrz.'!K63</f>
        <v>0</v>
      </c>
      <c r="M117" s="4731"/>
      <c r="N117" s="4731"/>
      <c r="O117" s="4731"/>
      <c r="P117" s="4731"/>
      <c r="Q117" s="4731"/>
      <c r="R117" s="4732"/>
      <c r="S117" s="4733"/>
      <c r="T117" s="4733"/>
      <c r="U117" s="4733"/>
      <c r="V117" s="4733"/>
    </row>
    <row r="118" spans="1:22" ht="13.5" customHeight="1">
      <c r="A118" s="4759"/>
      <c r="B118" s="4734" t="s">
        <v>196</v>
      </c>
      <c r="C118" s="4735"/>
      <c r="D118" s="4736"/>
      <c r="E118" s="4737">
        <f>+F118+G118+H118+I118+J118+K118+L118+M118</f>
        <v>1084</v>
      </c>
      <c r="F118" s="4738"/>
      <c r="G118" s="4738">
        <f>'Tab.6I - Planow. przestrz.'!F64</f>
        <v>1084</v>
      </c>
      <c r="H118" s="4738">
        <f>'Tab.6I - Planow. przestrz.'!G64</f>
        <v>0</v>
      </c>
      <c r="I118" s="4738">
        <f>'Tab.6I - Planow. przestrz.'!H64</f>
        <v>0</v>
      </c>
      <c r="J118" s="4738">
        <f>'Tab.6I - Planow. przestrz.'!I64</f>
        <v>0</v>
      </c>
      <c r="K118" s="4738">
        <f>'Tab.6I - Planow. przestrz.'!J64</f>
        <v>0</v>
      </c>
      <c r="L118" s="4738">
        <f>'Tab.6I - Planow. przestrz.'!K64</f>
        <v>0</v>
      </c>
      <c r="M118" s="4738"/>
      <c r="N118" s="4738"/>
      <c r="O118" s="4738"/>
      <c r="P118" s="4738"/>
      <c r="Q118" s="4738"/>
      <c r="R118" s="4739"/>
      <c r="S118" s="4739"/>
      <c r="T118" s="4739"/>
      <c r="U118" s="4739"/>
      <c r="V118" s="4739"/>
    </row>
    <row r="119" spans="1:22" ht="13.5" customHeight="1" thickBot="1">
      <c r="A119" s="4759"/>
      <c r="B119" s="4740" t="s">
        <v>197</v>
      </c>
      <c r="C119" s="4754">
        <f>E119-E120</f>
        <v>0</v>
      </c>
      <c r="D119" s="4742"/>
      <c r="E119" s="4743">
        <f>+F119+G119+H119+I119+J119+K119+L119+M119</f>
        <v>3251</v>
      </c>
      <c r="F119" s="4744"/>
      <c r="G119" s="4744">
        <f>'Tab.6I - Planow. przestrz.'!F66</f>
        <v>3251</v>
      </c>
      <c r="H119" s="4744">
        <f>'Tab.6I - Planow. przestrz.'!G66</f>
        <v>0</v>
      </c>
      <c r="I119" s="4744">
        <f>'Tab.6I - Planow. przestrz.'!H66</f>
        <v>0</v>
      </c>
      <c r="J119" s="4744">
        <f>'Tab.6I - Planow. przestrz.'!I66</f>
        <v>0</v>
      </c>
      <c r="K119" s="4744">
        <f>'Tab.6I - Planow. przestrz.'!J66</f>
        <v>0</v>
      </c>
      <c r="L119" s="4744">
        <f>'Tab.6I - Planow. przestrz.'!K66</f>
        <v>0</v>
      </c>
      <c r="M119" s="4744"/>
      <c r="N119" s="4744"/>
      <c r="O119" s="4744"/>
      <c r="P119" s="4744"/>
      <c r="Q119" s="4744"/>
      <c r="R119" s="4745"/>
      <c r="S119" s="4746"/>
      <c r="T119" s="4746"/>
      <c r="U119" s="4746"/>
      <c r="V119" s="4746"/>
    </row>
    <row r="120" spans="1:22" ht="15" customHeight="1" thickBot="1">
      <c r="A120" s="4763"/>
      <c r="B120" s="4748" t="s">
        <v>317</v>
      </c>
      <c r="C120" s="4749"/>
      <c r="D120" s="4750"/>
      <c r="E120" s="4751">
        <f>F120+G120+H120+I120+J120+K120+L120+M120</f>
        <v>3251</v>
      </c>
      <c r="F120" s="4752"/>
      <c r="G120" s="4752">
        <f>'Tab.6I - Planow. przestrz.'!F71</f>
        <v>0</v>
      </c>
      <c r="H120" s="4752">
        <f>'Tab.6I - Planow. przestrz.'!G71</f>
        <v>3251</v>
      </c>
      <c r="I120" s="4752">
        <f>'Tab.6I - Planow. przestrz.'!H71</f>
        <v>0</v>
      </c>
      <c r="J120" s="4752">
        <f>'Tab.6I - Planow. przestrz.'!I71</f>
        <v>0</v>
      </c>
      <c r="K120" s="4752">
        <f>'Tab.6I - Planow. przestrz.'!J71</f>
        <v>0</v>
      </c>
      <c r="L120" s="4752">
        <f>'Tab.6I - Planow. przestrz.'!K71</f>
        <v>0</v>
      </c>
      <c r="M120" s="4752"/>
      <c r="N120" s="4752"/>
      <c r="O120" s="4752"/>
      <c r="P120" s="4752"/>
      <c r="Q120" s="4752"/>
      <c r="R120" s="4753"/>
      <c r="S120" s="4753"/>
      <c r="T120" s="4753"/>
      <c r="U120" s="4753"/>
      <c r="V120" s="4753"/>
    </row>
    <row r="121" spans="1:22" ht="38.25" customHeight="1">
      <c r="A121" s="4757" t="s">
        <v>217</v>
      </c>
      <c r="B121" s="4765" t="str">
        <f>'Tab. 6A -Drogi'!B228</f>
        <v>Rozbudowa drogi wojewódzkiej nr 203 na odcinku Darłowo - granica województwa etap I przebudowa ul. Tynieckiego w m. Darłowo w ramach Osi V RPO (2017-2018)</v>
      </c>
      <c r="C121" s="4719" t="s">
        <v>508</v>
      </c>
      <c r="D121" s="4720">
        <f>E124/E122%</f>
        <v>79.441658148606194</v>
      </c>
      <c r="E121" s="4721"/>
      <c r="F121" s="4722"/>
      <c r="G121" s="4723"/>
      <c r="H121" s="4722"/>
      <c r="I121" s="4722"/>
      <c r="J121" s="4722"/>
      <c r="K121" s="4722"/>
      <c r="L121" s="4722"/>
      <c r="M121" s="4722"/>
      <c r="N121" s="4722"/>
      <c r="O121" s="4722"/>
      <c r="P121" s="4722"/>
      <c r="Q121" s="4722"/>
      <c r="R121" s="4724"/>
      <c r="S121" s="4725"/>
      <c r="T121" s="4725"/>
      <c r="U121" s="4725"/>
      <c r="V121" s="4725"/>
    </row>
    <row r="122" spans="1:22" ht="13.5" customHeight="1">
      <c r="A122" s="4759"/>
      <c r="B122" s="4727" t="s">
        <v>195</v>
      </c>
      <c r="C122" s="4728"/>
      <c r="D122" s="4729"/>
      <c r="E122" s="4730">
        <f>+F122+G122+H122+I122+J122+K122+L122+M122</f>
        <v>8669814</v>
      </c>
      <c r="F122" s="4731"/>
      <c r="G122" s="4731">
        <f>'Tab. 6A -Drogi'!F229</f>
        <v>617780</v>
      </c>
      <c r="H122" s="4731">
        <f>'Tab. 6A -Drogi'!G229</f>
        <v>8052034</v>
      </c>
      <c r="I122" s="4731">
        <f>'Tab. 6A -Drogi'!H229</f>
        <v>0</v>
      </c>
      <c r="J122" s="4731">
        <f>'Tab. 6A -Drogi'!I229</f>
        <v>0</v>
      </c>
      <c r="K122" s="4731">
        <f>'Tab. 6A -Drogi'!J229</f>
        <v>0</v>
      </c>
      <c r="L122" s="4731"/>
      <c r="M122" s="4731"/>
      <c r="N122" s="4731"/>
      <c r="O122" s="4731"/>
      <c r="P122" s="4731"/>
      <c r="Q122" s="4731"/>
      <c r="R122" s="4732"/>
      <c r="S122" s="4733"/>
      <c r="T122" s="4733"/>
      <c r="U122" s="4733"/>
      <c r="V122" s="4733"/>
    </row>
    <row r="123" spans="1:22" ht="13.5" customHeight="1">
      <c r="A123" s="4759"/>
      <c r="B123" s="4734" t="s">
        <v>196</v>
      </c>
      <c r="C123" s="4735"/>
      <c r="D123" s="4736"/>
      <c r="E123" s="4737">
        <f>+F123+G123+H123+I123+J123+K123+L123+M123</f>
        <v>1782370</v>
      </c>
      <c r="F123" s="4738"/>
      <c r="G123" s="4738">
        <f>'Tab. 6A -Drogi'!F230</f>
        <v>141638</v>
      </c>
      <c r="H123" s="4738">
        <f>'Tab. 6A -Drogi'!G230</f>
        <v>1640732</v>
      </c>
      <c r="I123" s="4738">
        <f>'Tab. 6A -Drogi'!H230</f>
        <v>0</v>
      </c>
      <c r="J123" s="4738">
        <f>'Tab. 6A -Drogi'!I230</f>
        <v>0</v>
      </c>
      <c r="K123" s="4738">
        <f>'Tab. 6A -Drogi'!J230</f>
        <v>0</v>
      </c>
      <c r="L123" s="4738"/>
      <c r="M123" s="4738"/>
      <c r="N123" s="4738"/>
      <c r="O123" s="4738"/>
      <c r="P123" s="4738"/>
      <c r="Q123" s="4738"/>
      <c r="R123" s="4739"/>
      <c r="S123" s="4739"/>
      <c r="T123" s="4739"/>
      <c r="U123" s="4739"/>
      <c r="V123" s="4739"/>
    </row>
    <row r="124" spans="1:22" ht="13.5" thickBot="1">
      <c r="A124" s="4759"/>
      <c r="B124" s="4740" t="s">
        <v>197</v>
      </c>
      <c r="C124" s="4754">
        <f>E124-E125</f>
        <v>0</v>
      </c>
      <c r="D124" s="4742"/>
      <c r="E124" s="4743">
        <f>+F124+G124+H124+I124+J124+K124+L124+M124</f>
        <v>6887444</v>
      </c>
      <c r="F124" s="4744"/>
      <c r="G124" s="4744">
        <f>'Tab. 6A -Drogi'!F233</f>
        <v>476142</v>
      </c>
      <c r="H124" s="4744">
        <f>'Tab. 6A -Drogi'!G233</f>
        <v>6411302</v>
      </c>
      <c r="I124" s="4744">
        <f>'Tab. 6A -Drogi'!H233</f>
        <v>0</v>
      </c>
      <c r="J124" s="4744">
        <f>'Tab. 6A -Drogi'!I233</f>
        <v>0</v>
      </c>
      <c r="K124" s="4744">
        <f>'Tab. 6A -Drogi'!J233</f>
        <v>0</v>
      </c>
      <c r="L124" s="4744"/>
      <c r="M124" s="4744"/>
      <c r="N124" s="4744"/>
      <c r="O124" s="4744"/>
      <c r="P124" s="4744"/>
      <c r="Q124" s="4744"/>
      <c r="R124" s="4745"/>
      <c r="S124" s="4746"/>
      <c r="T124" s="4746"/>
      <c r="U124" s="4746"/>
      <c r="V124" s="4746"/>
    </row>
    <row r="125" spans="1:22" ht="13.5" thickBot="1">
      <c r="A125" s="4763"/>
      <c r="B125" s="4748" t="s">
        <v>317</v>
      </c>
      <c r="C125" s="4749"/>
      <c r="D125" s="4750"/>
      <c r="E125" s="4751">
        <f>F125+G125+H125+I125+J125+K125+L125+M125</f>
        <v>6887444</v>
      </c>
      <c r="F125" s="4752"/>
      <c r="G125" s="4752">
        <f>'Tab. 6A -Drogi'!F238</f>
        <v>2069792</v>
      </c>
      <c r="H125" s="4752">
        <f>'Tab. 6A -Drogi'!G238</f>
        <v>4817652</v>
      </c>
      <c r="I125" s="4752">
        <f>'Tab. 6A -Drogi'!H238</f>
        <v>0</v>
      </c>
      <c r="J125" s="4752">
        <f>'Tab. 6A -Drogi'!I238</f>
        <v>0</v>
      </c>
      <c r="K125" s="4752">
        <f>'Tab. 6A -Drogi'!J238</f>
        <v>0</v>
      </c>
      <c r="L125" s="4752"/>
      <c r="M125" s="4752"/>
      <c r="N125" s="4752"/>
      <c r="O125" s="4752"/>
      <c r="P125" s="4752"/>
      <c r="Q125" s="4752"/>
      <c r="R125" s="4753"/>
      <c r="S125" s="4753"/>
      <c r="T125" s="4753"/>
      <c r="U125" s="4753"/>
      <c r="V125" s="4753"/>
    </row>
    <row r="126" spans="1:22" ht="49.5" customHeight="1" thickBot="1">
      <c r="A126" s="4802" t="s">
        <v>218</v>
      </c>
      <c r="B126" s="4803" t="str">
        <f>'Tab. 6G - Roln i ochrona środ.'!B68</f>
        <v>Wzmacnianie ochrony bociana białego i nietoperzy oraz realizacja zadań czynnej ochrony w rezerwatach przyrody na obszarach parków krajobrazowych województwa zachodniopomorskiego - majątkowe w ramach Osi IV RPO WZ (2016-2020)</v>
      </c>
      <c r="C126" s="4804" t="s">
        <v>653</v>
      </c>
      <c r="D126" s="4772">
        <f>E129/E127%</f>
        <v>82.824747544339672</v>
      </c>
      <c r="E126" s="4794"/>
      <c r="F126" s="4795"/>
      <c r="G126" s="4796"/>
      <c r="H126" s="4795"/>
      <c r="I126" s="4795"/>
      <c r="J126" s="4795"/>
      <c r="K126" s="4795"/>
      <c r="L126" s="4795"/>
      <c r="M126" s="4795"/>
      <c r="N126" s="4795"/>
      <c r="O126" s="4795"/>
      <c r="P126" s="4795"/>
      <c r="Q126" s="4795"/>
      <c r="R126" s="4797"/>
      <c r="S126" s="4798"/>
      <c r="T126" s="4798"/>
      <c r="U126" s="4798"/>
      <c r="V126" s="4798"/>
    </row>
    <row r="127" spans="1:22" ht="13.5" thickTop="1">
      <c r="A127" s="4805"/>
      <c r="B127" s="4806" t="s">
        <v>195</v>
      </c>
      <c r="C127" s="4728"/>
      <c r="D127" s="4729"/>
      <c r="E127" s="4730">
        <f>+F127+G127+H127+I127+J127+K127+L127+M127</f>
        <v>1016020</v>
      </c>
      <c r="F127" s="4731">
        <f>'Tab. 6G - Roln i ochrona środ.'!E69</f>
        <v>49100</v>
      </c>
      <c r="G127" s="4731">
        <f>'Tab. 6G - Roln i ochrona środ.'!F69</f>
        <v>0</v>
      </c>
      <c r="H127" s="4731">
        <f>'Tab. 6G - Roln i ochrona środ.'!G69</f>
        <v>223530</v>
      </c>
      <c r="I127" s="4731">
        <f>'Tab. 6G - Roln i ochrona środ.'!H69</f>
        <v>564990</v>
      </c>
      <c r="J127" s="4731">
        <f>'Tab. 6G - Roln i ochrona środ.'!I69</f>
        <v>178400</v>
      </c>
      <c r="K127" s="4731">
        <f>'Tab. 6G - Roln i ochrona środ.'!J69</f>
        <v>0</v>
      </c>
      <c r="L127" s="4731">
        <f>'Tab. 6G - Roln i ochrona środ.'!K69</f>
        <v>0</v>
      </c>
      <c r="M127" s="4731"/>
      <c r="N127" s="4731"/>
      <c r="O127" s="4731"/>
      <c r="P127" s="4731"/>
      <c r="Q127" s="4731"/>
      <c r="R127" s="4732"/>
      <c r="S127" s="4733"/>
      <c r="T127" s="4733"/>
      <c r="U127" s="4733"/>
      <c r="V127" s="4733"/>
    </row>
    <row r="128" spans="1:22" ht="16.5" customHeight="1">
      <c r="A128" s="4805"/>
      <c r="B128" s="4807" t="s">
        <v>196</v>
      </c>
      <c r="C128" s="4735"/>
      <c r="D128" s="4736"/>
      <c r="E128" s="4737">
        <f>+F128+G128+H128+I128+J128+K128+L128+M128</f>
        <v>174504</v>
      </c>
      <c r="F128" s="4738">
        <f>'Tab. 6G - Roln i ochrona środ.'!E70</f>
        <v>29465</v>
      </c>
      <c r="G128" s="4738">
        <f>'Tab. 6G - Roln i ochrona środ.'!F70</f>
        <v>0</v>
      </c>
      <c r="H128" s="4738">
        <f>'Tab. 6G - Roln i ochrona środ.'!G70</f>
        <v>33530</v>
      </c>
      <c r="I128" s="4738">
        <f>'Tab. 6G - Roln i ochrona środ.'!H70</f>
        <v>84749</v>
      </c>
      <c r="J128" s="4738">
        <f>'Tab. 6G - Roln i ochrona środ.'!I70</f>
        <v>26760</v>
      </c>
      <c r="K128" s="4738">
        <f>'Tab. 6G - Roln i ochrona środ.'!J70</f>
        <v>0</v>
      </c>
      <c r="L128" s="4738">
        <f>'Tab. 6G - Roln i ochrona środ.'!K70</f>
        <v>0</v>
      </c>
      <c r="M128" s="4738"/>
      <c r="N128" s="4738"/>
      <c r="O128" s="4738"/>
      <c r="P128" s="4738"/>
      <c r="Q128" s="4738"/>
      <c r="R128" s="4739"/>
      <c r="S128" s="4739"/>
      <c r="T128" s="4739"/>
      <c r="U128" s="4739"/>
      <c r="V128" s="4739"/>
    </row>
    <row r="129" spans="1:22" ht="13.5" customHeight="1" thickBot="1">
      <c r="A129" s="4808"/>
      <c r="B129" s="4809" t="s">
        <v>197</v>
      </c>
      <c r="C129" s="4754">
        <f>E129-E130</f>
        <v>0</v>
      </c>
      <c r="D129" s="4742"/>
      <c r="E129" s="4743">
        <f>+F129+G129+H129+I129+J129+K129+L129+M129</f>
        <v>841516</v>
      </c>
      <c r="F129" s="4744">
        <f>'Tab. 6G - Roln i ochrona środ.'!E72</f>
        <v>19635</v>
      </c>
      <c r="G129" s="4744">
        <f>'Tab. 6G - Roln i ochrona środ.'!F72</f>
        <v>0</v>
      </c>
      <c r="H129" s="4744">
        <f>'Tab. 6G - Roln i ochrona środ.'!G72</f>
        <v>190000</v>
      </c>
      <c r="I129" s="4744">
        <f>'Tab. 6G - Roln i ochrona środ.'!H72</f>
        <v>480241</v>
      </c>
      <c r="J129" s="4744">
        <f>'Tab. 6G - Roln i ochrona środ.'!I72</f>
        <v>151640</v>
      </c>
      <c r="K129" s="4744">
        <f>'Tab. 6G - Roln i ochrona środ.'!J72</f>
        <v>0</v>
      </c>
      <c r="L129" s="4744">
        <f>'Tab. 6G - Roln i ochrona środ.'!K72</f>
        <v>0</v>
      </c>
      <c r="M129" s="4744"/>
      <c r="N129" s="4744"/>
      <c r="O129" s="4744"/>
      <c r="P129" s="4744"/>
      <c r="Q129" s="4744"/>
      <c r="R129" s="4745"/>
      <c r="S129" s="4787"/>
      <c r="T129" s="4787"/>
      <c r="U129" s="4787"/>
      <c r="V129" s="4787"/>
    </row>
    <row r="130" spans="1:22" ht="13.5" thickBot="1">
      <c r="A130" s="4810"/>
      <c r="B130" s="4748" t="s">
        <v>317</v>
      </c>
      <c r="C130" s="4749"/>
      <c r="D130" s="4750"/>
      <c r="E130" s="4751">
        <f>F130+G130+H130+I130+J130+K130+L130+M130</f>
        <v>841516</v>
      </c>
      <c r="F130" s="4752">
        <f>'Tab. 6G - Roln i ochrona środ.'!E75</f>
        <v>0</v>
      </c>
      <c r="G130" s="4752">
        <f>'Tab. 6G - Roln i ochrona środ.'!F75</f>
        <v>0</v>
      </c>
      <c r="H130" s="4752">
        <f>'Tab. 6G - Roln i ochrona środ.'!G75</f>
        <v>209635</v>
      </c>
      <c r="I130" s="4752">
        <f>'Tab. 6G - Roln i ochrona środ.'!H75</f>
        <v>480241</v>
      </c>
      <c r="J130" s="4752">
        <f>'Tab. 6G - Roln i ochrona środ.'!I75</f>
        <v>151640</v>
      </c>
      <c r="K130" s="4752">
        <f>'Tab. 6G - Roln i ochrona środ.'!J75</f>
        <v>0</v>
      </c>
      <c r="L130" s="4752">
        <f>'Tab. 6G - Roln i ochrona środ.'!K75</f>
        <v>0</v>
      </c>
      <c r="M130" s="4752"/>
      <c r="N130" s="4752"/>
      <c r="O130" s="4752"/>
      <c r="P130" s="4752"/>
      <c r="Q130" s="4752"/>
      <c r="R130" s="4753"/>
      <c r="S130" s="4753"/>
      <c r="T130" s="4753"/>
      <c r="U130" s="4753"/>
      <c r="V130" s="4753"/>
    </row>
    <row r="131" spans="1:22" ht="38.25" customHeight="1" thickBot="1">
      <c r="A131" s="4802" t="s">
        <v>277</v>
      </c>
      <c r="B131" s="4811" t="str">
        <f>'Tab. 6A -Drogi'!B168</f>
        <v>Przebudowa drogi wojewódzkiej nr 102 na odcinku Międzywodzie -Dziwnów w ramach Osi V RPO (2016-2018)</v>
      </c>
      <c r="C131" s="4804" t="s">
        <v>509</v>
      </c>
      <c r="D131" s="4772">
        <f>E134/E132%</f>
        <v>82.746825814551684</v>
      </c>
      <c r="E131" s="4794"/>
      <c r="F131" s="4795"/>
      <c r="G131" s="4796"/>
      <c r="H131" s="4795"/>
      <c r="I131" s="4795"/>
      <c r="J131" s="4795"/>
      <c r="K131" s="4795"/>
      <c r="L131" s="4795"/>
      <c r="M131" s="4795"/>
      <c r="N131" s="4795"/>
      <c r="O131" s="4795"/>
      <c r="P131" s="4795"/>
      <c r="Q131" s="4795"/>
      <c r="R131" s="4797"/>
      <c r="S131" s="4798"/>
      <c r="T131" s="4798"/>
      <c r="U131" s="4798"/>
      <c r="V131" s="4798"/>
    </row>
    <row r="132" spans="1:22" ht="13.5" thickTop="1">
      <c r="A132" s="4805"/>
      <c r="B132" s="4806" t="s">
        <v>195</v>
      </c>
      <c r="C132" s="4728"/>
      <c r="D132" s="4729"/>
      <c r="E132" s="4730">
        <f>+F132+G132+H132+I132+J132+K132+L132+M132</f>
        <v>14296975</v>
      </c>
      <c r="F132" s="4731">
        <f>'Tab. 6A -Drogi'!E169</f>
        <v>1591</v>
      </c>
      <c r="G132" s="4731">
        <f>'Tab. 6A -Drogi'!F169</f>
        <v>1891948</v>
      </c>
      <c r="H132" s="4731">
        <f>'Tab. 6A -Drogi'!G169</f>
        <v>12403436</v>
      </c>
      <c r="I132" s="4731">
        <f>'Tab. 6A -Drogi'!H169</f>
        <v>0</v>
      </c>
      <c r="J132" s="4731">
        <f>'Tab. 6A -Drogi'!I169</f>
        <v>0</v>
      </c>
      <c r="K132" s="4731">
        <f>'Tab. 6A -Drogi'!J169</f>
        <v>0</v>
      </c>
      <c r="L132" s="4731">
        <f>'Tab. 6A -Drogi'!K169</f>
        <v>0</v>
      </c>
      <c r="M132" s="4731">
        <f>'Tab. 6A -Drogi'!L169</f>
        <v>0</v>
      </c>
      <c r="N132" s="4731"/>
      <c r="O132" s="4731"/>
      <c r="P132" s="4731"/>
      <c r="Q132" s="4731"/>
      <c r="R132" s="4732"/>
      <c r="S132" s="4733"/>
      <c r="T132" s="4733"/>
      <c r="U132" s="4733"/>
      <c r="V132" s="4733"/>
    </row>
    <row r="133" spans="1:22" ht="16.5" customHeight="1">
      <c r="A133" s="4805"/>
      <c r="B133" s="4807" t="s">
        <v>196</v>
      </c>
      <c r="C133" s="4735"/>
      <c r="D133" s="4736"/>
      <c r="E133" s="4737">
        <f>+F133+G133+H133+I133+J133+K133+L133+M133</f>
        <v>2466682</v>
      </c>
      <c r="F133" s="4738">
        <f>'Tab. 6A -Drogi'!E170</f>
        <v>239</v>
      </c>
      <c r="G133" s="4738">
        <f>'Tab. 6A -Drogi'!F170</f>
        <v>362939</v>
      </c>
      <c r="H133" s="4738">
        <f>'Tab. 6A -Drogi'!G170</f>
        <v>2103504</v>
      </c>
      <c r="I133" s="4738">
        <f>'Tab. 6A -Drogi'!H170</f>
        <v>0</v>
      </c>
      <c r="J133" s="4738">
        <f>'Tab. 6A -Drogi'!I170</f>
        <v>0</v>
      </c>
      <c r="K133" s="4738">
        <f>'Tab. 6A -Drogi'!J170</f>
        <v>0</v>
      </c>
      <c r="L133" s="4738">
        <f>'Tab. 6A -Drogi'!K170</f>
        <v>0</v>
      </c>
      <c r="M133" s="4738">
        <f>'Tab. 6A -Drogi'!L170</f>
        <v>0</v>
      </c>
      <c r="N133" s="4738"/>
      <c r="O133" s="4738"/>
      <c r="P133" s="4738"/>
      <c r="Q133" s="4738"/>
      <c r="R133" s="4739"/>
      <c r="S133" s="4739"/>
      <c r="T133" s="4739"/>
      <c r="U133" s="4739"/>
      <c r="V133" s="4739"/>
    </row>
    <row r="134" spans="1:22" ht="13.5" customHeight="1" thickBot="1">
      <c r="A134" s="4808"/>
      <c r="B134" s="4809" t="s">
        <v>197</v>
      </c>
      <c r="C134" s="4754">
        <f>E134-E135</f>
        <v>0</v>
      </c>
      <c r="D134" s="4742"/>
      <c r="E134" s="4743">
        <f>+F134+G134+H134+I134+J134+K134+L134+M134</f>
        <v>11830293</v>
      </c>
      <c r="F134" s="4744">
        <f>'Tab. 6A -Drogi'!E173</f>
        <v>1352</v>
      </c>
      <c r="G134" s="4744">
        <f>'Tab. 6A -Drogi'!F173</f>
        <v>1529009</v>
      </c>
      <c r="H134" s="4744">
        <f>'Tab. 6A -Drogi'!G173</f>
        <v>10299932</v>
      </c>
      <c r="I134" s="4744">
        <f>'Tab. 6A -Drogi'!H173</f>
        <v>0</v>
      </c>
      <c r="J134" s="4744">
        <f>'Tab. 6A -Drogi'!I173</f>
        <v>0</v>
      </c>
      <c r="K134" s="4744">
        <f>'Tab. 6A -Drogi'!J173</f>
        <v>0</v>
      </c>
      <c r="L134" s="4744">
        <f>'Tab. 6A -Drogi'!K173</f>
        <v>0</v>
      </c>
      <c r="M134" s="4744">
        <f>'Tab. 6A -Drogi'!L173</f>
        <v>0</v>
      </c>
      <c r="N134" s="4744"/>
      <c r="O134" s="4744"/>
      <c r="P134" s="4744"/>
      <c r="Q134" s="4744"/>
      <c r="R134" s="4745"/>
      <c r="S134" s="4787"/>
      <c r="T134" s="4787"/>
      <c r="U134" s="4787"/>
      <c r="V134" s="4787"/>
    </row>
    <row r="135" spans="1:22" ht="13.5" thickBot="1">
      <c r="A135" s="4810"/>
      <c r="B135" s="4748" t="s">
        <v>317</v>
      </c>
      <c r="C135" s="4749"/>
      <c r="D135" s="4750"/>
      <c r="E135" s="4751">
        <f>F135+G135+H135+I135+J135+K135+L135+M135</f>
        <v>11830293</v>
      </c>
      <c r="F135" s="4752">
        <f>'Tab. 6A -Drogi'!E178</f>
        <v>0</v>
      </c>
      <c r="G135" s="4752">
        <f>'Tab. 6A -Drogi'!F178</f>
        <v>621112</v>
      </c>
      <c r="H135" s="4752">
        <f>'Tab. 6A -Drogi'!G178</f>
        <v>11209181</v>
      </c>
      <c r="I135" s="4752">
        <f>'Tab. 6A -Drogi'!H178</f>
        <v>0</v>
      </c>
      <c r="J135" s="4752">
        <f>'Tab. 6A -Drogi'!I178</f>
        <v>0</v>
      </c>
      <c r="K135" s="4752">
        <f>'Tab. 6A -Drogi'!J178</f>
        <v>0</v>
      </c>
      <c r="L135" s="4752">
        <f>'Tab. 6A -Drogi'!K178</f>
        <v>0</v>
      </c>
      <c r="M135" s="4752">
        <f>'Tab. 6A -Drogi'!L178</f>
        <v>0</v>
      </c>
      <c r="N135" s="4752"/>
      <c r="O135" s="4752"/>
      <c r="P135" s="4752"/>
      <c r="Q135" s="4752"/>
      <c r="R135" s="4753"/>
      <c r="S135" s="4753"/>
      <c r="T135" s="4753"/>
      <c r="U135" s="4753"/>
      <c r="V135" s="4753"/>
    </row>
    <row r="136" spans="1:22" ht="42" customHeight="1" thickBot="1">
      <c r="A136" s="4802" t="s">
        <v>532</v>
      </c>
      <c r="B136" s="4811" t="str">
        <f>'Tab. 6A -Drogi'!B240</f>
        <v>Przebudowa drogi wojewódzkiej nr 151 na odcinku Ińsko - Recz etap I odc. Ińsko - Ciemnik w ramach Osi V RPO (2017-2018)</v>
      </c>
      <c r="C136" s="4804" t="s">
        <v>545</v>
      </c>
      <c r="D136" s="4772">
        <f>E139/E137%</f>
        <v>84.529157371635506</v>
      </c>
      <c r="E136" s="4794"/>
      <c r="F136" s="4795"/>
      <c r="G136" s="4796"/>
      <c r="H136" s="4795"/>
      <c r="I136" s="4795"/>
      <c r="J136" s="4795"/>
      <c r="K136" s="4795"/>
      <c r="L136" s="4795"/>
      <c r="M136" s="4795"/>
      <c r="N136" s="4795"/>
      <c r="O136" s="4795"/>
      <c r="P136" s="4795"/>
      <c r="Q136" s="4795"/>
      <c r="R136" s="4797"/>
      <c r="S136" s="4798"/>
      <c r="T136" s="4798"/>
      <c r="U136" s="4798"/>
      <c r="V136" s="4798"/>
    </row>
    <row r="137" spans="1:22" ht="13.5" thickTop="1">
      <c r="A137" s="4805"/>
      <c r="B137" s="4812" t="s">
        <v>195</v>
      </c>
      <c r="C137" s="4728"/>
      <c r="D137" s="4729"/>
      <c r="E137" s="4813">
        <f>+F137+G137+H137+I137+J137+K137+L137+M137</f>
        <v>18052656</v>
      </c>
      <c r="F137" s="4814">
        <f>'Tab. 6A -Drogi'!E241</f>
        <v>0</v>
      </c>
      <c r="G137" s="4814">
        <f>'Tab. 6A -Drogi'!F241</f>
        <v>1914309</v>
      </c>
      <c r="H137" s="4814">
        <f>'Tab. 6A -Drogi'!G241</f>
        <v>16138347</v>
      </c>
      <c r="I137" s="4814">
        <f>'Tab. 6A -Drogi'!H241</f>
        <v>0</v>
      </c>
      <c r="J137" s="4814">
        <f>'Tab. 6A -Drogi'!I241</f>
        <v>0</v>
      </c>
      <c r="K137" s="4814">
        <f>'Tab. 6A -Drogi'!J241</f>
        <v>0</v>
      </c>
      <c r="L137" s="4814">
        <f>'Tab. 6A -Drogi'!K241</f>
        <v>0</v>
      </c>
      <c r="M137" s="4814">
        <f>'Tab. 6A -Drogi'!L241</f>
        <v>0</v>
      </c>
      <c r="N137" s="4731"/>
      <c r="O137" s="4731"/>
      <c r="P137" s="4731"/>
      <c r="Q137" s="4731"/>
      <c r="R137" s="4732"/>
      <c r="S137" s="4733"/>
      <c r="T137" s="4733"/>
      <c r="U137" s="4733"/>
      <c r="V137" s="4733"/>
    </row>
    <row r="138" spans="1:22" ht="16.5" customHeight="1">
      <c r="A138" s="4805"/>
      <c r="B138" s="4815" t="s">
        <v>196</v>
      </c>
      <c r="C138" s="4735"/>
      <c r="D138" s="4736"/>
      <c r="E138" s="4816">
        <f>+F138+G138+H138+I138+J138+K138+L138+M138</f>
        <v>2792898</v>
      </c>
      <c r="F138" s="4817">
        <f>'Tab. 6A -Drogi'!E242</f>
        <v>0</v>
      </c>
      <c r="G138" s="4817">
        <f>'Tab. 6A -Drogi'!F242</f>
        <v>293086</v>
      </c>
      <c r="H138" s="4817">
        <f>'Tab. 6A -Drogi'!G242</f>
        <v>2499812</v>
      </c>
      <c r="I138" s="4817">
        <f>'Tab. 6A -Drogi'!H242</f>
        <v>0</v>
      </c>
      <c r="J138" s="4817">
        <f>'Tab. 6A -Drogi'!I242</f>
        <v>0</v>
      </c>
      <c r="K138" s="4817">
        <f>'Tab. 6A -Drogi'!J242</f>
        <v>0</v>
      </c>
      <c r="L138" s="4817">
        <f>'Tab. 6A -Drogi'!K242</f>
        <v>0</v>
      </c>
      <c r="M138" s="4817">
        <f>'Tab. 6A -Drogi'!L242</f>
        <v>0</v>
      </c>
      <c r="N138" s="4738"/>
      <c r="O138" s="4738"/>
      <c r="P138" s="4738"/>
      <c r="Q138" s="4738"/>
      <c r="R138" s="4739"/>
      <c r="S138" s="4739"/>
      <c r="T138" s="4739"/>
      <c r="U138" s="4739"/>
      <c r="V138" s="4739"/>
    </row>
    <row r="139" spans="1:22" ht="13.5" customHeight="1" thickBot="1">
      <c r="A139" s="4808"/>
      <c r="B139" s="4818" t="s">
        <v>197</v>
      </c>
      <c r="C139" s="4754">
        <f>E139-E140</f>
        <v>0</v>
      </c>
      <c r="D139" s="4742"/>
      <c r="E139" s="4819">
        <f>+F139+G139+H139+I139+J139+K139+L139+M139</f>
        <v>15259758</v>
      </c>
      <c r="F139" s="4820">
        <f>'Tab. 6A -Drogi'!E245</f>
        <v>0</v>
      </c>
      <c r="G139" s="4820">
        <f>'Tab. 6A -Drogi'!F245</f>
        <v>1621223</v>
      </c>
      <c r="H139" s="4820">
        <f>'Tab. 6A -Drogi'!G245</f>
        <v>13638535</v>
      </c>
      <c r="I139" s="4820">
        <f>'Tab. 6A -Drogi'!H245</f>
        <v>0</v>
      </c>
      <c r="J139" s="4820">
        <f>'Tab. 6A -Drogi'!I245</f>
        <v>0</v>
      </c>
      <c r="K139" s="4820">
        <f>'Tab. 6A -Drogi'!J245</f>
        <v>0</v>
      </c>
      <c r="L139" s="4820">
        <f>'Tab. 6A -Drogi'!K245</f>
        <v>0</v>
      </c>
      <c r="M139" s="4820">
        <f>'Tab. 6A -Drogi'!L245</f>
        <v>0</v>
      </c>
      <c r="N139" s="4744"/>
      <c r="O139" s="4744"/>
      <c r="P139" s="4744"/>
      <c r="Q139" s="4744"/>
      <c r="R139" s="4745"/>
      <c r="S139" s="4787"/>
      <c r="T139" s="4787"/>
      <c r="U139" s="4787"/>
      <c r="V139" s="4787"/>
    </row>
    <row r="140" spans="1:22" ht="13.5" thickBot="1">
      <c r="A140" s="4810"/>
      <c r="B140" s="4764" t="s">
        <v>317</v>
      </c>
      <c r="C140" s="4749"/>
      <c r="D140" s="4750"/>
      <c r="E140" s="4821">
        <f>F140+G140+H140+I140+J140+K140+L140+M140</f>
        <v>15259758</v>
      </c>
      <c r="F140" s="4822">
        <f>'Tab. 6A -Drogi'!E250</f>
        <v>0</v>
      </c>
      <c r="G140" s="4822">
        <f>'Tab. 6A -Drogi'!F250</f>
        <v>1803921</v>
      </c>
      <c r="H140" s="4822">
        <f>'Tab. 6A -Drogi'!G250</f>
        <v>13455837</v>
      </c>
      <c r="I140" s="4822">
        <f>'Tab. 6A -Drogi'!H250</f>
        <v>0</v>
      </c>
      <c r="J140" s="4822">
        <f>'Tab. 6A -Drogi'!I250</f>
        <v>0</v>
      </c>
      <c r="K140" s="4822">
        <f>'Tab. 6A -Drogi'!J250</f>
        <v>0</v>
      </c>
      <c r="L140" s="4822">
        <f>'Tab. 6A -Drogi'!K250</f>
        <v>0</v>
      </c>
      <c r="M140" s="4822">
        <f>'Tab. 6A -Drogi'!L250</f>
        <v>0</v>
      </c>
      <c r="N140" s="4752"/>
      <c r="O140" s="4752"/>
      <c r="P140" s="4752"/>
      <c r="Q140" s="4752"/>
      <c r="R140" s="4753"/>
      <c r="S140" s="4753"/>
      <c r="T140" s="4753"/>
      <c r="U140" s="4753"/>
      <c r="V140" s="4753"/>
    </row>
    <row r="141" spans="1:22" ht="53.25" customHeight="1" thickBot="1">
      <c r="A141" s="4802" t="s">
        <v>587</v>
      </c>
      <c r="B141" s="4803" t="str">
        <f>'Tab. 6B Polit społ i rozwój prz'!B147</f>
        <v>Wzmocnienie pozycji regionalnej gospodarki, Pomorze Zachodnie - Ster na innowacje w ramach osi I RPO WZ - wydatki majątkowe (2017-2020)</v>
      </c>
      <c r="C141" s="4719" t="s">
        <v>557</v>
      </c>
      <c r="D141" s="4772">
        <f>E144/E142%</f>
        <v>100</v>
      </c>
      <c r="E141" s="4794"/>
      <c r="F141" s="4795"/>
      <c r="G141" s="4796"/>
      <c r="H141" s="4795"/>
      <c r="I141" s="4795"/>
      <c r="J141" s="4795"/>
      <c r="K141" s="4795"/>
      <c r="L141" s="4795"/>
      <c r="M141" s="4795"/>
      <c r="N141" s="4795"/>
      <c r="O141" s="4795"/>
      <c r="P141" s="4795"/>
      <c r="Q141" s="4795"/>
      <c r="R141" s="4797"/>
      <c r="S141" s="4798"/>
      <c r="T141" s="4798"/>
      <c r="U141" s="4798"/>
      <c r="V141" s="4798"/>
    </row>
    <row r="142" spans="1:22" ht="13.5" thickTop="1">
      <c r="A142" s="4805"/>
      <c r="B142" s="4812" t="s">
        <v>195</v>
      </c>
      <c r="C142" s="4728"/>
      <c r="D142" s="4729"/>
      <c r="E142" s="4813">
        <f>+F142+G142+H142+I142+J142+K142+L142+M142</f>
        <v>35876</v>
      </c>
      <c r="F142" s="4814"/>
      <c r="G142" s="4814">
        <f>'Tab. 6B Polit społ i rozwój prz'!F148</f>
        <v>8753</v>
      </c>
      <c r="H142" s="4814">
        <f>'Tab. 6B Polit społ i rozwój prz'!G148</f>
        <v>27123</v>
      </c>
      <c r="I142" s="4814">
        <f>'Tab. 6B Polit społ i rozwój prz'!H148</f>
        <v>0</v>
      </c>
      <c r="J142" s="4814">
        <f>'Tab. 6B Polit społ i rozwój prz'!I148</f>
        <v>0</v>
      </c>
      <c r="K142" s="4814">
        <f>'Tab. 6B Polit społ i rozwój prz'!J148</f>
        <v>0</v>
      </c>
      <c r="L142" s="4814">
        <f>'Tab. 6B Polit społ i rozwój prz'!K148</f>
        <v>0</v>
      </c>
      <c r="M142" s="4814">
        <f>'Tab. 6B Polit społ i rozwój prz'!L148</f>
        <v>0</v>
      </c>
      <c r="N142" s="4731"/>
      <c r="O142" s="4731"/>
      <c r="P142" s="4731"/>
      <c r="Q142" s="4731"/>
      <c r="R142" s="4732"/>
      <c r="S142" s="4733"/>
      <c r="T142" s="4733"/>
      <c r="U142" s="4733"/>
      <c r="V142" s="4733"/>
    </row>
    <row r="143" spans="1:22" ht="16.5" customHeight="1">
      <c r="A143" s="4805"/>
      <c r="B143" s="4815" t="s">
        <v>196</v>
      </c>
      <c r="C143" s="4735"/>
      <c r="D143" s="4736"/>
      <c r="E143" s="4816">
        <f>+F143+G143+H143+I143+J143+K143+L143+M143</f>
        <v>0</v>
      </c>
      <c r="F143" s="4817"/>
      <c r="G143" s="4817"/>
      <c r="H143" s="4817"/>
      <c r="I143" s="4817"/>
      <c r="J143" s="4817"/>
      <c r="K143" s="4817"/>
      <c r="L143" s="4817"/>
      <c r="M143" s="4817"/>
      <c r="N143" s="4738"/>
      <c r="O143" s="4738"/>
      <c r="P143" s="4738"/>
      <c r="Q143" s="4738"/>
      <c r="R143" s="4739"/>
      <c r="S143" s="4739"/>
      <c r="T143" s="4739"/>
      <c r="U143" s="4739"/>
      <c r="V143" s="4739"/>
    </row>
    <row r="144" spans="1:22" ht="13.5" customHeight="1" thickBot="1">
      <c r="A144" s="4808"/>
      <c r="B144" s="4818" t="s">
        <v>197</v>
      </c>
      <c r="C144" s="4754">
        <f>E144-E145</f>
        <v>0</v>
      </c>
      <c r="D144" s="4742"/>
      <c r="E144" s="4819">
        <f>+F144+G144+H144+I144+J144+K144+L144+M144</f>
        <v>35876</v>
      </c>
      <c r="F144" s="4820"/>
      <c r="G144" s="4820">
        <f>'Tab. 6B Polit społ i rozwój prz'!F150</f>
        <v>8753</v>
      </c>
      <c r="H144" s="4820">
        <f>'Tab. 6B Polit społ i rozwój prz'!G150</f>
        <v>27123</v>
      </c>
      <c r="I144" s="4820">
        <f>'Tab. 6B Polit społ i rozwój prz'!H150</f>
        <v>0</v>
      </c>
      <c r="J144" s="4820">
        <f>'Tab. 6B Polit społ i rozwój prz'!I150</f>
        <v>0</v>
      </c>
      <c r="K144" s="4820">
        <f>'Tab. 6B Polit społ i rozwój prz'!J150</f>
        <v>0</v>
      </c>
      <c r="L144" s="4820">
        <f>'Tab. 6B Polit społ i rozwój prz'!K150</f>
        <v>0</v>
      </c>
      <c r="M144" s="4820">
        <f>'Tab. 6B Polit społ i rozwój prz'!L150</f>
        <v>0</v>
      </c>
      <c r="N144" s="4744"/>
      <c r="O144" s="4744"/>
      <c r="P144" s="4744"/>
      <c r="Q144" s="4744"/>
      <c r="R144" s="4745"/>
      <c r="S144" s="4787"/>
      <c r="T144" s="4787"/>
      <c r="U144" s="4787"/>
      <c r="V144" s="4787"/>
    </row>
    <row r="145" spans="1:22" ht="13.5" thickBot="1">
      <c r="A145" s="4810"/>
      <c r="B145" s="4764" t="s">
        <v>317</v>
      </c>
      <c r="C145" s="4749"/>
      <c r="D145" s="4750"/>
      <c r="E145" s="4821">
        <f>F145+G145+H145+I145+J145+K145+L145+M145</f>
        <v>35876</v>
      </c>
      <c r="F145" s="4822"/>
      <c r="G145" s="4822">
        <f>'Tab. 6B Polit społ i rozwój prz'!F155</f>
        <v>0</v>
      </c>
      <c r="H145" s="4822">
        <f>'Tab. 6B Polit społ i rozwój prz'!G155</f>
        <v>35876</v>
      </c>
      <c r="I145" s="4822">
        <f>'Tab. 6B Polit społ i rozwój prz'!H155</f>
        <v>0</v>
      </c>
      <c r="J145" s="4822">
        <f>'Tab. 6B Polit społ i rozwój prz'!I155</f>
        <v>0</v>
      </c>
      <c r="K145" s="4822">
        <f>'Tab. 6B Polit społ i rozwój prz'!J155</f>
        <v>0</v>
      </c>
      <c r="L145" s="4822">
        <f>'Tab. 6B Polit społ i rozwój prz'!K155</f>
        <v>0</v>
      </c>
      <c r="M145" s="4822">
        <f>'Tab. 6B Polit społ i rozwój prz'!L155</f>
        <v>0</v>
      </c>
      <c r="N145" s="4752"/>
      <c r="O145" s="4752"/>
      <c r="P145" s="4752"/>
      <c r="Q145" s="4752"/>
      <c r="R145" s="4753"/>
      <c r="S145" s="4753"/>
      <c r="T145" s="4753"/>
      <c r="U145" s="4753"/>
      <c r="V145" s="4753"/>
    </row>
    <row r="146" spans="1:22" ht="32.25" customHeight="1" thickBot="1">
      <c r="A146" s="4802" t="s">
        <v>590</v>
      </c>
      <c r="B146" s="4803" t="str">
        <f>'Tab. 6B Polit społ i rozwój prz'!B175</f>
        <v>Dobre Wsparcie - system lokalnych usług społecznych w ramach działania 7.6 RPO WZ - wydatki majątkowe (2018-2019)</v>
      </c>
      <c r="C146" s="4804" t="s">
        <v>593</v>
      </c>
      <c r="D146" s="4772">
        <f>E149/E147%</f>
        <v>85</v>
      </c>
      <c r="E146" s="4794"/>
      <c r="F146" s="4795"/>
      <c r="G146" s="4796"/>
      <c r="H146" s="4795"/>
      <c r="I146" s="4795"/>
      <c r="J146" s="4795"/>
      <c r="K146" s="4795"/>
      <c r="L146" s="4795"/>
      <c r="M146" s="4795"/>
      <c r="N146" s="4795"/>
      <c r="O146" s="4795"/>
      <c r="P146" s="4795"/>
      <c r="Q146" s="4795"/>
      <c r="R146" s="4797"/>
      <c r="S146" s="4798"/>
      <c r="T146" s="4798"/>
      <c r="U146" s="4798"/>
      <c r="V146" s="4798"/>
    </row>
    <row r="147" spans="1:22" ht="13.5" thickTop="1">
      <c r="A147" s="4805"/>
      <c r="B147" s="4806" t="s">
        <v>195</v>
      </c>
      <c r="C147" s="4728"/>
      <c r="D147" s="4729"/>
      <c r="E147" s="4730">
        <f>+F147+G147+H147</f>
        <v>34000</v>
      </c>
      <c r="F147" s="4731">
        <f>'Tab. 6B Polit społ i rozwój prz'!E176</f>
        <v>0</v>
      </c>
      <c r="G147" s="4731">
        <f>'Tab. 6B Polit społ i rozwój prz'!F176</f>
        <v>0</v>
      </c>
      <c r="H147" s="4731">
        <f>'Tab. 6B Polit społ i rozwój prz'!G176</f>
        <v>34000</v>
      </c>
      <c r="I147" s="4731">
        <f>'Tab. 6B Polit społ i rozwój prz'!H176</f>
        <v>0</v>
      </c>
      <c r="J147" s="4731">
        <f>'Tab. 6B Polit społ i rozwój prz'!I176</f>
        <v>0</v>
      </c>
      <c r="K147" s="4731">
        <f>'Tab. 6B Polit społ i rozwój prz'!J176</f>
        <v>0</v>
      </c>
      <c r="L147" s="4731">
        <f>'Tab. 6B Polit społ i rozwój prz'!K176</f>
        <v>0</v>
      </c>
      <c r="M147" s="4731">
        <f>'Tab. 6B Polit społ i rozwój prz'!L176</f>
        <v>0</v>
      </c>
      <c r="N147" s="4731"/>
      <c r="O147" s="4731"/>
      <c r="P147" s="4731"/>
      <c r="Q147" s="4731"/>
      <c r="R147" s="4732"/>
      <c r="S147" s="4733"/>
      <c r="T147" s="4733"/>
      <c r="U147" s="4733"/>
      <c r="V147" s="4733"/>
    </row>
    <row r="148" spans="1:22" ht="15" customHeight="1">
      <c r="A148" s="4805"/>
      <c r="B148" s="4807" t="s">
        <v>196</v>
      </c>
      <c r="C148" s="4735"/>
      <c r="D148" s="4736"/>
      <c r="E148" s="4737">
        <f>+F148+G148+H148</f>
        <v>5100</v>
      </c>
      <c r="F148" s="4738">
        <f>'Tab. 6B Polit społ i rozwój prz'!E177</f>
        <v>0</v>
      </c>
      <c r="G148" s="4738">
        <f>'Tab. 6B Polit społ i rozwój prz'!F177</f>
        <v>0</v>
      </c>
      <c r="H148" s="4738">
        <f>'Tab. 6B Polit społ i rozwój prz'!G177</f>
        <v>5100</v>
      </c>
      <c r="I148" s="4738">
        <f>'Tab. 6B Polit społ i rozwój prz'!H177</f>
        <v>0</v>
      </c>
      <c r="J148" s="4738">
        <f>'Tab. 6B Polit społ i rozwój prz'!I177</f>
        <v>0</v>
      </c>
      <c r="K148" s="4738">
        <f>'Tab. 6B Polit społ i rozwój prz'!J177</f>
        <v>0</v>
      </c>
      <c r="L148" s="4738">
        <f>'Tab. 6B Polit społ i rozwój prz'!K177</f>
        <v>0</v>
      </c>
      <c r="M148" s="4738">
        <f>'Tab. 6B Polit społ i rozwój prz'!L177</f>
        <v>0</v>
      </c>
      <c r="N148" s="4738"/>
      <c r="O148" s="4738"/>
      <c r="P148" s="4738"/>
      <c r="Q148" s="4738"/>
      <c r="R148" s="4739"/>
      <c r="S148" s="4739"/>
      <c r="T148" s="4739"/>
      <c r="U148" s="4739"/>
      <c r="V148" s="4739"/>
    </row>
    <row r="149" spans="1:22" ht="13.5" customHeight="1" thickBot="1">
      <c r="A149" s="4808"/>
      <c r="B149" s="4823" t="s">
        <v>197</v>
      </c>
      <c r="C149" s="4754">
        <f>E149-E150</f>
        <v>0</v>
      </c>
      <c r="D149" s="4824"/>
      <c r="E149" s="4825">
        <f>+F149+G149+H149</f>
        <v>28900</v>
      </c>
      <c r="F149" s="4826">
        <f>'Tab. 6B Polit społ i rozwój prz'!E181</f>
        <v>0</v>
      </c>
      <c r="G149" s="4826">
        <f>'Tab. 6B Polit społ i rozwój prz'!F181</f>
        <v>0</v>
      </c>
      <c r="H149" s="4826">
        <f>'Tab. 6B Polit społ i rozwój prz'!G181</f>
        <v>28900</v>
      </c>
      <c r="I149" s="4826">
        <f>'Tab. 6B Polit społ i rozwój prz'!H181</f>
        <v>0</v>
      </c>
      <c r="J149" s="4826">
        <f>'Tab. 6B Polit społ i rozwój prz'!I181</f>
        <v>0</v>
      </c>
      <c r="K149" s="4826">
        <f>'Tab. 6B Polit społ i rozwój prz'!J181</f>
        <v>0</v>
      </c>
      <c r="L149" s="4826">
        <f>'Tab. 6B Polit społ i rozwój prz'!K181</f>
        <v>0</v>
      </c>
      <c r="M149" s="4826">
        <f>'Tab. 6B Polit społ i rozwój prz'!L181</f>
        <v>0</v>
      </c>
      <c r="N149" s="4826"/>
      <c r="O149" s="4826"/>
      <c r="P149" s="4826"/>
      <c r="Q149" s="4826"/>
      <c r="R149" s="4827"/>
      <c r="S149" s="4746"/>
      <c r="T149" s="4746"/>
      <c r="U149" s="4746"/>
      <c r="V149" s="4787"/>
    </row>
    <row r="150" spans="1:22" ht="13.5" thickBot="1">
      <c r="A150" s="4828"/>
      <c r="B150" s="4829" t="s">
        <v>317</v>
      </c>
      <c r="C150" s="4767"/>
      <c r="D150" s="4768"/>
      <c r="E150" s="4830">
        <f>F150+G150+H150+I150+J150+K150+L150+M150</f>
        <v>28900</v>
      </c>
      <c r="F150" s="4831">
        <f>'Tab. 6B Polit społ i rozwój prz'!E185</f>
        <v>0</v>
      </c>
      <c r="G150" s="4831">
        <f>'Tab. 6B Polit społ i rozwój prz'!F185</f>
        <v>0</v>
      </c>
      <c r="H150" s="4831">
        <f>'Tab. 6B Polit społ i rozwój prz'!G185</f>
        <v>28900</v>
      </c>
      <c r="I150" s="4831">
        <f>'Tab. 6B Polit społ i rozwój prz'!H185</f>
        <v>0</v>
      </c>
      <c r="J150" s="4831">
        <f>'Tab. 6B Polit społ i rozwój prz'!I185</f>
        <v>0</v>
      </c>
      <c r="K150" s="4831">
        <f>'Tab. 6B Polit społ i rozwój prz'!J185</f>
        <v>0</v>
      </c>
      <c r="L150" s="4831">
        <f>'Tab. 6B Polit społ i rozwój prz'!K185</f>
        <v>0</v>
      </c>
      <c r="M150" s="4831">
        <f>'Tab. 6B Polit społ i rozwój prz'!L185</f>
        <v>0</v>
      </c>
      <c r="N150" s="4832"/>
      <c r="O150" s="4832"/>
      <c r="P150" s="4832"/>
      <c r="Q150" s="4832"/>
      <c r="R150" s="4833"/>
      <c r="S150" s="4833"/>
      <c r="T150" s="4833"/>
      <c r="U150" s="4833"/>
      <c r="V150" s="4753"/>
    </row>
    <row r="151" spans="1:22" ht="28.5" customHeight="1" thickBot="1">
      <c r="A151" s="4802" t="s">
        <v>592</v>
      </c>
      <c r="B151" s="4803" t="str">
        <f>'Tab. 6B Polit społ i rozwój prz'!B253</f>
        <v>Nawigator Samodzielności w ramach działania 7.6 RPO WZ - wydatki majątkowe (2018 - 2020)</v>
      </c>
      <c r="C151" s="4834" t="s">
        <v>591</v>
      </c>
      <c r="D151" s="4772">
        <f>E154/E152%</f>
        <v>97.150035137034436</v>
      </c>
      <c r="E151" s="4794"/>
      <c r="F151" s="4795"/>
      <c r="G151" s="4796"/>
      <c r="H151" s="4795"/>
      <c r="I151" s="4795"/>
      <c r="J151" s="4795"/>
      <c r="K151" s="4795"/>
      <c r="L151" s="4795"/>
      <c r="M151" s="4795"/>
      <c r="N151" s="4795"/>
      <c r="O151" s="4795"/>
      <c r="P151" s="4795"/>
      <c r="Q151" s="4795"/>
      <c r="R151" s="4797"/>
      <c r="S151" s="4798"/>
      <c r="T151" s="4798"/>
      <c r="U151" s="4798"/>
      <c r="V151" s="4798"/>
    </row>
    <row r="152" spans="1:22" ht="15.75" customHeight="1" thickTop="1">
      <c r="A152" s="4805"/>
      <c r="B152" s="4806" t="s">
        <v>195</v>
      </c>
      <c r="C152" s="4728"/>
      <c r="D152" s="4729"/>
      <c r="E152" s="4730">
        <f>+F152+G152+H152</f>
        <v>569200</v>
      </c>
      <c r="F152" s="4731">
        <f>'Tab. 6B Polit społ i rozwój prz'!E254</f>
        <v>0</v>
      </c>
      <c r="G152" s="4731">
        <f>'Tab. 6B Polit społ i rozwój prz'!F254</f>
        <v>0</v>
      </c>
      <c r="H152" s="4731">
        <f>'Tab. 6B Polit społ i rozwój prz'!G254</f>
        <v>569200</v>
      </c>
      <c r="I152" s="4731">
        <f>'Tab. 6B Polit społ i rozwój prz'!H254</f>
        <v>0</v>
      </c>
      <c r="J152" s="4731">
        <f>'Tab. 6B Polit społ i rozwój prz'!I254</f>
        <v>0</v>
      </c>
      <c r="K152" s="4731">
        <f>'Tab. 6B Polit społ i rozwój prz'!J254</f>
        <v>0</v>
      </c>
      <c r="L152" s="4731">
        <f>'Tab. 6B Polit społ i rozwój prz'!K254</f>
        <v>0</v>
      </c>
      <c r="M152" s="4731">
        <f>'Tab. 6B Polit społ i rozwój prz'!L254</f>
        <v>0</v>
      </c>
      <c r="N152" s="4731"/>
      <c r="O152" s="4731"/>
      <c r="P152" s="4731"/>
      <c r="Q152" s="4731"/>
      <c r="R152" s="4732"/>
      <c r="S152" s="4733"/>
      <c r="T152" s="4733"/>
      <c r="U152" s="4733"/>
      <c r="V152" s="4733"/>
    </row>
    <row r="153" spans="1:22" ht="15.75" customHeight="1">
      <c r="A153" s="4805"/>
      <c r="B153" s="4807" t="s">
        <v>196</v>
      </c>
      <c r="C153" s="4735"/>
      <c r="D153" s="4736"/>
      <c r="E153" s="4737">
        <f>+F153+G153+H153</f>
        <v>16222</v>
      </c>
      <c r="F153" s="4738">
        <f>'Tab. 6B Polit społ i rozwój prz'!E255</f>
        <v>0</v>
      </c>
      <c r="G153" s="4738">
        <f>'Tab. 6B Polit społ i rozwój prz'!F255</f>
        <v>0</v>
      </c>
      <c r="H153" s="4738">
        <f>'Tab. 6B Polit społ i rozwój prz'!G255</f>
        <v>16222</v>
      </c>
      <c r="I153" s="4738">
        <f>'Tab. 6B Polit społ i rozwój prz'!H255</f>
        <v>0</v>
      </c>
      <c r="J153" s="4738">
        <f>'Tab. 6B Polit społ i rozwój prz'!I255</f>
        <v>0</v>
      </c>
      <c r="K153" s="4738">
        <f>'Tab. 6B Polit społ i rozwój prz'!J255</f>
        <v>0</v>
      </c>
      <c r="L153" s="4738">
        <f>'Tab. 6B Polit społ i rozwój prz'!K255</f>
        <v>0</v>
      </c>
      <c r="M153" s="4738">
        <f>'Tab. 6B Polit społ i rozwój prz'!L255</f>
        <v>0</v>
      </c>
      <c r="N153" s="4738"/>
      <c r="O153" s="4738"/>
      <c r="P153" s="4738"/>
      <c r="Q153" s="4738"/>
      <c r="R153" s="4739"/>
      <c r="S153" s="4739"/>
      <c r="T153" s="4739"/>
      <c r="U153" s="4739"/>
      <c r="V153" s="4739"/>
    </row>
    <row r="154" spans="1:22" ht="14.25" customHeight="1" thickBot="1">
      <c r="A154" s="4808"/>
      <c r="B154" s="4823" t="s">
        <v>197</v>
      </c>
      <c r="C154" s="4754">
        <f>E154-E155</f>
        <v>0</v>
      </c>
      <c r="D154" s="4824"/>
      <c r="E154" s="4825">
        <f>+F154+G154+H154</f>
        <v>552978</v>
      </c>
      <c r="F154" s="4826">
        <f>'Tab. 6B Polit społ i rozwój prz'!E257</f>
        <v>0</v>
      </c>
      <c r="G154" s="4826">
        <f>'Tab. 6B Polit społ i rozwój prz'!F257</f>
        <v>0</v>
      </c>
      <c r="H154" s="4826">
        <f>'Tab. 6B Polit społ i rozwój prz'!G257</f>
        <v>552978</v>
      </c>
      <c r="I154" s="4826">
        <f>'Tab. 6B Polit społ i rozwój prz'!H257</f>
        <v>0</v>
      </c>
      <c r="J154" s="4826">
        <f>'Tab. 6B Polit społ i rozwój prz'!I257</f>
        <v>0</v>
      </c>
      <c r="K154" s="4826">
        <f>'Tab. 6B Polit społ i rozwój prz'!J257</f>
        <v>0</v>
      </c>
      <c r="L154" s="4826">
        <f>'Tab. 6B Polit społ i rozwój prz'!K257</f>
        <v>0</v>
      </c>
      <c r="M154" s="4826">
        <f>'Tab. 6B Polit społ i rozwój prz'!L257</f>
        <v>0</v>
      </c>
      <c r="N154" s="4826"/>
      <c r="O154" s="4826"/>
      <c r="P154" s="4826"/>
      <c r="Q154" s="4826"/>
      <c r="R154" s="4827"/>
      <c r="S154" s="4746"/>
      <c r="T154" s="4746"/>
      <c r="U154" s="4746"/>
      <c r="V154" s="4787"/>
    </row>
    <row r="155" spans="1:22" ht="13.5" thickBot="1">
      <c r="A155" s="4828"/>
      <c r="B155" s="4829" t="s">
        <v>317</v>
      </c>
      <c r="C155" s="4767"/>
      <c r="D155" s="4768"/>
      <c r="E155" s="4830">
        <f>F155+G155+H155+I155+J155+K155+L155+M155</f>
        <v>552978</v>
      </c>
      <c r="F155" s="4831">
        <f>'Tab. 6B Polit społ i rozwój prz'!E262</f>
        <v>0</v>
      </c>
      <c r="G155" s="4831">
        <f>'Tab. 6B Polit społ i rozwój prz'!F262</f>
        <v>0</v>
      </c>
      <c r="H155" s="4831">
        <f>'Tab. 6B Polit społ i rozwój prz'!G262</f>
        <v>552978</v>
      </c>
      <c r="I155" s="4831">
        <f>'Tab. 6B Polit społ i rozwój prz'!H262</f>
        <v>0</v>
      </c>
      <c r="J155" s="4831">
        <f>'Tab. 6B Polit społ i rozwój prz'!I262</f>
        <v>0</v>
      </c>
      <c r="K155" s="4831">
        <f>'Tab. 6B Polit społ i rozwój prz'!J262</f>
        <v>0</v>
      </c>
      <c r="L155" s="4831">
        <f>'Tab. 6B Polit społ i rozwój prz'!K262</f>
        <v>0</v>
      </c>
      <c r="M155" s="4831">
        <f>'Tab. 6B Polit społ i rozwój prz'!L262</f>
        <v>0</v>
      </c>
      <c r="N155" s="4832"/>
      <c r="O155" s="4832"/>
      <c r="P155" s="4832"/>
      <c r="Q155" s="4832"/>
      <c r="R155" s="4833"/>
      <c r="S155" s="4833"/>
      <c r="T155" s="4833"/>
      <c r="U155" s="4833"/>
      <c r="V155" s="4753"/>
    </row>
    <row r="156" spans="1:22" ht="39.75" customHeight="1" thickBot="1">
      <c r="A156" s="4802" t="s">
        <v>600</v>
      </c>
      <c r="B156" s="4803" t="str">
        <f>'Tab. 6A -Drogi'!B377</f>
        <v>Przebudowa i rozbudowa przejścia drogi wojewódzkiej nr 120 przez m. Wełtyń w ramach PW INTERREG V A (2016-2018)</v>
      </c>
      <c r="C156" s="4835" t="s">
        <v>606</v>
      </c>
      <c r="D156" s="4836">
        <f>E159/E157%</f>
        <v>58.912416719790521</v>
      </c>
      <c r="E156" s="4794"/>
      <c r="F156" s="4795"/>
      <c r="G156" s="4796"/>
      <c r="H156" s="4795"/>
      <c r="I156" s="4795"/>
      <c r="J156" s="4795"/>
      <c r="K156" s="4795"/>
      <c r="L156" s="4795"/>
      <c r="M156" s="4795"/>
      <c r="N156" s="4795"/>
      <c r="O156" s="4795"/>
      <c r="P156" s="4795"/>
      <c r="Q156" s="4795"/>
      <c r="R156" s="4797"/>
      <c r="S156" s="4798"/>
      <c r="T156" s="4798"/>
      <c r="U156" s="4798"/>
      <c r="V156" s="4798"/>
    </row>
    <row r="157" spans="1:22" ht="15.75" customHeight="1" thickTop="1">
      <c r="A157" s="4805"/>
      <c r="B157" s="4806" t="s">
        <v>195</v>
      </c>
      <c r="C157" s="4728"/>
      <c r="D157" s="4729"/>
      <c r="E157" s="4730">
        <f>+F157+G157+H157+I157+J157+K157+L157+M157</f>
        <v>12985378</v>
      </c>
      <c r="F157" s="4731">
        <f>'Tab. 6A -Drogi'!E378</f>
        <v>20256</v>
      </c>
      <c r="G157" s="4731">
        <f>'Tab. 6A -Drogi'!F378</f>
        <v>7431430</v>
      </c>
      <c r="H157" s="4731">
        <f>'Tab. 6A -Drogi'!G378</f>
        <v>5533692</v>
      </c>
      <c r="I157" s="4731">
        <f>'Tab. 6A -Drogi'!H378</f>
        <v>0</v>
      </c>
      <c r="J157" s="4731">
        <f>'Tab. 6A -Drogi'!I378</f>
        <v>0</v>
      </c>
      <c r="K157" s="4731">
        <f>'Tab. 6A -Drogi'!J378</f>
        <v>0</v>
      </c>
      <c r="L157" s="4731">
        <f>'Tab. 6A -Drogi'!K378</f>
        <v>0</v>
      </c>
      <c r="M157" s="4731">
        <f>'Tab. 6A -Drogi'!L378</f>
        <v>0</v>
      </c>
      <c r="N157" s="4731"/>
      <c r="O157" s="4731"/>
      <c r="P157" s="4731"/>
      <c r="Q157" s="4731"/>
      <c r="R157" s="4732"/>
      <c r="S157" s="4733"/>
      <c r="T157" s="4733"/>
      <c r="U157" s="4733"/>
      <c r="V157" s="4733"/>
    </row>
    <row r="158" spans="1:22" ht="15.75" customHeight="1">
      <c r="A158" s="4805"/>
      <c r="B158" s="4807" t="s">
        <v>196</v>
      </c>
      <c r="C158" s="4735"/>
      <c r="D158" s="4736"/>
      <c r="E158" s="4737">
        <f>+F158+G158+H158+I158</f>
        <v>5335378</v>
      </c>
      <c r="F158" s="4738">
        <f>'Tab. 6A -Drogi'!E379</f>
        <v>20256</v>
      </c>
      <c r="G158" s="4738">
        <f>'Tab. 6A -Drogi'!F379</f>
        <v>1186026</v>
      </c>
      <c r="H158" s="4738">
        <f>'Tab. 6A -Drogi'!G379</f>
        <v>4129096</v>
      </c>
      <c r="I158" s="4738">
        <f>'Tab. 6A -Drogi'!H379</f>
        <v>0</v>
      </c>
      <c r="J158" s="4738">
        <f>'Tab. 6A -Drogi'!I379</f>
        <v>0</v>
      </c>
      <c r="K158" s="4738">
        <f>'Tab. 6A -Drogi'!J379</f>
        <v>0</v>
      </c>
      <c r="L158" s="4738">
        <f>'Tab. 6A -Drogi'!K379</f>
        <v>0</v>
      </c>
      <c r="M158" s="4738">
        <f>'Tab. 6A -Drogi'!L379</f>
        <v>0</v>
      </c>
      <c r="N158" s="4738"/>
      <c r="O158" s="4738"/>
      <c r="P158" s="4738"/>
      <c r="Q158" s="4738"/>
      <c r="R158" s="4739"/>
      <c r="S158" s="4739"/>
      <c r="T158" s="4739"/>
      <c r="U158" s="4739"/>
      <c r="V158" s="4739"/>
    </row>
    <row r="159" spans="1:22" ht="14.25" customHeight="1" thickBot="1">
      <c r="A159" s="4808"/>
      <c r="B159" s="4823" t="s">
        <v>197</v>
      </c>
      <c r="C159" s="4754">
        <f>E159-E160</f>
        <v>0</v>
      </c>
      <c r="D159" s="4824"/>
      <c r="E159" s="4825">
        <f>+F159+G159+H159+I159+J159</f>
        <v>7650000</v>
      </c>
      <c r="F159" s="4826">
        <f>'Tab. 6A -Drogi'!E381</f>
        <v>0</v>
      </c>
      <c r="G159" s="4826">
        <f>'Tab. 6A -Drogi'!F381</f>
        <v>6245404</v>
      </c>
      <c r="H159" s="4826">
        <f>'Tab. 6A -Drogi'!G381</f>
        <v>1404596</v>
      </c>
      <c r="I159" s="4826">
        <f>'Tab. 6A -Drogi'!H381</f>
        <v>0</v>
      </c>
      <c r="J159" s="4826">
        <f>'Tab. 6A -Drogi'!I381</f>
        <v>0</v>
      </c>
      <c r="K159" s="4826">
        <f>'Tab. 6A -Drogi'!J381</f>
        <v>0</v>
      </c>
      <c r="L159" s="4826">
        <f>'Tab. 6A -Drogi'!K381</f>
        <v>0</v>
      </c>
      <c r="M159" s="4826">
        <f>'Tab. 6A -Drogi'!L381</f>
        <v>0</v>
      </c>
      <c r="N159" s="4826"/>
      <c r="O159" s="4826"/>
      <c r="P159" s="4826"/>
      <c r="Q159" s="4826"/>
      <c r="R159" s="4827"/>
      <c r="S159" s="4746"/>
      <c r="T159" s="4746"/>
      <c r="U159" s="4746"/>
      <c r="V159" s="4787"/>
    </row>
    <row r="160" spans="1:22" ht="13.5" thickBot="1">
      <c r="A160" s="4828"/>
      <c r="B160" s="4829" t="s">
        <v>317</v>
      </c>
      <c r="C160" s="4767"/>
      <c r="D160" s="4768"/>
      <c r="E160" s="4830">
        <f>F160+G160+H160+I160+J160+K160+L160+M160</f>
        <v>7650000</v>
      </c>
      <c r="F160" s="4831">
        <f>'Tab. 6A -Drogi'!E384</f>
        <v>0</v>
      </c>
      <c r="G160" s="4831">
        <f>'Tab. 6A -Drogi'!F384</f>
        <v>0</v>
      </c>
      <c r="H160" s="4831">
        <f>'Tab. 6A -Drogi'!G384</f>
        <v>6245404</v>
      </c>
      <c r="I160" s="4831">
        <f>'Tab. 6A -Drogi'!H384</f>
        <v>1404596</v>
      </c>
      <c r="J160" s="4831">
        <f>'Tab. 6A -Drogi'!I384</f>
        <v>0</v>
      </c>
      <c r="K160" s="4831">
        <f>'Tab. 6A -Drogi'!J384</f>
        <v>0</v>
      </c>
      <c r="L160" s="4831">
        <f>'Tab. 6A -Drogi'!K384</f>
        <v>0</v>
      </c>
      <c r="M160" s="4831">
        <f>'Tab. 6A -Drogi'!L384</f>
        <v>0</v>
      </c>
      <c r="N160" s="4832"/>
      <c r="O160" s="4832"/>
      <c r="P160" s="4832"/>
      <c r="Q160" s="4832"/>
      <c r="R160" s="4833"/>
      <c r="S160" s="4833"/>
      <c r="T160" s="4833"/>
      <c r="U160" s="4833"/>
      <c r="V160" s="4753"/>
    </row>
    <row r="161" spans="1:22" ht="48" customHeight="1" thickBot="1">
      <c r="A161" s="4802" t="s">
        <v>601</v>
      </c>
      <c r="B161" s="4803" t="str">
        <f>'Tab. 6A -Drogi'!B386</f>
        <v>Przebudowa i rozbudowa przejścia drogowego przez m. Tanowo na drodze woj. Nr 115 w ramach PW INTERREG V A (2010-2019)</v>
      </c>
      <c r="C161" s="4834" t="s">
        <v>606</v>
      </c>
      <c r="D161" s="4836">
        <f>E164/E162%</f>
        <v>38.689051282752523</v>
      </c>
      <c r="E161" s="4794"/>
      <c r="F161" s="4795"/>
      <c r="G161" s="4796"/>
      <c r="H161" s="4795"/>
      <c r="I161" s="4795"/>
      <c r="J161" s="4795"/>
      <c r="K161" s="4795"/>
      <c r="L161" s="4795"/>
      <c r="M161" s="4795"/>
      <c r="N161" s="4795"/>
      <c r="O161" s="4795"/>
      <c r="P161" s="4795"/>
      <c r="Q161" s="4795"/>
      <c r="R161" s="4797"/>
      <c r="S161" s="4798"/>
      <c r="T161" s="4798"/>
      <c r="U161" s="4798"/>
      <c r="V161" s="4798"/>
    </row>
    <row r="162" spans="1:22" ht="15.75" customHeight="1" thickTop="1">
      <c r="A162" s="4805"/>
      <c r="B162" s="4806" t="s">
        <v>195</v>
      </c>
      <c r="C162" s="4728"/>
      <c r="D162" s="4729"/>
      <c r="E162" s="4730">
        <f>+F162+G162+H162+I162+J162+K162+L162+M162</f>
        <v>17624366</v>
      </c>
      <c r="F162" s="4731">
        <f>'Tab. 6A -Drogi'!E387</f>
        <v>395660</v>
      </c>
      <c r="G162" s="4731">
        <f>'Tab. 6A -Drogi'!F387</f>
        <v>0</v>
      </c>
      <c r="H162" s="4731">
        <f>'Tab. 6A -Drogi'!G387</f>
        <v>0</v>
      </c>
      <c r="I162" s="4731">
        <f>'Tab. 6A -Drogi'!H387</f>
        <v>17228706</v>
      </c>
      <c r="J162" s="4731">
        <f>'Tab. 6A -Drogi'!I387</f>
        <v>0</v>
      </c>
      <c r="K162" s="4731">
        <f>'Tab. 6A -Drogi'!J387</f>
        <v>0</v>
      </c>
      <c r="L162" s="4731">
        <f>'Tab. 6A -Drogi'!K387</f>
        <v>0</v>
      </c>
      <c r="M162" s="4731">
        <f>'Tab. 6A -Drogi'!L387</f>
        <v>0</v>
      </c>
      <c r="N162" s="4731"/>
      <c r="O162" s="4731"/>
      <c r="P162" s="4731"/>
      <c r="Q162" s="4731"/>
      <c r="R162" s="4732"/>
      <c r="S162" s="4733"/>
      <c r="T162" s="4733"/>
      <c r="U162" s="4733"/>
      <c r="V162" s="4733"/>
    </row>
    <row r="163" spans="1:22" ht="15.75" customHeight="1">
      <c r="A163" s="4805"/>
      <c r="B163" s="4807" t="s">
        <v>196</v>
      </c>
      <c r="C163" s="4735"/>
      <c r="D163" s="4736"/>
      <c r="E163" s="4737">
        <f>+F163+G163+H163+I163+J163+K163</f>
        <v>10805666</v>
      </c>
      <c r="F163" s="4738">
        <f>'Tab. 6A -Drogi'!E388</f>
        <v>395660</v>
      </c>
      <c r="G163" s="4738">
        <f>'Tab. 6A -Drogi'!F388</f>
        <v>0</v>
      </c>
      <c r="H163" s="4738">
        <f>'Tab. 6A -Drogi'!G388</f>
        <v>0</v>
      </c>
      <c r="I163" s="4738">
        <f>'Tab. 6A -Drogi'!H388</f>
        <v>10410006</v>
      </c>
      <c r="J163" s="4738">
        <f>'Tab. 6A -Drogi'!I388</f>
        <v>0</v>
      </c>
      <c r="K163" s="4738">
        <f>'Tab. 6A -Drogi'!J388</f>
        <v>0</v>
      </c>
      <c r="L163" s="4738">
        <f>'Tab. 6A -Drogi'!K388</f>
        <v>0</v>
      </c>
      <c r="M163" s="4738">
        <f>'Tab. 6A -Drogi'!L388</f>
        <v>0</v>
      </c>
      <c r="N163" s="4738"/>
      <c r="O163" s="4738"/>
      <c r="P163" s="4738"/>
      <c r="Q163" s="4738"/>
      <c r="R163" s="4739"/>
      <c r="S163" s="4739"/>
      <c r="T163" s="4739"/>
      <c r="U163" s="4739"/>
      <c r="V163" s="4739"/>
    </row>
    <row r="164" spans="1:22" ht="14.25" customHeight="1" thickBot="1">
      <c r="A164" s="4808"/>
      <c r="B164" s="4823" t="s">
        <v>197</v>
      </c>
      <c r="C164" s="4754">
        <f>E164-E165</f>
        <v>0</v>
      </c>
      <c r="D164" s="4824"/>
      <c r="E164" s="4825">
        <f>+F164+G164+H164+I164+J164</f>
        <v>6818700</v>
      </c>
      <c r="F164" s="4826">
        <f>'Tab. 6A -Drogi'!E391</f>
        <v>0</v>
      </c>
      <c r="G164" s="4826">
        <f>'Tab. 6A -Drogi'!F391</f>
        <v>0</v>
      </c>
      <c r="H164" s="4826">
        <f>'Tab. 6A -Drogi'!G391</f>
        <v>0</v>
      </c>
      <c r="I164" s="4826">
        <f>'Tab. 6A -Drogi'!H391</f>
        <v>6818700</v>
      </c>
      <c r="J164" s="4826">
        <f>'Tab. 6A -Drogi'!I391</f>
        <v>0</v>
      </c>
      <c r="K164" s="4826">
        <f>'Tab. 6A -Drogi'!J391</f>
        <v>0</v>
      </c>
      <c r="L164" s="4826">
        <f>'Tab. 6A -Drogi'!K391</f>
        <v>0</v>
      </c>
      <c r="M164" s="4826">
        <f>'Tab. 6A -Drogi'!L391</f>
        <v>0</v>
      </c>
      <c r="N164" s="4826"/>
      <c r="O164" s="4826"/>
      <c r="P164" s="4826"/>
      <c r="Q164" s="4826"/>
      <c r="R164" s="4827"/>
      <c r="S164" s="4746"/>
      <c r="T164" s="4746"/>
      <c r="U164" s="4746"/>
      <c r="V164" s="4787"/>
    </row>
    <row r="165" spans="1:22" ht="13.5" thickBot="1">
      <c r="A165" s="4828"/>
      <c r="B165" s="4829" t="s">
        <v>317</v>
      </c>
      <c r="C165" s="4767"/>
      <c r="D165" s="4768"/>
      <c r="E165" s="4830">
        <f>F165+G165+H165+I165+J165+K165+L165+M165</f>
        <v>6818700</v>
      </c>
      <c r="F165" s="4831">
        <f>'Tab. 6A -Drogi'!E396</f>
        <v>0</v>
      </c>
      <c r="G165" s="4831">
        <f>'Tab. 6A -Drogi'!F396</f>
        <v>0</v>
      </c>
      <c r="H165" s="4831">
        <f>'Tab. 6A -Drogi'!G396</f>
        <v>0</v>
      </c>
      <c r="I165" s="4831">
        <f>'Tab. 6A -Drogi'!H396</f>
        <v>4091220</v>
      </c>
      <c r="J165" s="4831">
        <f>'Tab. 6A -Drogi'!I396</f>
        <v>2727480</v>
      </c>
      <c r="K165" s="4831">
        <f>'Tab. 6A -Drogi'!J396</f>
        <v>0</v>
      </c>
      <c r="L165" s="4831">
        <f>'Tab. 6A -Drogi'!K396</f>
        <v>0</v>
      </c>
      <c r="M165" s="4831">
        <f>'Tab. 6A -Drogi'!L396</f>
        <v>0</v>
      </c>
      <c r="N165" s="4832"/>
      <c r="O165" s="4832"/>
      <c r="P165" s="4832"/>
      <c r="Q165" s="4832"/>
      <c r="R165" s="4833"/>
      <c r="S165" s="4833"/>
      <c r="T165" s="4833"/>
      <c r="U165" s="4833"/>
      <c r="V165" s="4753"/>
    </row>
    <row r="166" spans="1:22" ht="30.75" customHeight="1" thickBot="1">
      <c r="A166" s="4802" t="s">
        <v>602</v>
      </c>
      <c r="B166" s="4803" t="str">
        <f>'Tab. 6A -Drogi'!B180</f>
        <v>Przebudowa drogi wojewódzkiej nr 102 na odcinku Łukęcin - Lędzin w ramach Osi V RPO (2017-2019)</v>
      </c>
      <c r="C166" s="4834" t="s">
        <v>790</v>
      </c>
      <c r="D166" s="4772">
        <f>E169/E167%</f>
        <v>81.271935566847546</v>
      </c>
      <c r="E166" s="4794"/>
      <c r="F166" s="4795"/>
      <c r="G166" s="4796"/>
      <c r="H166" s="4795"/>
      <c r="I166" s="4795"/>
      <c r="J166" s="4795"/>
      <c r="K166" s="4795"/>
      <c r="L166" s="4795"/>
      <c r="M166" s="4795"/>
      <c r="N166" s="4795"/>
      <c r="O166" s="4795"/>
      <c r="P166" s="4795"/>
      <c r="Q166" s="4795"/>
      <c r="R166" s="4797"/>
      <c r="S166" s="4798"/>
      <c r="T166" s="4798"/>
      <c r="U166" s="4798"/>
      <c r="V166" s="4798"/>
    </row>
    <row r="167" spans="1:22" ht="15.75" customHeight="1" thickTop="1">
      <c r="A167" s="4805"/>
      <c r="B167" s="4806" t="s">
        <v>195</v>
      </c>
      <c r="C167" s="4728"/>
      <c r="D167" s="4729"/>
      <c r="E167" s="4730">
        <f>+F167+G167+H167+I167+J167+K167+L167+M167</f>
        <v>45446170</v>
      </c>
      <c r="F167" s="4731">
        <f>'Tab. 6A -Drogi'!E181</f>
        <v>0</v>
      </c>
      <c r="G167" s="4731">
        <f>'Tab. 6A -Drogi'!F181</f>
        <v>14408172</v>
      </c>
      <c r="H167" s="4731">
        <f>'Tab. 6A -Drogi'!G181</f>
        <v>29937998</v>
      </c>
      <c r="I167" s="4731">
        <f>'Tab. 6A -Drogi'!H181</f>
        <v>1100000</v>
      </c>
      <c r="J167" s="4731">
        <f>'Tab. 6A -Drogi'!I181</f>
        <v>0</v>
      </c>
      <c r="K167" s="4731">
        <f>'Tab. 6A -Drogi'!J181</f>
        <v>0</v>
      </c>
      <c r="L167" s="4731">
        <f>'Tab. 6A -Drogi'!K181</f>
        <v>0</v>
      </c>
      <c r="M167" s="4731">
        <f>'Tab. 6A -Drogi'!L181</f>
        <v>0</v>
      </c>
      <c r="N167" s="4731"/>
      <c r="O167" s="4731"/>
      <c r="P167" s="4731"/>
      <c r="Q167" s="4731"/>
      <c r="R167" s="4732"/>
      <c r="S167" s="4733"/>
      <c r="T167" s="4733"/>
      <c r="U167" s="4733"/>
      <c r="V167" s="4733"/>
    </row>
    <row r="168" spans="1:22" ht="15.75" customHeight="1">
      <c r="A168" s="4805"/>
      <c r="B168" s="4807" t="s">
        <v>196</v>
      </c>
      <c r="C168" s="4735"/>
      <c r="D168" s="4736"/>
      <c r="E168" s="4737">
        <f>+F168+G168+H168</f>
        <v>7411188</v>
      </c>
      <c r="F168" s="4738">
        <f>'Tab. 6A -Drogi'!E182</f>
        <v>0</v>
      </c>
      <c r="G168" s="4738">
        <f>'Tab. 6A -Drogi'!F182</f>
        <v>2611259</v>
      </c>
      <c r="H168" s="4738">
        <f>'Tab. 6A -Drogi'!G182</f>
        <v>4799929</v>
      </c>
      <c r="I168" s="4738">
        <f>'Tab. 6A -Drogi'!H182</f>
        <v>1100000</v>
      </c>
      <c r="J168" s="4738">
        <f>'Tab. 6A -Drogi'!I182</f>
        <v>0</v>
      </c>
      <c r="K168" s="4738">
        <f>'Tab. 6A -Drogi'!J182</f>
        <v>0</v>
      </c>
      <c r="L168" s="4738">
        <f>'Tab. 6A -Drogi'!K182</f>
        <v>0</v>
      </c>
      <c r="M168" s="4738">
        <f>'Tab. 6A -Drogi'!L182</f>
        <v>0</v>
      </c>
      <c r="N168" s="4738"/>
      <c r="O168" s="4738"/>
      <c r="P168" s="4738"/>
      <c r="Q168" s="4738"/>
      <c r="R168" s="4739"/>
      <c r="S168" s="4739"/>
      <c r="T168" s="4739"/>
      <c r="U168" s="4739"/>
      <c r="V168" s="4739"/>
    </row>
    <row r="169" spans="1:22" ht="14.25" customHeight="1" thickBot="1">
      <c r="A169" s="4808"/>
      <c r="B169" s="4823" t="s">
        <v>197</v>
      </c>
      <c r="C169" s="4754">
        <f>E169-E170</f>
        <v>0</v>
      </c>
      <c r="D169" s="4824"/>
      <c r="E169" s="4825">
        <f>+F169+G169+H169+I169+J169</f>
        <v>36934982</v>
      </c>
      <c r="F169" s="4826">
        <f>'Tab. 6A -Drogi'!E185</f>
        <v>0</v>
      </c>
      <c r="G169" s="4826">
        <f>'Tab. 6A -Drogi'!F185</f>
        <v>11796913</v>
      </c>
      <c r="H169" s="4826">
        <f>'Tab. 6A -Drogi'!G185</f>
        <v>25138069</v>
      </c>
      <c r="I169" s="4826">
        <f>'Tab. 6A -Drogi'!H185</f>
        <v>0</v>
      </c>
      <c r="J169" s="4826">
        <f>'Tab. 6A -Drogi'!I185</f>
        <v>0</v>
      </c>
      <c r="K169" s="4826">
        <f>'Tab. 6A -Drogi'!J185</f>
        <v>0</v>
      </c>
      <c r="L169" s="4826">
        <f>'Tab. 6A -Drogi'!K185</f>
        <v>0</v>
      </c>
      <c r="M169" s="4826">
        <f>'Tab. 6A -Drogi'!L185</f>
        <v>0</v>
      </c>
      <c r="N169" s="4826"/>
      <c r="O169" s="4826"/>
      <c r="P169" s="4826"/>
      <c r="Q169" s="4826"/>
      <c r="R169" s="4827"/>
      <c r="S169" s="4746"/>
      <c r="T169" s="4746"/>
      <c r="U169" s="4746"/>
      <c r="V169" s="4787"/>
    </row>
    <row r="170" spans="1:22" ht="13.5" thickBot="1">
      <c r="A170" s="4828"/>
      <c r="B170" s="4829" t="s">
        <v>317</v>
      </c>
      <c r="C170" s="4767"/>
      <c r="D170" s="4768"/>
      <c r="E170" s="4830">
        <f>F170+G170+H170+I170+J170+K170+L170+M170</f>
        <v>36934982</v>
      </c>
      <c r="F170" s="4831">
        <f>'Tab. 6A -Drogi'!E190</f>
        <v>0</v>
      </c>
      <c r="G170" s="4831">
        <f>'Tab. 6A -Drogi'!F190</f>
        <v>0</v>
      </c>
      <c r="H170" s="4831">
        <f>'Tab. 6A -Drogi'!G190</f>
        <v>33696736</v>
      </c>
      <c r="I170" s="4831">
        <f>'Tab. 6A -Drogi'!H190</f>
        <v>3238246</v>
      </c>
      <c r="J170" s="4831">
        <f>'Tab. 6A -Drogi'!I190</f>
        <v>0</v>
      </c>
      <c r="K170" s="4831">
        <f>'Tab. 6A -Drogi'!J190</f>
        <v>0</v>
      </c>
      <c r="L170" s="4831">
        <f>'Tab. 6A -Drogi'!K190</f>
        <v>0</v>
      </c>
      <c r="M170" s="4831">
        <f>'Tab. 6A -Drogi'!L190</f>
        <v>0</v>
      </c>
      <c r="N170" s="4832"/>
      <c r="O170" s="4832"/>
      <c r="P170" s="4832"/>
      <c r="Q170" s="4832"/>
      <c r="R170" s="4833"/>
      <c r="S170" s="4833"/>
      <c r="T170" s="4833"/>
      <c r="U170" s="4833"/>
      <c r="V170" s="4753"/>
    </row>
    <row r="171" spans="1:22" ht="38.25" customHeight="1" thickBot="1">
      <c r="A171" s="4802" t="s">
        <v>633</v>
      </c>
      <c r="B171" s="4803" t="str">
        <f>'Tab. 6A -Drogi'!B216</f>
        <v>Przebudowa ul. Jagiełły w ciągu drogi wojewódzkiej nr 160 i ul. Drawieńskiej w ciągu drogi wojewódzkiej nr 175 w m. Choszczno w ramach Osi V RPO (2016-2019)</v>
      </c>
      <c r="C171" s="4834" t="s">
        <v>791</v>
      </c>
      <c r="D171" s="4772">
        <f>E174/E172%</f>
        <v>80.950331354404909</v>
      </c>
      <c r="E171" s="4794"/>
      <c r="F171" s="4795"/>
      <c r="G171" s="4796"/>
      <c r="H171" s="4795"/>
      <c r="I171" s="4795"/>
      <c r="J171" s="4795"/>
      <c r="K171" s="4795"/>
      <c r="L171" s="4795"/>
      <c r="M171" s="4795"/>
      <c r="N171" s="4795"/>
      <c r="O171" s="4795"/>
      <c r="P171" s="4795"/>
      <c r="Q171" s="4795"/>
      <c r="R171" s="4797"/>
      <c r="S171" s="4798"/>
      <c r="T171" s="4798"/>
      <c r="U171" s="4798"/>
      <c r="V171" s="4798"/>
    </row>
    <row r="172" spans="1:22" ht="15.75" customHeight="1" thickTop="1">
      <c r="A172" s="4805"/>
      <c r="B172" s="4806" t="s">
        <v>195</v>
      </c>
      <c r="C172" s="4728"/>
      <c r="D172" s="4729"/>
      <c r="E172" s="4730">
        <f>+F172+G172+H172+I172+J172+K172+L172+M172</f>
        <v>27596585</v>
      </c>
      <c r="F172" s="4731">
        <f>'Tab. 6A -Drogi'!E217</f>
        <v>813504</v>
      </c>
      <c r="G172" s="4731">
        <f>'Tab. 6A -Drogi'!F217</f>
        <v>635700</v>
      </c>
      <c r="H172" s="4731">
        <f>'Tab. 6A -Drogi'!G217</f>
        <v>1891480</v>
      </c>
      <c r="I172" s="4731">
        <f>'Tab. 6A -Drogi'!H217</f>
        <v>24255901</v>
      </c>
      <c r="J172" s="4731">
        <f>'Tab. 6A -Drogi'!I217</f>
        <v>0</v>
      </c>
      <c r="K172" s="4731">
        <f>'Tab. 6A -Drogi'!J217</f>
        <v>0</v>
      </c>
      <c r="L172" s="4731">
        <f>'Tab. 6A -Drogi'!K217</f>
        <v>0</v>
      </c>
      <c r="M172" s="4731">
        <f>'Tab. 6A -Drogi'!L217</f>
        <v>0</v>
      </c>
      <c r="N172" s="4731"/>
      <c r="O172" s="4731"/>
      <c r="P172" s="4731"/>
      <c r="Q172" s="4731"/>
      <c r="R172" s="4732"/>
      <c r="S172" s="4733"/>
      <c r="T172" s="4733"/>
      <c r="U172" s="4733"/>
      <c r="V172" s="4733"/>
    </row>
    <row r="173" spans="1:22" ht="15.75" customHeight="1">
      <c r="A173" s="4805"/>
      <c r="B173" s="4807" t="s">
        <v>196</v>
      </c>
      <c r="C173" s="4735"/>
      <c r="D173" s="4736"/>
      <c r="E173" s="4737">
        <f>+F173+G173+H173+I173+J173+K173</f>
        <v>5257058</v>
      </c>
      <c r="F173" s="4738">
        <f>'Tab. 6A -Drogi'!E218</f>
        <v>813504</v>
      </c>
      <c r="G173" s="4738">
        <f>'Tab. 6A -Drogi'!F218</f>
        <v>485608</v>
      </c>
      <c r="H173" s="4738">
        <f>'Tab. 6A -Drogi'!G218</f>
        <v>288842</v>
      </c>
      <c r="I173" s="4738">
        <f>'Tab. 6A -Drogi'!H218</f>
        <v>3669104</v>
      </c>
      <c r="J173" s="4738">
        <f>'Tab. 6A -Drogi'!I218</f>
        <v>0</v>
      </c>
      <c r="K173" s="4738">
        <f>'Tab. 6A -Drogi'!J218</f>
        <v>0</v>
      </c>
      <c r="L173" s="4738">
        <f>'Tab. 6A -Drogi'!K218</f>
        <v>0</v>
      </c>
      <c r="M173" s="4738">
        <f>'Tab. 6A -Drogi'!L218</f>
        <v>0</v>
      </c>
      <c r="N173" s="4738"/>
      <c r="O173" s="4738"/>
      <c r="P173" s="4738"/>
      <c r="Q173" s="4738"/>
      <c r="R173" s="4739"/>
      <c r="S173" s="4739"/>
      <c r="T173" s="4739"/>
      <c r="U173" s="4739"/>
      <c r="V173" s="4739"/>
    </row>
    <row r="174" spans="1:22" ht="14.25" customHeight="1" thickBot="1">
      <c r="A174" s="4808"/>
      <c r="B174" s="4823" t="s">
        <v>197</v>
      </c>
      <c r="C174" s="4754">
        <f>E174-E175</f>
        <v>0</v>
      </c>
      <c r="D174" s="4824"/>
      <c r="E174" s="4825">
        <f>+F174+G174+H174+I174+J174</f>
        <v>22339527</v>
      </c>
      <c r="F174" s="4826">
        <f>'Tab. 6A -Drogi'!E221</f>
        <v>0</v>
      </c>
      <c r="G174" s="4826">
        <f>'Tab. 6A -Drogi'!F221</f>
        <v>150092</v>
      </c>
      <c r="H174" s="4826">
        <f>'Tab. 6A -Drogi'!G221</f>
        <v>1602638</v>
      </c>
      <c r="I174" s="4826">
        <f>'Tab. 6A -Drogi'!H221</f>
        <v>20586797</v>
      </c>
      <c r="J174" s="4826">
        <f>'Tab. 6A -Drogi'!I221</f>
        <v>0</v>
      </c>
      <c r="K174" s="4826">
        <f>'Tab. 6A -Drogi'!J221</f>
        <v>0</v>
      </c>
      <c r="L174" s="4826">
        <f>'Tab. 6A -Drogi'!K221</f>
        <v>0</v>
      </c>
      <c r="M174" s="4826">
        <f>'Tab. 6A -Drogi'!L221</f>
        <v>0</v>
      </c>
      <c r="N174" s="4826"/>
      <c r="O174" s="4826"/>
      <c r="P174" s="4826"/>
      <c r="Q174" s="4826"/>
      <c r="R174" s="4827"/>
      <c r="S174" s="4746"/>
      <c r="T174" s="4746"/>
      <c r="U174" s="4746"/>
      <c r="V174" s="4787"/>
    </row>
    <row r="175" spans="1:22" ht="13.5" thickBot="1">
      <c r="A175" s="4828"/>
      <c r="B175" s="4829" t="s">
        <v>317</v>
      </c>
      <c r="C175" s="4767"/>
      <c r="D175" s="4768"/>
      <c r="E175" s="4830">
        <f>F175+G175+H175+I175+J175+K175+L175+M175</f>
        <v>22339527</v>
      </c>
      <c r="F175" s="4831">
        <f>'Tab. 6A -Drogi'!E226</f>
        <v>0</v>
      </c>
      <c r="G175" s="4831">
        <f>'Tab. 6A -Drogi'!F226</f>
        <v>0</v>
      </c>
      <c r="H175" s="4831">
        <f>'Tab. 6A -Drogi'!G226</f>
        <v>5347432</v>
      </c>
      <c r="I175" s="4831">
        <f>'Tab. 6A -Drogi'!H226</f>
        <v>16992095</v>
      </c>
      <c r="J175" s="4831">
        <f>'Tab. 6A -Drogi'!I226</f>
        <v>0</v>
      </c>
      <c r="K175" s="4831">
        <f>'Tab. 6A -Drogi'!J226</f>
        <v>0</v>
      </c>
      <c r="L175" s="4831">
        <f>'Tab. 6A -Drogi'!K226</f>
        <v>0</v>
      </c>
      <c r="M175" s="4831">
        <f>'Tab. 6A -Drogi'!L226</f>
        <v>0</v>
      </c>
      <c r="N175" s="4832"/>
      <c r="O175" s="4832"/>
      <c r="P175" s="4832"/>
      <c r="Q175" s="4832"/>
      <c r="R175" s="4833"/>
      <c r="S175" s="4833"/>
      <c r="T175" s="4833"/>
      <c r="U175" s="4833"/>
      <c r="V175" s="4753"/>
    </row>
    <row r="176" spans="1:22" ht="24.75" customHeight="1" thickBot="1">
      <c r="A176" s="4802" t="s">
        <v>654</v>
      </c>
      <c r="B176" s="4803" t="str">
        <f>'Tab. 6A -Drogi'!B252</f>
        <v>Przebudowa drogi wojewódzkiej nr 109 na odcinku Trzebiatów - Płoty w ramach Osi V RPO (2017-2020)</v>
      </c>
      <c r="C176" s="4834" t="s">
        <v>792</v>
      </c>
      <c r="D176" s="4772">
        <f>E179/E177%</f>
        <v>84.905236907730668</v>
      </c>
      <c r="E176" s="4794"/>
      <c r="F176" s="4795"/>
      <c r="G176" s="4796"/>
      <c r="H176" s="4795"/>
      <c r="I176" s="4795"/>
      <c r="J176" s="4795"/>
      <c r="K176" s="4795"/>
      <c r="L176" s="4795"/>
      <c r="M176" s="4795"/>
      <c r="N176" s="4795"/>
      <c r="O176" s="4795"/>
      <c r="P176" s="4795"/>
      <c r="Q176" s="4795"/>
      <c r="R176" s="4797"/>
      <c r="S176" s="4798"/>
      <c r="T176" s="4798"/>
      <c r="U176" s="4798"/>
      <c r="V176" s="4798"/>
    </row>
    <row r="177" spans="1:22" ht="15.75" customHeight="1" thickTop="1">
      <c r="A177" s="4805"/>
      <c r="B177" s="4806" t="s">
        <v>195</v>
      </c>
      <c r="C177" s="4728"/>
      <c r="D177" s="4729"/>
      <c r="E177" s="4730">
        <f>+F177+G177+H177+I177+J177+K177+L177+M177</f>
        <v>100250000</v>
      </c>
      <c r="F177" s="4731">
        <f>'Tab. 6A -Drogi'!E253</f>
        <v>0</v>
      </c>
      <c r="G177" s="4731">
        <f>'Tab. 6A -Drogi'!F253</f>
        <v>500918</v>
      </c>
      <c r="H177" s="4731">
        <f>'Tab. 6A -Drogi'!G253</f>
        <v>1000000</v>
      </c>
      <c r="I177" s="4731">
        <f>'Tab. 6A -Drogi'!H253</f>
        <v>45550000</v>
      </c>
      <c r="J177" s="4731">
        <f>'Tab. 6A -Drogi'!I253</f>
        <v>53199082</v>
      </c>
      <c r="K177" s="4731">
        <f>'Tab. 6A -Drogi'!J253</f>
        <v>0</v>
      </c>
      <c r="L177" s="4731">
        <f>'Tab. 6A -Drogi'!K253</f>
        <v>0</v>
      </c>
      <c r="M177" s="4731">
        <f>'Tab. 6A -Drogi'!L253</f>
        <v>0</v>
      </c>
      <c r="N177" s="4731"/>
      <c r="O177" s="4731"/>
      <c r="P177" s="4731"/>
      <c r="Q177" s="4731"/>
      <c r="R177" s="4732"/>
      <c r="S177" s="4733"/>
      <c r="T177" s="4733"/>
      <c r="U177" s="4733"/>
      <c r="V177" s="4733"/>
    </row>
    <row r="178" spans="1:22" ht="15.75" customHeight="1">
      <c r="A178" s="4805"/>
      <c r="B178" s="4807" t="s">
        <v>196</v>
      </c>
      <c r="C178" s="4735"/>
      <c r="D178" s="4736"/>
      <c r="E178" s="4737">
        <f>+F178+G178+H178+I178+J178+K178</f>
        <v>15132500</v>
      </c>
      <c r="F178" s="4738">
        <f>'Tab. 6A -Drogi'!E254</f>
        <v>0</v>
      </c>
      <c r="G178" s="4738">
        <f>'Tab. 6A -Drogi'!F254</f>
        <v>75138</v>
      </c>
      <c r="H178" s="4738">
        <f>'Tab. 6A -Drogi'!G254</f>
        <v>245000</v>
      </c>
      <c r="I178" s="4738">
        <f>'Tab. 6A -Drogi'!H254</f>
        <v>6832500</v>
      </c>
      <c r="J178" s="4738">
        <f>'Tab. 6A -Drogi'!I254</f>
        <v>7979862</v>
      </c>
      <c r="K178" s="4738">
        <f>'Tab. 6A -Drogi'!J254</f>
        <v>0</v>
      </c>
      <c r="L178" s="4738">
        <f>'Tab. 6A -Drogi'!K254</f>
        <v>0</v>
      </c>
      <c r="M178" s="4738">
        <f>'Tab. 6A -Drogi'!L254</f>
        <v>0</v>
      </c>
      <c r="N178" s="4738"/>
      <c r="O178" s="4738"/>
      <c r="P178" s="4738"/>
      <c r="Q178" s="4738"/>
      <c r="R178" s="4739"/>
      <c r="S178" s="4739"/>
      <c r="T178" s="4739"/>
      <c r="U178" s="4739"/>
      <c r="V178" s="4739"/>
    </row>
    <row r="179" spans="1:22" ht="14.25" customHeight="1" thickBot="1">
      <c r="A179" s="4808"/>
      <c r="B179" s="4823" t="s">
        <v>197</v>
      </c>
      <c r="C179" s="4754">
        <f>E179-E180</f>
        <v>0</v>
      </c>
      <c r="D179" s="4824"/>
      <c r="E179" s="4825">
        <f>+F179+G179+H179+I179+J179</f>
        <v>85117500</v>
      </c>
      <c r="F179" s="4826">
        <f>'Tab. 6A -Drogi'!E257</f>
        <v>0</v>
      </c>
      <c r="G179" s="4826">
        <f>'Tab. 6A -Drogi'!F257</f>
        <v>425780</v>
      </c>
      <c r="H179" s="4826">
        <f>'Tab. 6A -Drogi'!G257</f>
        <v>755000</v>
      </c>
      <c r="I179" s="4826">
        <f>'Tab. 6A -Drogi'!H257</f>
        <v>38717500</v>
      </c>
      <c r="J179" s="4826">
        <f>'Tab. 6A -Drogi'!I257</f>
        <v>45219220</v>
      </c>
      <c r="K179" s="4826">
        <f>'Tab. 6A -Drogi'!J257</f>
        <v>0</v>
      </c>
      <c r="L179" s="4826">
        <f>'Tab. 6A -Drogi'!K257</f>
        <v>0</v>
      </c>
      <c r="M179" s="4826">
        <f>'Tab. 6A -Drogi'!L257</f>
        <v>0</v>
      </c>
      <c r="N179" s="4826"/>
      <c r="O179" s="4826"/>
      <c r="P179" s="4826"/>
      <c r="Q179" s="4826"/>
      <c r="R179" s="4827"/>
      <c r="S179" s="4746"/>
      <c r="T179" s="4746"/>
      <c r="U179" s="4746"/>
      <c r="V179" s="4787"/>
    </row>
    <row r="180" spans="1:22" ht="13.5" thickBot="1">
      <c r="A180" s="4828"/>
      <c r="B180" s="4829" t="s">
        <v>317</v>
      </c>
      <c r="C180" s="4767"/>
      <c r="D180" s="4768"/>
      <c r="E180" s="4830">
        <f>F180+G180+H180+I180+J180+K180+L180+M180</f>
        <v>85117500</v>
      </c>
      <c r="F180" s="4831">
        <f>'Tab. 6A -Drogi'!E262</f>
        <v>0</v>
      </c>
      <c r="G180" s="4831">
        <f>'Tab. 6A -Drogi'!F262</f>
        <v>0</v>
      </c>
      <c r="H180" s="4831">
        <f>'Tab. 6A -Drogi'!G262</f>
        <v>1180780</v>
      </c>
      <c r="I180" s="4831">
        <f>'Tab. 6A -Drogi'!H262</f>
        <v>38717500</v>
      </c>
      <c r="J180" s="4831">
        <f>'Tab. 6A -Drogi'!I262</f>
        <v>45219220</v>
      </c>
      <c r="K180" s="4831">
        <f>'Tab. 6A -Drogi'!J262</f>
        <v>0</v>
      </c>
      <c r="L180" s="4831">
        <f>'Tab. 6A -Drogi'!K262</f>
        <v>0</v>
      </c>
      <c r="M180" s="4831">
        <f>'Tab. 6A -Drogi'!L262</f>
        <v>0</v>
      </c>
      <c r="N180" s="4832"/>
      <c r="O180" s="4832"/>
      <c r="P180" s="4832"/>
      <c r="Q180" s="4832"/>
      <c r="R180" s="4833"/>
      <c r="S180" s="4833"/>
      <c r="T180" s="4833"/>
      <c r="U180" s="4833"/>
      <c r="V180" s="4753"/>
    </row>
    <row r="181" spans="1:22" s="4708" customFormat="1">
      <c r="A181" s="4810"/>
      <c r="B181" s="4837"/>
      <c r="C181" s="4838"/>
      <c r="D181" s="4839"/>
      <c r="E181" s="4840"/>
      <c r="F181" s="4841"/>
      <c r="G181" s="4842"/>
      <c r="H181" s="4841"/>
      <c r="I181" s="4841"/>
      <c r="J181" s="4841"/>
      <c r="K181" s="4842"/>
      <c r="L181" s="4842"/>
      <c r="M181" s="4841"/>
      <c r="N181" s="4843"/>
      <c r="O181" s="4843"/>
      <c r="P181" s="4843"/>
      <c r="Q181" s="4843"/>
      <c r="R181" s="4844"/>
      <c r="S181" s="4844"/>
      <c r="T181" s="4844"/>
      <c r="U181" s="4844"/>
      <c r="V181" s="4844"/>
    </row>
    <row r="182" spans="1:22" s="4708" customFormat="1" ht="30" customHeight="1" thickBot="1">
      <c r="A182" s="4845"/>
      <c r="B182" s="4846" t="s">
        <v>346</v>
      </c>
      <c r="C182" s="4847"/>
      <c r="D182" s="4848"/>
      <c r="E182" s="4849"/>
      <c r="F182" s="4850"/>
      <c r="G182" s="4851"/>
      <c r="H182" s="4852"/>
      <c r="I182" s="4850"/>
      <c r="J182" s="4850"/>
      <c r="K182" s="4853"/>
      <c r="L182" s="4853"/>
      <c r="M182" s="4850"/>
      <c r="N182" s="4853"/>
      <c r="O182" s="4853"/>
      <c r="P182" s="4853"/>
      <c r="Q182" s="4853"/>
      <c r="R182" s="4854"/>
      <c r="S182" s="4854"/>
      <c r="T182" s="4854"/>
      <c r="U182" s="4854"/>
      <c r="V182" s="4854"/>
    </row>
    <row r="183" spans="1:22" ht="14.25">
      <c r="A183" s="4855"/>
      <c r="B183" s="4856"/>
      <c r="C183" s="4719"/>
      <c r="D183" s="4720" t="e">
        <f>E186/E184%</f>
        <v>#DIV/0!</v>
      </c>
      <c r="E183" s="4721"/>
      <c r="F183" s="4722"/>
      <c r="G183" s="4723"/>
      <c r="H183" s="4722"/>
      <c r="I183" s="4722"/>
      <c r="J183" s="4722"/>
      <c r="K183" s="4723"/>
      <c r="L183" s="4723"/>
      <c r="M183" s="4722"/>
      <c r="N183" s="4857"/>
      <c r="O183" s="4857"/>
      <c r="P183" s="4857"/>
      <c r="Q183" s="4857"/>
      <c r="R183" s="4858"/>
      <c r="S183" s="4725"/>
      <c r="T183" s="4725"/>
      <c r="U183" s="4725"/>
      <c r="V183" s="4725"/>
    </row>
    <row r="184" spans="1:22" ht="13.5" customHeight="1">
      <c r="A184" s="4859"/>
      <c r="B184" s="4727" t="s">
        <v>195</v>
      </c>
      <c r="C184" s="4728"/>
      <c r="D184" s="4729"/>
      <c r="E184" s="4730">
        <f>+F184+G184+H184+I184+J184+K184+L184+M184</f>
        <v>0</v>
      </c>
      <c r="F184" s="4731"/>
      <c r="G184" s="4731"/>
      <c r="H184" s="4731"/>
      <c r="I184" s="4731"/>
      <c r="J184" s="4731"/>
      <c r="K184" s="4731"/>
      <c r="L184" s="4731"/>
      <c r="M184" s="4731"/>
      <c r="N184" s="4860"/>
      <c r="O184" s="4860"/>
      <c r="P184" s="4860"/>
      <c r="Q184" s="4860"/>
      <c r="R184" s="4733"/>
      <c r="S184" s="4733"/>
      <c r="T184" s="4733"/>
      <c r="U184" s="4733"/>
      <c r="V184" s="4733"/>
    </row>
    <row r="185" spans="1:22" ht="14.25" customHeight="1">
      <c r="A185" s="4859"/>
      <c r="B185" s="4734" t="s">
        <v>344</v>
      </c>
      <c r="C185" s="4735"/>
      <c r="D185" s="4736"/>
      <c r="E185" s="4737">
        <f>+F185+G185+H185+I185+J185+K185+L185+M185</f>
        <v>0</v>
      </c>
      <c r="F185" s="4738"/>
      <c r="G185" s="4738"/>
      <c r="H185" s="4738"/>
      <c r="I185" s="4738"/>
      <c r="J185" s="4738"/>
      <c r="K185" s="4738"/>
      <c r="L185" s="4738"/>
      <c r="M185" s="4738"/>
      <c r="N185" s="4861"/>
      <c r="O185" s="4861"/>
      <c r="P185" s="4861"/>
      <c r="Q185" s="4861"/>
      <c r="R185" s="4739"/>
      <c r="S185" s="4739"/>
      <c r="T185" s="4739"/>
      <c r="U185" s="4739"/>
      <c r="V185" s="4739"/>
    </row>
    <row r="186" spans="1:22" ht="13.5" thickBot="1">
      <c r="A186" s="4859"/>
      <c r="B186" s="4740" t="s">
        <v>197</v>
      </c>
      <c r="C186" s="4754">
        <f>E186-E187</f>
        <v>0</v>
      </c>
      <c r="D186" s="4742"/>
      <c r="E186" s="4743">
        <f>+F186+G186+H186+I186+J186+K186+L186+M186</f>
        <v>0</v>
      </c>
      <c r="F186" s="4744"/>
      <c r="G186" s="4744"/>
      <c r="H186" s="4744"/>
      <c r="I186" s="4744"/>
      <c r="J186" s="4744"/>
      <c r="K186" s="4744"/>
      <c r="L186" s="4744"/>
      <c r="M186" s="4744"/>
      <c r="N186" s="4862"/>
      <c r="O186" s="4862"/>
      <c r="P186" s="4862"/>
      <c r="Q186" s="4862"/>
      <c r="R186" s="4863"/>
      <c r="S186" s="4746"/>
      <c r="T186" s="4746"/>
      <c r="U186" s="4746"/>
      <c r="V186" s="4746"/>
    </row>
    <row r="187" spans="1:22" ht="17.25" customHeight="1" thickBot="1">
      <c r="A187" s="4864"/>
      <c r="B187" s="4748" t="s">
        <v>317</v>
      </c>
      <c r="C187" s="4749"/>
      <c r="D187" s="4750"/>
      <c r="E187" s="4751">
        <f>F187+G187+H187+I187+J187+K187+L187+M187</f>
        <v>0</v>
      </c>
      <c r="F187" s="4752"/>
      <c r="G187" s="4752"/>
      <c r="H187" s="4752"/>
      <c r="I187" s="4752"/>
      <c r="J187" s="4752"/>
      <c r="K187" s="4752"/>
      <c r="L187" s="4752"/>
      <c r="M187" s="4752"/>
      <c r="N187" s="4865"/>
      <c r="O187" s="4865"/>
      <c r="P187" s="4865"/>
      <c r="Q187" s="4865"/>
      <c r="R187" s="4753"/>
      <c r="S187" s="4753"/>
      <c r="T187" s="4753"/>
      <c r="U187" s="4753"/>
      <c r="V187" s="4753"/>
    </row>
    <row r="188" spans="1:22" ht="14.25">
      <c r="A188" s="4717"/>
      <c r="B188" s="4718">
        <f>'Tab. 6G - Roln i ochrona środ.'!B32</f>
        <v>0</v>
      </c>
      <c r="C188" s="4719"/>
      <c r="D188" s="4866" t="e">
        <f>E191/E189%</f>
        <v>#DIV/0!</v>
      </c>
      <c r="E188" s="4721"/>
      <c r="F188" s="4722"/>
      <c r="G188" s="4723"/>
      <c r="H188" s="4722"/>
      <c r="I188" s="4722"/>
      <c r="J188" s="4722"/>
      <c r="K188" s="4723"/>
      <c r="L188" s="4723"/>
      <c r="M188" s="4722"/>
      <c r="N188" s="4857"/>
      <c r="O188" s="4857"/>
      <c r="P188" s="4857"/>
      <c r="Q188" s="4857"/>
      <c r="R188" s="4858"/>
      <c r="S188" s="4725"/>
      <c r="T188" s="4725"/>
      <c r="U188" s="4725"/>
      <c r="V188" s="4725"/>
    </row>
    <row r="189" spans="1:22" ht="13.5" customHeight="1">
      <c r="A189" s="4726"/>
      <c r="B189" s="4727" t="s">
        <v>195</v>
      </c>
      <c r="C189" s="4728"/>
      <c r="D189" s="4729"/>
      <c r="E189" s="4730">
        <f>+F189+G189+H189+I189+J189+K189+L189+M189</f>
        <v>0</v>
      </c>
      <c r="F189" s="4731"/>
      <c r="G189" s="4731"/>
      <c r="H189" s="4731"/>
      <c r="I189" s="4731"/>
      <c r="J189" s="4731"/>
      <c r="K189" s="4731"/>
      <c r="L189" s="4731"/>
      <c r="M189" s="4731"/>
      <c r="N189" s="4860"/>
      <c r="O189" s="4860"/>
      <c r="P189" s="4860"/>
      <c r="Q189" s="4860"/>
      <c r="R189" s="4733"/>
      <c r="S189" s="4733"/>
      <c r="T189" s="4733"/>
      <c r="U189" s="4733"/>
      <c r="V189" s="4733"/>
    </row>
    <row r="190" spans="1:22" ht="24">
      <c r="A190" s="4726"/>
      <c r="B190" s="4734" t="s">
        <v>344</v>
      </c>
      <c r="C190" s="4735"/>
      <c r="D190" s="4736"/>
      <c r="E190" s="4737">
        <f>+F190+G190+H190+I190+J190+K190+L190+M190</f>
        <v>0</v>
      </c>
      <c r="F190" s="4738"/>
      <c r="G190" s="4738"/>
      <c r="H190" s="4738"/>
      <c r="I190" s="4738"/>
      <c r="J190" s="4738"/>
      <c r="K190" s="4738"/>
      <c r="L190" s="4738"/>
      <c r="M190" s="4738"/>
      <c r="N190" s="4861"/>
      <c r="O190" s="4861"/>
      <c r="P190" s="4861"/>
      <c r="Q190" s="4861"/>
      <c r="R190" s="4739"/>
      <c r="S190" s="4739"/>
      <c r="T190" s="4739"/>
      <c r="U190" s="4739"/>
      <c r="V190" s="4739"/>
    </row>
    <row r="191" spans="1:22" ht="13.5" thickBot="1">
      <c r="A191" s="4726"/>
      <c r="B191" s="4740" t="s">
        <v>197</v>
      </c>
      <c r="C191" s="4754">
        <f>E191-E192</f>
        <v>0</v>
      </c>
      <c r="D191" s="4742"/>
      <c r="E191" s="4743">
        <f>+F191+G191+H191+I191+J191+K191+L191+M191</f>
        <v>0</v>
      </c>
      <c r="F191" s="4744"/>
      <c r="G191" s="4744"/>
      <c r="H191" s="4744"/>
      <c r="I191" s="4744"/>
      <c r="J191" s="4744"/>
      <c r="K191" s="4744"/>
      <c r="L191" s="4744"/>
      <c r="M191" s="4744"/>
      <c r="N191" s="4862"/>
      <c r="O191" s="4862"/>
      <c r="P191" s="4862"/>
      <c r="Q191" s="4862"/>
      <c r="R191" s="4863"/>
      <c r="S191" s="4746"/>
      <c r="T191" s="4746"/>
      <c r="U191" s="4746"/>
      <c r="V191" s="4746"/>
    </row>
    <row r="192" spans="1:22" ht="13.5" thickBot="1">
      <c r="A192" s="4747"/>
      <c r="B192" s="4748" t="s">
        <v>317</v>
      </c>
      <c r="C192" s="4749"/>
      <c r="D192" s="4750"/>
      <c r="E192" s="4751">
        <f>F192+G192+H192+I192+J192+K192+L192+M192</f>
        <v>0</v>
      </c>
      <c r="F192" s="4752"/>
      <c r="G192" s="4752"/>
      <c r="H192" s="4752"/>
      <c r="I192" s="4752"/>
      <c r="J192" s="4752"/>
      <c r="K192" s="4752"/>
      <c r="L192" s="4752"/>
      <c r="M192" s="4752"/>
      <c r="N192" s="4865"/>
      <c r="O192" s="4865"/>
      <c r="P192" s="4865"/>
      <c r="Q192" s="4865"/>
      <c r="R192" s="4753"/>
      <c r="S192" s="4753"/>
      <c r="T192" s="4753"/>
      <c r="U192" s="4753"/>
      <c r="V192" s="4753"/>
    </row>
    <row r="193" spans="1:22" s="4708" customFormat="1" ht="20.25" customHeight="1" thickBot="1">
      <c r="A193" s="4845"/>
      <c r="B193" s="4867" t="s">
        <v>341</v>
      </c>
      <c r="C193" s="4847"/>
      <c r="D193" s="4848"/>
      <c r="E193" s="4849"/>
      <c r="F193" s="4850"/>
      <c r="G193" s="4853"/>
      <c r="H193" s="4850"/>
      <c r="I193" s="4850"/>
      <c r="J193" s="4850"/>
      <c r="K193" s="4853"/>
      <c r="L193" s="4853"/>
      <c r="M193" s="4850"/>
      <c r="N193" s="4853"/>
      <c r="O193" s="4853"/>
      <c r="P193" s="4853"/>
      <c r="Q193" s="4853"/>
      <c r="R193" s="4854"/>
      <c r="S193" s="4854"/>
      <c r="T193" s="4854"/>
      <c r="U193" s="4854"/>
      <c r="V193" s="4854"/>
    </row>
    <row r="194" spans="1:22" ht="14.25">
      <c r="A194" s="4855"/>
      <c r="B194" s="4868"/>
      <c r="C194" s="4719"/>
      <c r="D194" s="4720" t="e">
        <f>E197/E195%</f>
        <v>#DIV/0!</v>
      </c>
      <c r="E194" s="4721"/>
      <c r="F194" s="4722"/>
      <c r="G194" s="4723"/>
      <c r="H194" s="4722"/>
      <c r="I194" s="4722"/>
      <c r="J194" s="4722"/>
      <c r="K194" s="4723"/>
      <c r="L194" s="4723"/>
      <c r="M194" s="4722"/>
      <c r="N194" s="4857"/>
      <c r="O194" s="4857"/>
      <c r="P194" s="4857"/>
      <c r="Q194" s="4857"/>
      <c r="R194" s="4858"/>
      <c r="S194" s="4725"/>
      <c r="T194" s="4725"/>
      <c r="U194" s="4725"/>
      <c r="V194" s="4725"/>
    </row>
    <row r="195" spans="1:22" ht="13.5" customHeight="1">
      <c r="A195" s="4859"/>
      <c r="B195" s="4727" t="s">
        <v>195</v>
      </c>
      <c r="C195" s="4728"/>
      <c r="D195" s="4729"/>
      <c r="E195" s="4730">
        <f>+F195+G195+H195+I195+J195+K195+L195+M195</f>
        <v>0</v>
      </c>
      <c r="F195" s="4731"/>
      <c r="G195" s="4814"/>
      <c r="H195" s="4731"/>
      <c r="I195" s="4731"/>
      <c r="J195" s="4731"/>
      <c r="K195" s="4731"/>
      <c r="L195" s="4731"/>
      <c r="M195" s="4731"/>
      <c r="N195" s="4860"/>
      <c r="O195" s="4860"/>
      <c r="P195" s="4860"/>
      <c r="Q195" s="4860"/>
      <c r="R195" s="4733"/>
      <c r="S195" s="4733"/>
      <c r="T195" s="4733"/>
      <c r="U195" s="4733"/>
      <c r="V195" s="4733"/>
    </row>
    <row r="196" spans="1:22" ht="27" customHeight="1">
      <c r="A196" s="4859"/>
      <c r="B196" s="4734" t="s">
        <v>349</v>
      </c>
      <c r="C196" s="4735"/>
      <c r="D196" s="4736"/>
      <c r="E196" s="4737">
        <f>+F196+G196+H196+I196+J196+K196+L196+M196</f>
        <v>0</v>
      </c>
      <c r="F196" s="4738"/>
      <c r="G196" s="4817"/>
      <c r="H196" s="4738"/>
      <c r="I196" s="4738"/>
      <c r="J196" s="4738"/>
      <c r="K196" s="4738"/>
      <c r="L196" s="4738"/>
      <c r="M196" s="4738"/>
      <c r="N196" s="4861"/>
      <c r="O196" s="4861"/>
      <c r="P196" s="4861"/>
      <c r="Q196" s="4861"/>
      <c r="R196" s="4739"/>
      <c r="S196" s="4739"/>
      <c r="T196" s="4739"/>
      <c r="U196" s="4739"/>
      <c r="V196" s="4739"/>
    </row>
    <row r="197" spans="1:22" ht="13.5" thickBot="1">
      <c r="A197" s="4859"/>
      <c r="B197" s="4740" t="s">
        <v>197</v>
      </c>
      <c r="C197" s="4754">
        <f>E197-E198</f>
        <v>0</v>
      </c>
      <c r="D197" s="4742"/>
      <c r="E197" s="4743">
        <f>+F197+G197+H197+I197+J197+K197+L197+M197</f>
        <v>0</v>
      </c>
      <c r="F197" s="4744"/>
      <c r="G197" s="4820"/>
      <c r="H197" s="4744"/>
      <c r="I197" s="4744"/>
      <c r="J197" s="4744"/>
      <c r="K197" s="4744"/>
      <c r="L197" s="4744"/>
      <c r="M197" s="4744"/>
      <c r="N197" s="4862"/>
      <c r="O197" s="4862"/>
      <c r="P197" s="4862"/>
      <c r="Q197" s="4862"/>
      <c r="R197" s="4863"/>
      <c r="S197" s="4746"/>
      <c r="T197" s="4746"/>
      <c r="U197" s="4746"/>
      <c r="V197" s="4746"/>
    </row>
    <row r="198" spans="1:22" ht="13.5" thickBot="1">
      <c r="A198" s="4864"/>
      <c r="B198" s="4748" t="s">
        <v>317</v>
      </c>
      <c r="C198" s="4749"/>
      <c r="D198" s="4750"/>
      <c r="E198" s="4751">
        <f>F198+G198+H198+I198+J198+K198+L198+M198</f>
        <v>0</v>
      </c>
      <c r="F198" s="4752"/>
      <c r="G198" s="4822"/>
      <c r="H198" s="4752"/>
      <c r="I198" s="4752"/>
      <c r="J198" s="4752"/>
      <c r="K198" s="4752"/>
      <c r="L198" s="4752"/>
      <c r="M198" s="4752"/>
      <c r="N198" s="4865"/>
      <c r="O198" s="4865"/>
      <c r="P198" s="4865"/>
      <c r="Q198" s="4865"/>
      <c r="R198" s="4753"/>
      <c r="S198" s="4753"/>
      <c r="T198" s="4753"/>
      <c r="U198" s="4753"/>
      <c r="V198" s="4753"/>
    </row>
    <row r="199" spans="1:22" s="4708" customFormat="1" ht="13.5" thickBot="1">
      <c r="A199" s="4869"/>
      <c r="B199" s="4870" t="s">
        <v>343</v>
      </c>
      <c r="C199" s="4871"/>
      <c r="D199" s="4872"/>
      <c r="E199" s="4873"/>
      <c r="F199" s="4874"/>
      <c r="G199" s="4875"/>
      <c r="H199" s="4874"/>
      <c r="I199" s="4874"/>
      <c r="J199" s="4874"/>
      <c r="K199" s="4874"/>
      <c r="L199" s="4874"/>
      <c r="M199" s="4874"/>
      <c r="N199" s="4875"/>
      <c r="O199" s="4875"/>
      <c r="P199" s="4875"/>
      <c r="Q199" s="4875"/>
      <c r="R199" s="4876"/>
      <c r="S199" s="4876"/>
      <c r="T199" s="4876"/>
      <c r="U199" s="4876"/>
      <c r="V199" s="4876"/>
    </row>
    <row r="200" spans="1:22" s="4708" customFormat="1" ht="15" customHeight="1" thickBot="1">
      <c r="A200" s="4810"/>
      <c r="B200" s="4877" t="s">
        <v>504</v>
      </c>
      <c r="C200" s="4838"/>
      <c r="D200" s="4839"/>
      <c r="E200" s="4878"/>
      <c r="F200" s="4879"/>
      <c r="G200" s="4843"/>
      <c r="H200" s="4879"/>
      <c r="I200" s="4879"/>
      <c r="J200" s="4879"/>
      <c r="K200" s="4879"/>
      <c r="L200" s="4879"/>
      <c r="M200" s="4879"/>
      <c r="N200" s="4843"/>
      <c r="O200" s="4843"/>
      <c r="P200" s="4843"/>
      <c r="Q200" s="4843"/>
      <c r="R200" s="4844"/>
      <c r="S200" s="4844"/>
      <c r="T200" s="4844"/>
      <c r="U200" s="4844"/>
      <c r="V200" s="4844"/>
    </row>
    <row r="201" spans="1:22" s="4708" customFormat="1" ht="24.75" customHeight="1">
      <c r="A201" s="4717"/>
      <c r="B201" s="4718" t="str">
        <f>'Tab. 6A -Drogi'!B79</f>
        <v>Budowa obejścia m. Szczecinek w ciągu drogi nr 172 w ramach Osi II RPO (2009-2018)</v>
      </c>
      <c r="C201" s="4719"/>
      <c r="D201" s="4720">
        <f>E204/E202%</f>
        <v>58.388382877923462</v>
      </c>
      <c r="E201" s="4721"/>
      <c r="F201" s="4722"/>
      <c r="G201" s="4723"/>
      <c r="H201" s="4722"/>
      <c r="I201" s="4722"/>
      <c r="J201" s="4722"/>
      <c r="K201" s="4722"/>
      <c r="L201" s="4722"/>
      <c r="M201" s="4722"/>
      <c r="N201" s="4857"/>
      <c r="O201" s="4857"/>
      <c r="P201" s="4857"/>
      <c r="Q201" s="4857"/>
      <c r="R201" s="4858"/>
      <c r="S201" s="4725"/>
      <c r="T201" s="4725"/>
      <c r="U201" s="4725"/>
      <c r="V201" s="4725"/>
    </row>
    <row r="202" spans="1:22" s="4708" customFormat="1" ht="13.5" customHeight="1">
      <c r="A202" s="4726"/>
      <c r="B202" s="4727" t="s">
        <v>195</v>
      </c>
      <c r="C202" s="4728"/>
      <c r="D202" s="4729"/>
      <c r="E202" s="4730">
        <f>+F202+G202+H202+I202+J202+K202+L202+M202</f>
        <v>21340776</v>
      </c>
      <c r="F202" s="4731">
        <f>'Tab. 6A -Drogi'!E80</f>
        <v>21203332</v>
      </c>
      <c r="G202" s="4731">
        <f>'Tab. 6A -Drogi'!F80</f>
        <v>110369</v>
      </c>
      <c r="H202" s="4731">
        <f>'Tab. 6A -Drogi'!G80</f>
        <v>27075</v>
      </c>
      <c r="I202" s="4731"/>
      <c r="J202" s="4731"/>
      <c r="K202" s="4731"/>
      <c r="L202" s="4731"/>
      <c r="M202" s="4731"/>
      <c r="N202" s="4860"/>
      <c r="O202" s="4860"/>
      <c r="P202" s="4860"/>
      <c r="Q202" s="4860"/>
      <c r="R202" s="4733"/>
      <c r="S202" s="4733"/>
      <c r="T202" s="4733"/>
      <c r="U202" s="4733"/>
      <c r="V202" s="4733"/>
    </row>
    <row r="203" spans="1:22" s="4708" customFormat="1" ht="13.5" customHeight="1">
      <c r="A203" s="4726"/>
      <c r="B203" s="4734" t="s">
        <v>320</v>
      </c>
      <c r="C203" s="4735"/>
      <c r="D203" s="4736"/>
      <c r="E203" s="4737">
        <f>+F203+G203+H203+I203+J203+K203+L203+M203</f>
        <v>8880242</v>
      </c>
      <c r="F203" s="4738">
        <f>'Tab. 6A -Drogi'!E81</f>
        <v>8742798</v>
      </c>
      <c r="G203" s="4738">
        <f>'Tab. 6A -Drogi'!F81</f>
        <v>110369</v>
      </c>
      <c r="H203" s="4738">
        <f>'Tab. 6A -Drogi'!G81</f>
        <v>27075</v>
      </c>
      <c r="I203" s="4738"/>
      <c r="J203" s="4738"/>
      <c r="K203" s="4738"/>
      <c r="L203" s="4738"/>
      <c r="M203" s="4738"/>
      <c r="N203" s="4861"/>
      <c r="O203" s="4861"/>
      <c r="P203" s="4861"/>
      <c r="Q203" s="4861"/>
      <c r="R203" s="4739"/>
      <c r="S203" s="4739"/>
      <c r="T203" s="4739"/>
      <c r="U203" s="4739"/>
      <c r="V203" s="4739"/>
    </row>
    <row r="204" spans="1:22" s="4708" customFormat="1" ht="13.5" customHeight="1" thickBot="1">
      <c r="A204" s="4726"/>
      <c r="B204" s="4740" t="s">
        <v>197</v>
      </c>
      <c r="C204" s="4754">
        <f>E204-E205</f>
        <v>0</v>
      </c>
      <c r="D204" s="4742"/>
      <c r="E204" s="4743">
        <f>+F204+G204+H204+I204+J204+K204+L204+M204</f>
        <v>12460534</v>
      </c>
      <c r="F204" s="4744">
        <f>'Tab. 6A -Drogi'!E84</f>
        <v>12460534</v>
      </c>
      <c r="G204" s="4744">
        <f>'Tab. 6A -Drogi'!F84</f>
        <v>0</v>
      </c>
      <c r="H204" s="4744"/>
      <c r="I204" s="4744"/>
      <c r="J204" s="4744"/>
      <c r="K204" s="4744"/>
      <c r="L204" s="4744"/>
      <c r="M204" s="4744"/>
      <c r="N204" s="4862"/>
      <c r="O204" s="4862"/>
      <c r="P204" s="4862"/>
      <c r="Q204" s="4862"/>
      <c r="R204" s="4863"/>
      <c r="S204" s="4746"/>
      <c r="T204" s="4746"/>
      <c r="U204" s="4746"/>
      <c r="V204" s="4746"/>
    </row>
    <row r="205" spans="1:22" s="4708" customFormat="1" ht="13.5" customHeight="1" thickBot="1">
      <c r="A205" s="4747"/>
      <c r="B205" s="4748" t="s">
        <v>317</v>
      </c>
      <c r="C205" s="4880"/>
      <c r="D205" s="4881"/>
      <c r="E205" s="4882">
        <f>F205+G205+H205+I205+J205+K205+L205+M205</f>
        <v>12460534</v>
      </c>
      <c r="F205" s="4883">
        <f>'Tab. 6A -Drogi'!E89</f>
        <v>12460534</v>
      </c>
      <c r="G205" s="4883">
        <f>'Tab. 6A -Drogi'!F89</f>
        <v>0</v>
      </c>
      <c r="H205" s="4883"/>
      <c r="I205" s="4883"/>
      <c r="J205" s="4883"/>
      <c r="K205" s="4883"/>
      <c r="L205" s="4883"/>
      <c r="M205" s="4883"/>
      <c r="N205" s="4865"/>
      <c r="O205" s="4865"/>
      <c r="P205" s="4865"/>
      <c r="Q205" s="4865"/>
      <c r="R205" s="4753"/>
      <c r="S205" s="4753"/>
      <c r="T205" s="4753"/>
      <c r="U205" s="4753"/>
      <c r="V205" s="4753"/>
    </row>
    <row r="206" spans="1:22" s="4686" customFormat="1" ht="22.5" customHeight="1" thickBot="1">
      <c r="A206" s="4884"/>
      <c r="B206" s="4885" t="s">
        <v>482</v>
      </c>
      <c r="C206" s="4886"/>
      <c r="D206" s="4887"/>
      <c r="E206" s="4888"/>
      <c r="F206" s="4889"/>
      <c r="G206" s="4889"/>
      <c r="H206" s="4889"/>
      <c r="I206" s="4889"/>
      <c r="J206" s="4889"/>
      <c r="K206" s="4889"/>
      <c r="L206" s="4889"/>
      <c r="M206" s="4889"/>
      <c r="N206" s="4890"/>
      <c r="O206" s="4890"/>
      <c r="P206" s="4890"/>
      <c r="Q206" s="4890"/>
      <c r="R206" s="4891"/>
      <c r="S206" s="4890"/>
      <c r="T206" s="4890"/>
      <c r="U206" s="4890"/>
      <c r="V206" s="4890"/>
    </row>
    <row r="207" spans="1:22" ht="18" customHeight="1" thickBot="1">
      <c r="A207" s="4687" t="s">
        <v>384</v>
      </c>
      <c r="B207" s="4892" t="s">
        <v>389</v>
      </c>
      <c r="C207" s="4893" t="s">
        <v>382</v>
      </c>
      <c r="D207" s="4894"/>
      <c r="E207" s="4895">
        <f>E215+E220+E225+E230+E235+E240+E245+E250+E255+E260+E265+E270+E275+E280+E285+E290+E295+E403+E410+E380+E300+E305+E310+E315+E320+E325+E330+E335+E340+E345+E350+E355+E360+E365+E370+E375+E385+E390+E395</f>
        <v>353241668</v>
      </c>
      <c r="F207" s="4895">
        <f>F215+F220+F225+F230+F235+F240+F245+F250+F255+F260+F265+F270+F275+F280+F285+F290+F295+F403+F410+F380+F300+F305+F310+F315+F320+F325+F330+F335+F340+F345+F350+F355+F360+F365+F370+F375+F385+F390+F395</f>
        <v>30842361</v>
      </c>
      <c r="G207" s="4895">
        <f t="shared" ref="G207:M207" si="4">G215+G220+G225+G230+G235+G240+G245+G250+G255+G260+G265+G270+G275+G280+G285+G290+G295+G403+G410+G380+G300+G305+G310+G315+G320+G325+G330+G335+G340+G345+G350+G355+G360+G365+G370+G375+G385+G390+G395</f>
        <v>38595791</v>
      </c>
      <c r="H207" s="4895">
        <f t="shared" si="4"/>
        <v>56930755</v>
      </c>
      <c r="I207" s="4895">
        <f t="shared" si="4"/>
        <v>69009538</v>
      </c>
      <c r="J207" s="4895">
        <f t="shared" si="4"/>
        <v>42298744</v>
      </c>
      <c r="K207" s="4895">
        <f t="shared" si="4"/>
        <v>36841686</v>
      </c>
      <c r="L207" s="4895">
        <f t="shared" si="4"/>
        <v>34096428</v>
      </c>
      <c r="M207" s="4895">
        <f t="shared" si="4"/>
        <v>31209651</v>
      </c>
      <c r="N207" s="4896"/>
      <c r="O207" s="4896"/>
      <c r="P207" s="4896"/>
      <c r="Q207" s="4896"/>
      <c r="R207" s="4897"/>
      <c r="S207" s="4898"/>
      <c r="T207" s="4898"/>
      <c r="U207" s="4898"/>
      <c r="V207" s="4898"/>
    </row>
    <row r="208" spans="1:22" ht="18" customHeight="1" thickBot="1">
      <c r="A208" s="4899" t="s">
        <v>383</v>
      </c>
      <c r="B208" s="4900" t="s">
        <v>390</v>
      </c>
      <c r="C208" s="4696"/>
      <c r="D208" s="4697"/>
      <c r="E208" s="4698">
        <f>E212+E217+E222+E227+E400+E232+E237+E242+E247+E252+E257+E262+E267+E272+E277+E282+E287+E407+E377+E292+E297+E302+E307+E312+E317+E322+E327+E332+E337+E342+E347+E352+E357+E362+E367+E372+E382+E387+E392</f>
        <v>424150974</v>
      </c>
      <c r="F208" s="4698">
        <f t="shared" ref="F208:M208" si="5">F212+F217+F222+F227+F400+F232+F237+F242+F247+F252+F257+F262+F267+F272+F277+F282+F287+F407+F377+F292+F297+F302+F307+F312+F317+F322+F327+F332+F337+F342+F347+F352+F357+F362+F367+F372+F382+F387+F392</f>
        <v>45879756</v>
      </c>
      <c r="G208" s="4698">
        <f t="shared" si="5"/>
        <v>46351953</v>
      </c>
      <c r="H208" s="4698">
        <f t="shared" si="5"/>
        <v>69027103</v>
      </c>
      <c r="I208" s="4698">
        <f t="shared" si="5"/>
        <v>80471342</v>
      </c>
      <c r="J208" s="4698">
        <f t="shared" si="5"/>
        <v>64325030</v>
      </c>
      <c r="K208" s="4698">
        <f t="shared" si="5"/>
        <v>43469276</v>
      </c>
      <c r="L208" s="4698">
        <f t="shared" si="5"/>
        <v>38806835</v>
      </c>
      <c r="M208" s="4698">
        <f t="shared" si="5"/>
        <v>35819679</v>
      </c>
      <c r="N208" s="4901"/>
      <c r="O208" s="4901"/>
      <c r="P208" s="4901"/>
      <c r="Q208" s="4901"/>
      <c r="R208" s="4902"/>
      <c r="S208" s="4903"/>
      <c r="T208" s="4903"/>
      <c r="U208" s="4903"/>
      <c r="V208" s="4903"/>
    </row>
    <row r="209" spans="1:22" s="4708" customFormat="1" ht="14.25" customHeight="1">
      <c r="A209" s="4904"/>
      <c r="B209" s="4905" t="s">
        <v>381</v>
      </c>
      <c r="C209" s="4906">
        <f>E207-E210</f>
        <v>0</v>
      </c>
      <c r="D209" s="4907"/>
      <c r="E209" s="4908"/>
      <c r="F209" s="4908"/>
      <c r="G209" s="4908"/>
      <c r="H209" s="4908"/>
      <c r="I209" s="4908"/>
      <c r="J209" s="4908"/>
      <c r="K209" s="4908"/>
      <c r="L209" s="4908"/>
      <c r="M209" s="4908"/>
      <c r="N209" s="4908"/>
      <c r="O209" s="4908"/>
      <c r="P209" s="4908"/>
      <c r="Q209" s="4908"/>
      <c r="R209" s="4909"/>
      <c r="S209" s="4910"/>
      <c r="T209" s="4910"/>
      <c r="U209" s="4910"/>
      <c r="V209" s="4910"/>
    </row>
    <row r="210" spans="1:22" ht="18" customHeight="1" thickBot="1">
      <c r="A210" s="4911" t="s">
        <v>391</v>
      </c>
      <c r="B210" s="4710" t="s">
        <v>428</v>
      </c>
      <c r="C210" s="4912" t="s">
        <v>382</v>
      </c>
      <c r="D210" s="4913"/>
      <c r="E210" s="4901">
        <f>E214+E219+E224+E229+E234+E239+E244+E249+E254+E259+E264+E269+E274+E279+E284+E289+E294+E299+E304+E309+E409+E379+E402+E314+E319+E324+E329+E334+E339+E344+E349+E354+E359+E364+E369+E374+E384+E389+E394</f>
        <v>353241668</v>
      </c>
      <c r="F210" s="4901">
        <f t="shared" ref="F210:M210" si="6">F214+F219+F224+F229+F234+F239+F244+F249+F254+F259+F264+F269+F274+F279+F284+F289+F294+F299+F304+F309+F409+F379+F402+F314+F319+F324+F329+F334+F339+F344+F349+F354+F359+F364+F369+F374+F384+F389+F394</f>
        <v>36889115</v>
      </c>
      <c r="G210" s="4901">
        <f t="shared" si="6"/>
        <v>37484962</v>
      </c>
      <c r="H210" s="4901">
        <f t="shared" si="6"/>
        <v>57230337</v>
      </c>
      <c r="I210" s="4901">
        <f t="shared" si="6"/>
        <v>68090216</v>
      </c>
      <c r="J210" s="4901">
        <f t="shared" si="6"/>
        <v>53078966</v>
      </c>
      <c r="K210" s="4901">
        <f t="shared" si="6"/>
        <v>36117921</v>
      </c>
      <c r="L210" s="4901">
        <f t="shared" si="6"/>
        <v>33538688</v>
      </c>
      <c r="M210" s="4901">
        <f t="shared" si="6"/>
        <v>30811463</v>
      </c>
      <c r="N210" s="4914"/>
      <c r="O210" s="4915"/>
      <c r="P210" s="4915"/>
      <c r="Q210" s="4915"/>
      <c r="R210" s="4916"/>
      <c r="S210" s="4903"/>
      <c r="T210" s="4903"/>
      <c r="U210" s="4903"/>
      <c r="V210" s="4903"/>
    </row>
    <row r="211" spans="1:22" ht="63.75" customHeight="1">
      <c r="A211" s="4717" t="s">
        <v>55</v>
      </c>
      <c r="B211" s="4718" t="str">
        <f>'Tab. 6B Polit społ i rozwój prz'!B61</f>
        <v>Oś Priorytetowa VI, Pomoc Techniczna w ramach  PO WER 2014 - 2020 (2015-2023)</v>
      </c>
      <c r="C211" s="4719" t="s">
        <v>330</v>
      </c>
      <c r="D211" s="4917">
        <f>E214/E212%</f>
        <v>84.280003031825089</v>
      </c>
      <c r="E211" s="4918"/>
      <c r="F211" s="4919"/>
      <c r="G211" s="4920"/>
      <c r="H211" s="4919"/>
      <c r="I211" s="4919"/>
      <c r="J211" s="4919"/>
      <c r="K211" s="4920"/>
      <c r="L211" s="4920"/>
      <c r="M211" s="4919"/>
      <c r="N211" s="4921"/>
      <c r="O211" s="4857"/>
      <c r="P211" s="4857"/>
      <c r="Q211" s="4857"/>
      <c r="R211" s="4858"/>
      <c r="S211" s="4725"/>
      <c r="T211" s="4725"/>
      <c r="U211" s="4725"/>
      <c r="V211" s="4725"/>
    </row>
    <row r="212" spans="1:22" ht="17.25" customHeight="1">
      <c r="A212" s="4726"/>
      <c r="B212" s="4727" t="s">
        <v>195</v>
      </c>
      <c r="C212" s="4728"/>
      <c r="D212" s="4729"/>
      <c r="E212" s="4730">
        <f>+F212+G212+H212+I212+J212+K212+L212+M212</f>
        <v>12441351</v>
      </c>
      <c r="F212" s="4731">
        <f>'Tab. 6B Polit społ i rozwój prz'!E62</f>
        <v>1741141</v>
      </c>
      <c r="G212" s="4731">
        <f>'Tab. 6B Polit społ i rozwój prz'!F62</f>
        <v>1271441</v>
      </c>
      <c r="H212" s="4731">
        <f>'Tab. 6B Polit społ i rozwój prz'!G62</f>
        <v>2030017</v>
      </c>
      <c r="I212" s="4731">
        <f>'Tab. 6B Polit społ i rozwój prz'!H62</f>
        <v>1885382</v>
      </c>
      <c r="J212" s="4731">
        <f>'Tab. 6B Polit społ i rozwój prz'!I62</f>
        <v>1885382</v>
      </c>
      <c r="K212" s="4731">
        <f>'Tab. 6B Polit społ i rozwój prz'!J62</f>
        <v>1855719</v>
      </c>
      <c r="L212" s="4731">
        <f>'Tab. 6B Polit społ i rozwój prz'!K62</f>
        <v>886134</v>
      </c>
      <c r="M212" s="4731">
        <f>'Tab. 6B Polit społ i rozwój prz'!L62</f>
        <v>886135</v>
      </c>
      <c r="N212" s="4731"/>
      <c r="O212" s="4731"/>
      <c r="P212" s="4731"/>
      <c r="Q212" s="4731"/>
      <c r="R212" s="4732"/>
      <c r="S212" s="4733"/>
      <c r="T212" s="4733"/>
      <c r="U212" s="4733"/>
      <c r="V212" s="4733"/>
    </row>
    <row r="213" spans="1:22" ht="13.5" customHeight="1">
      <c r="A213" s="4726"/>
      <c r="B213" s="4734" t="s">
        <v>320</v>
      </c>
      <c r="C213" s="4735"/>
      <c r="D213" s="4736"/>
      <c r="E213" s="4737">
        <f>+F213+G213+H213+I213+J213+K213+L213+M213</f>
        <v>1955780</v>
      </c>
      <c r="F213" s="4738">
        <f>'Tab. 6B Polit społ i rozwój prz'!E63</f>
        <v>273708</v>
      </c>
      <c r="G213" s="4738">
        <f>'Tab. 6B Polit społ i rozwój prz'!F63</f>
        <v>199870</v>
      </c>
      <c r="H213" s="4738">
        <f>'Tab. 6B Polit społ i rozwój prz'!G63</f>
        <v>319119</v>
      </c>
      <c r="I213" s="4738">
        <f>'Tab. 6B Polit społ i rozwój prz'!H63</f>
        <v>296382</v>
      </c>
      <c r="J213" s="4738">
        <f>'Tab. 6B Polit społ i rozwój prz'!I63</f>
        <v>296382</v>
      </c>
      <c r="K213" s="4738">
        <f>'Tab. 6B Polit społ i rozwój prz'!J63</f>
        <v>291719</v>
      </c>
      <c r="L213" s="4738">
        <f>'Tab. 6B Polit społ i rozwój prz'!K63</f>
        <v>139300</v>
      </c>
      <c r="M213" s="4738">
        <f>'Tab. 6B Polit społ i rozwój prz'!L63</f>
        <v>139300</v>
      </c>
      <c r="N213" s="4738"/>
      <c r="O213" s="4738"/>
      <c r="P213" s="4738"/>
      <c r="Q213" s="4738"/>
      <c r="R213" s="4739"/>
      <c r="S213" s="4739"/>
      <c r="T213" s="4739"/>
      <c r="U213" s="4739"/>
      <c r="V213" s="4739"/>
    </row>
    <row r="214" spans="1:22" ht="13.5" customHeight="1" thickBot="1">
      <c r="A214" s="4726"/>
      <c r="B214" s="4740" t="s">
        <v>197</v>
      </c>
      <c r="C214" s="4754">
        <f>E214-E215</f>
        <v>0</v>
      </c>
      <c r="D214" s="4742"/>
      <c r="E214" s="4743">
        <f>+F214+G214+H214+I214+J214+K214+L214+M214</f>
        <v>10485571</v>
      </c>
      <c r="F214" s="4744">
        <f>'Tab. 6B Polit społ i rozwój prz'!E66</f>
        <v>1467433</v>
      </c>
      <c r="G214" s="4744">
        <f>'Tab. 6B Polit społ i rozwój prz'!F66</f>
        <v>1071571</v>
      </c>
      <c r="H214" s="4744">
        <f>'Tab. 6B Polit społ i rozwój prz'!G66</f>
        <v>1710898</v>
      </c>
      <c r="I214" s="4744">
        <f>'Tab. 6B Polit społ i rozwój prz'!H66</f>
        <v>1589000</v>
      </c>
      <c r="J214" s="4744">
        <f>'Tab. 6B Polit społ i rozwój prz'!I66</f>
        <v>1589000</v>
      </c>
      <c r="K214" s="4744">
        <f>'Tab. 6B Polit społ i rozwój prz'!J66</f>
        <v>1564000</v>
      </c>
      <c r="L214" s="4744">
        <f>'Tab. 6B Polit społ i rozwój prz'!K66</f>
        <v>746834</v>
      </c>
      <c r="M214" s="4744">
        <f>'Tab. 6B Polit społ i rozwój prz'!L66</f>
        <v>746835</v>
      </c>
      <c r="N214" s="4744"/>
      <c r="O214" s="4744"/>
      <c r="P214" s="4744"/>
      <c r="Q214" s="4744"/>
      <c r="R214" s="4745"/>
      <c r="S214" s="4746"/>
      <c r="T214" s="4746"/>
      <c r="U214" s="4746"/>
      <c r="V214" s="4746"/>
    </row>
    <row r="215" spans="1:22" ht="14.25" customHeight="1" thickBot="1">
      <c r="A215" s="4747"/>
      <c r="B215" s="4748" t="s">
        <v>317</v>
      </c>
      <c r="C215" s="4749"/>
      <c r="D215" s="4750"/>
      <c r="E215" s="4751">
        <f>F215+G215+H215+I215+J215+K215+L215+M215</f>
        <v>10485571</v>
      </c>
      <c r="F215" s="4752">
        <f>'Tab. 6B Polit społ i rozwój prz'!E71</f>
        <v>1467433</v>
      </c>
      <c r="G215" s="4752">
        <f>'Tab. 6B Polit społ i rozwój prz'!F71</f>
        <v>1071571</v>
      </c>
      <c r="H215" s="4752">
        <f>'Tab. 6B Polit społ i rozwój prz'!G71</f>
        <v>1710898</v>
      </c>
      <c r="I215" s="4752">
        <f>'Tab. 6B Polit społ i rozwój prz'!H71</f>
        <v>1589000</v>
      </c>
      <c r="J215" s="4752">
        <f>'Tab. 6B Polit społ i rozwój prz'!I71</f>
        <v>1589000</v>
      </c>
      <c r="K215" s="4752">
        <f>'Tab. 6B Polit społ i rozwój prz'!J71</f>
        <v>1564000</v>
      </c>
      <c r="L215" s="4752">
        <f>'Tab. 6B Polit społ i rozwój prz'!K71</f>
        <v>746834</v>
      </c>
      <c r="M215" s="4752">
        <f>'Tab. 6B Polit społ i rozwój prz'!L71</f>
        <v>746835</v>
      </c>
      <c r="N215" s="4752"/>
      <c r="O215" s="4752"/>
      <c r="P215" s="4752"/>
      <c r="Q215" s="4752"/>
      <c r="R215" s="4753"/>
      <c r="S215" s="4753"/>
      <c r="T215" s="4753"/>
      <c r="U215" s="4753"/>
      <c r="V215" s="4753"/>
    </row>
    <row r="216" spans="1:22" ht="42" customHeight="1">
      <c r="A216" s="4717" t="s">
        <v>56</v>
      </c>
      <c r="B216" s="4718" t="str">
        <f>'Tab. 6B Polit społ i rozwój prz'!B24</f>
        <v>Wspieranie innowacyjnych ekosystemów przedsiębiorczości w regionach na rzecz młodych przedsiębiorców (iEER) w ramach Interreg VC (2016-2020)</v>
      </c>
      <c r="C216" s="4719" t="s">
        <v>332</v>
      </c>
      <c r="D216" s="4720">
        <f>E219/E217%</f>
        <v>84.302571364074794</v>
      </c>
      <c r="E216" s="4721"/>
      <c r="F216" s="4722"/>
      <c r="G216" s="4723"/>
      <c r="H216" s="4722"/>
      <c r="I216" s="4722"/>
      <c r="J216" s="4722"/>
      <c r="K216" s="4723"/>
      <c r="L216" s="4723"/>
      <c r="M216" s="4722"/>
      <c r="N216" s="4722"/>
      <c r="O216" s="4722"/>
      <c r="P216" s="4722"/>
      <c r="Q216" s="4722"/>
      <c r="R216" s="4724"/>
      <c r="S216" s="4725"/>
      <c r="T216" s="4725"/>
      <c r="U216" s="4725"/>
      <c r="V216" s="4725"/>
    </row>
    <row r="217" spans="1:22" ht="17.25" customHeight="1">
      <c r="A217" s="4726"/>
      <c r="B217" s="4727" t="s">
        <v>195</v>
      </c>
      <c r="C217" s="4728"/>
      <c r="D217" s="4729"/>
      <c r="E217" s="4730">
        <f>+F217+G217+H217+I217+J217+K217+L217+M217</f>
        <v>487290</v>
      </c>
      <c r="F217" s="4731">
        <f>'Tab. 6B Polit społ i rozwój prz'!E25</f>
        <v>53431</v>
      </c>
      <c r="G217" s="4731">
        <f>'Tab. 6B Polit społ i rozwój prz'!F25</f>
        <v>203738</v>
      </c>
      <c r="H217" s="4731">
        <f>'Tab. 6B Polit społ i rozwój prz'!G25</f>
        <v>183147</v>
      </c>
      <c r="I217" s="4731">
        <f>'Tab. 6B Polit społ i rozwój prz'!H25</f>
        <v>30624</v>
      </c>
      <c r="J217" s="4731">
        <f>'Tab. 6B Polit społ i rozwój prz'!I25</f>
        <v>16350</v>
      </c>
      <c r="K217" s="4731">
        <f>'Tab. 6B Polit społ i rozwój prz'!J25</f>
        <v>0</v>
      </c>
      <c r="L217" s="4731">
        <f>'Tab. 6B Polit społ i rozwój prz'!K25</f>
        <v>0</v>
      </c>
      <c r="M217" s="4731">
        <f>'Tab. 6B Polit społ i rozwój prz'!L25</f>
        <v>0</v>
      </c>
      <c r="N217" s="4731"/>
      <c r="O217" s="4731"/>
      <c r="P217" s="4731"/>
      <c r="Q217" s="4731"/>
      <c r="R217" s="4732"/>
      <c r="S217" s="4733"/>
      <c r="T217" s="4733"/>
      <c r="U217" s="4733"/>
      <c r="V217" s="4733"/>
    </row>
    <row r="218" spans="1:22" ht="13.5" customHeight="1">
      <c r="A218" s="4726"/>
      <c r="B218" s="4734" t="s">
        <v>320</v>
      </c>
      <c r="C218" s="4735"/>
      <c r="D218" s="4736"/>
      <c r="E218" s="4737">
        <f>+F218+G218+H218+I218+J218+K218+L218+M218</f>
        <v>76492</v>
      </c>
      <c r="F218" s="4738">
        <f>'Tab. 6B Polit społ i rozwój prz'!E26</f>
        <v>8209</v>
      </c>
      <c r="G218" s="4738">
        <f>'Tab. 6B Polit społ i rozwój prz'!F26</f>
        <v>31051</v>
      </c>
      <c r="H218" s="4738">
        <f>'Tab. 6B Polit społ i rozwój prz'!G26</f>
        <v>28826</v>
      </c>
      <c r="I218" s="4738">
        <f>'Tab. 6B Polit społ i rozwój prz'!H26</f>
        <v>5273</v>
      </c>
      <c r="J218" s="4738">
        <f>'Tab. 6B Polit społ i rozwój prz'!I26</f>
        <v>3133</v>
      </c>
      <c r="K218" s="4738">
        <f>'Tab. 6B Polit społ i rozwój prz'!J26</f>
        <v>0</v>
      </c>
      <c r="L218" s="4738">
        <f>'Tab. 6B Polit społ i rozwój prz'!K26</f>
        <v>0</v>
      </c>
      <c r="M218" s="4738">
        <f>'Tab. 6B Polit społ i rozwój prz'!L26</f>
        <v>0</v>
      </c>
      <c r="N218" s="4738"/>
      <c r="O218" s="4738"/>
      <c r="P218" s="4738"/>
      <c r="Q218" s="4738"/>
      <c r="R218" s="4739"/>
      <c r="S218" s="4739"/>
      <c r="T218" s="4739"/>
      <c r="U218" s="4739"/>
      <c r="V218" s="4739"/>
    </row>
    <row r="219" spans="1:22" ht="13.5" customHeight="1" thickBot="1">
      <c r="A219" s="4726"/>
      <c r="B219" s="4740" t="s">
        <v>197</v>
      </c>
      <c r="C219" s="4754">
        <f>E219-E220</f>
        <v>0</v>
      </c>
      <c r="D219" s="4742"/>
      <c r="E219" s="4743">
        <f>+F219+G219+H219+I219+J219+K219+L219+M219</f>
        <v>410798</v>
      </c>
      <c r="F219" s="4744">
        <f>'Tab. 6B Polit społ i rozwój prz'!E32</f>
        <v>45222</v>
      </c>
      <c r="G219" s="4744">
        <f>'Tab. 6B Polit społ i rozwój prz'!F32</f>
        <v>172687</v>
      </c>
      <c r="H219" s="4744">
        <f>'Tab. 6B Polit społ i rozwój prz'!G32</f>
        <v>154321</v>
      </c>
      <c r="I219" s="4744">
        <f>'Tab. 6B Polit społ i rozwój prz'!H32</f>
        <v>25351</v>
      </c>
      <c r="J219" s="4744">
        <f>'Tab. 6B Polit społ i rozwój prz'!I32</f>
        <v>13217</v>
      </c>
      <c r="K219" s="4744">
        <f>'Tab. 6B Polit społ i rozwój prz'!J32</f>
        <v>0</v>
      </c>
      <c r="L219" s="4744">
        <f>'Tab. 6B Polit społ i rozwój prz'!K32</f>
        <v>0</v>
      </c>
      <c r="M219" s="4744">
        <f>'Tab. 6B Polit społ i rozwój prz'!L32</f>
        <v>0</v>
      </c>
      <c r="N219" s="4744"/>
      <c r="O219" s="4744"/>
      <c r="P219" s="4744"/>
      <c r="Q219" s="4744"/>
      <c r="R219" s="4745"/>
      <c r="S219" s="4746"/>
      <c r="T219" s="4746"/>
      <c r="U219" s="4746"/>
      <c r="V219" s="4746"/>
    </row>
    <row r="220" spans="1:22" ht="13.5" thickBot="1">
      <c r="A220" s="4747"/>
      <c r="B220" s="4748" t="s">
        <v>317</v>
      </c>
      <c r="C220" s="4749"/>
      <c r="D220" s="4750"/>
      <c r="E220" s="4751">
        <f>F220+G220+H220+I220+J220+K220+L220+M220</f>
        <v>410798</v>
      </c>
      <c r="F220" s="4752">
        <f>'Tab. 6B Polit społ i rozwój prz'!E41</f>
        <v>0</v>
      </c>
      <c r="G220" s="4752">
        <f>'Tab. 6B Polit społ i rozwój prz'!F41</f>
        <v>84212</v>
      </c>
      <c r="H220" s="4752">
        <f>'Tab. 6B Polit społ i rozwój prz'!G41</f>
        <v>176983</v>
      </c>
      <c r="I220" s="4752">
        <f>'Tab. 6B Polit społ i rozwój prz'!H41</f>
        <v>114384</v>
      </c>
      <c r="J220" s="4752">
        <f>'Tab. 6B Polit społ i rozwój prz'!I41</f>
        <v>35219</v>
      </c>
      <c r="K220" s="4752">
        <f>'Tab. 6B Polit społ i rozwój prz'!J41</f>
        <v>0</v>
      </c>
      <c r="L220" s="4752">
        <f>'Tab. 6B Polit społ i rozwój prz'!K41</f>
        <v>0</v>
      </c>
      <c r="M220" s="4752">
        <f>'Tab. 6B Polit społ i rozwój prz'!L41</f>
        <v>0</v>
      </c>
      <c r="N220" s="4752"/>
      <c r="O220" s="4752"/>
      <c r="P220" s="4752"/>
      <c r="Q220" s="4752"/>
      <c r="R220" s="4753"/>
      <c r="S220" s="4753"/>
      <c r="T220" s="4753"/>
      <c r="U220" s="4753"/>
      <c r="V220" s="4753"/>
    </row>
    <row r="221" spans="1:22" ht="57.75" customHeight="1">
      <c r="A221" s="4717" t="s">
        <v>57</v>
      </c>
      <c r="B221" s="4718" t="str">
        <f>'Tab. 6B Polit społ i rozwój prz'!B135</f>
        <v>Wzmocnienie pozycji regionalnej gospodarki, Pomorze Zachodnie - Ster na innowacje w ramach osi I RPO WZ - wydatki bieżące (2017-2020)</v>
      </c>
      <c r="C221" s="4719" t="s">
        <v>557</v>
      </c>
      <c r="D221" s="4720">
        <f>E224/E222%</f>
        <v>100</v>
      </c>
      <c r="E221" s="4721"/>
      <c r="F221" s="4722"/>
      <c r="G221" s="4723"/>
      <c r="H221" s="4722"/>
      <c r="I221" s="4722"/>
      <c r="J221" s="4722"/>
      <c r="K221" s="4723"/>
      <c r="L221" s="4723"/>
      <c r="M221" s="4722"/>
      <c r="N221" s="4722"/>
      <c r="O221" s="4722"/>
      <c r="P221" s="4722"/>
      <c r="Q221" s="4722"/>
      <c r="R221" s="4724"/>
      <c r="S221" s="4725"/>
      <c r="T221" s="4725"/>
      <c r="U221" s="4725"/>
      <c r="V221" s="4725"/>
    </row>
    <row r="222" spans="1:22" ht="13.5" customHeight="1">
      <c r="A222" s="4726"/>
      <c r="B222" s="4727" t="s">
        <v>195</v>
      </c>
      <c r="C222" s="4728"/>
      <c r="D222" s="4729"/>
      <c r="E222" s="4730">
        <f>+F222+G222+H222+I222+J222+K222+L222+M222</f>
        <v>13580221</v>
      </c>
      <c r="F222" s="4731"/>
      <c r="G222" s="4731">
        <f>'Tab. 6B Polit społ i rozwój prz'!F136</f>
        <v>262804</v>
      </c>
      <c r="H222" s="4731">
        <f>'Tab. 6B Polit społ i rozwój prz'!G136</f>
        <v>3911618</v>
      </c>
      <c r="I222" s="4731">
        <f>'Tab. 6B Polit społ i rozwój prz'!H136</f>
        <v>8685436</v>
      </c>
      <c r="J222" s="4731">
        <f>'Tab. 6B Polit społ i rozwój prz'!I136</f>
        <v>720363</v>
      </c>
      <c r="K222" s="4731">
        <f>'Tab. 6B Polit społ i rozwój prz'!J136</f>
        <v>0</v>
      </c>
      <c r="L222" s="4731">
        <f>'Tab. 6B Polit społ i rozwój prz'!K136</f>
        <v>0</v>
      </c>
      <c r="M222" s="4731">
        <f>'Tab. 6B Polit społ i rozwój prz'!L136</f>
        <v>0</v>
      </c>
      <c r="N222" s="4731"/>
      <c r="O222" s="4731"/>
      <c r="P222" s="4731"/>
      <c r="Q222" s="4731"/>
      <c r="R222" s="4732"/>
      <c r="S222" s="4733"/>
      <c r="T222" s="4733"/>
      <c r="U222" s="4733"/>
      <c r="V222" s="4733"/>
    </row>
    <row r="223" spans="1:22" ht="13.5" customHeight="1">
      <c r="A223" s="4726"/>
      <c r="B223" s="4734" t="s">
        <v>320</v>
      </c>
      <c r="C223" s="4735"/>
      <c r="D223" s="4736"/>
      <c r="E223" s="4737">
        <f>+F223+G223+H223+I223+J223+K223+L223+M223</f>
        <v>0</v>
      </c>
      <c r="F223" s="4738"/>
      <c r="G223" s="4738"/>
      <c r="H223" s="4738"/>
      <c r="I223" s="4738"/>
      <c r="J223" s="4738"/>
      <c r="K223" s="4738"/>
      <c r="L223" s="4738"/>
      <c r="M223" s="4738"/>
      <c r="N223" s="4738"/>
      <c r="O223" s="4738"/>
      <c r="P223" s="4738"/>
      <c r="Q223" s="4738"/>
      <c r="R223" s="4739"/>
      <c r="S223" s="4739"/>
      <c r="T223" s="4739"/>
      <c r="U223" s="4739"/>
      <c r="V223" s="4739"/>
    </row>
    <row r="224" spans="1:22" ht="13.5" customHeight="1" thickBot="1">
      <c r="A224" s="4726"/>
      <c r="B224" s="4740" t="s">
        <v>197</v>
      </c>
      <c r="C224" s="4741"/>
      <c r="D224" s="4742"/>
      <c r="E224" s="4743">
        <f>+F224+G224+H224+I224+J224+K224+L224+M224</f>
        <v>13580221</v>
      </c>
      <c r="F224" s="4744"/>
      <c r="G224" s="4744">
        <f>'Tab. 6B Polit społ i rozwój prz'!F138</f>
        <v>262804</v>
      </c>
      <c r="H224" s="4744">
        <f>'Tab. 6B Polit społ i rozwój prz'!G138</f>
        <v>3911618</v>
      </c>
      <c r="I224" s="4744">
        <f>'Tab. 6B Polit społ i rozwój prz'!H138</f>
        <v>8685436</v>
      </c>
      <c r="J224" s="4744">
        <f>'Tab. 6B Polit społ i rozwój prz'!I138</f>
        <v>720363</v>
      </c>
      <c r="K224" s="4744">
        <f>'Tab. 6B Polit społ i rozwój prz'!J138</f>
        <v>0</v>
      </c>
      <c r="L224" s="4744">
        <f>'Tab. 6B Polit społ i rozwój prz'!K138</f>
        <v>0</v>
      </c>
      <c r="M224" s="4744">
        <f>'Tab. 6B Polit społ i rozwój prz'!L138</f>
        <v>0</v>
      </c>
      <c r="N224" s="4744"/>
      <c r="O224" s="4744"/>
      <c r="P224" s="4744"/>
      <c r="Q224" s="4744"/>
      <c r="R224" s="4745"/>
      <c r="S224" s="4746"/>
      <c r="T224" s="4746"/>
      <c r="U224" s="4746"/>
      <c r="V224" s="4746"/>
    </row>
    <row r="225" spans="1:22" ht="13.5" thickBot="1">
      <c r="A225" s="4747"/>
      <c r="B225" s="4748" t="s">
        <v>317</v>
      </c>
      <c r="C225" s="4749"/>
      <c r="D225" s="4750"/>
      <c r="E225" s="4751">
        <f>F225+G225+H225+I225+J225+K225+L225+M225</f>
        <v>13580221</v>
      </c>
      <c r="F225" s="4752"/>
      <c r="G225" s="4752">
        <f>'Tab. 6B Polit społ i rozwój prz'!F145</f>
        <v>0</v>
      </c>
      <c r="H225" s="4752">
        <f>'Tab. 6B Polit społ i rozwój prz'!G145</f>
        <v>5600765</v>
      </c>
      <c r="I225" s="4752">
        <f>'Tab. 6B Polit społ i rozwój prz'!H145</f>
        <v>7979456</v>
      </c>
      <c r="J225" s="4752">
        <f>'Tab. 6B Polit społ i rozwój prz'!I145</f>
        <v>0</v>
      </c>
      <c r="K225" s="4752">
        <f>'Tab. 6B Polit społ i rozwój prz'!J145</f>
        <v>0</v>
      </c>
      <c r="L225" s="4752">
        <f>'Tab. 6B Polit społ i rozwój prz'!K145</f>
        <v>0</v>
      </c>
      <c r="M225" s="4752">
        <f>'Tab. 6B Polit społ i rozwój prz'!L145</f>
        <v>0</v>
      </c>
      <c r="N225" s="4752"/>
      <c r="O225" s="4752"/>
      <c r="P225" s="4752"/>
      <c r="Q225" s="4752"/>
      <c r="R225" s="4753"/>
      <c r="S225" s="4753"/>
      <c r="T225" s="4753"/>
      <c r="U225" s="4753"/>
      <c r="V225" s="4753"/>
    </row>
    <row r="226" spans="1:22" ht="64.5" customHeight="1">
      <c r="A226" s="4717" t="s">
        <v>58</v>
      </c>
      <c r="B226" s="4718" t="str">
        <f>'Tab. 6E - Administracja'!B93</f>
        <v>Oś X, Pomoc techniczna RPO WZ 2014 - 2020 (2015-2023)</v>
      </c>
      <c r="C226" s="4719" t="s">
        <v>339</v>
      </c>
      <c r="D226" s="4720">
        <f>E229/E227%</f>
        <v>84.262079891277651</v>
      </c>
      <c r="E226" s="4721"/>
      <c r="F226" s="4722"/>
      <c r="G226" s="4723"/>
      <c r="H226" s="4722"/>
      <c r="I226" s="4722"/>
      <c r="J226" s="4722"/>
      <c r="K226" s="4723"/>
      <c r="L226" s="4723"/>
      <c r="M226" s="4722"/>
      <c r="N226" s="4722"/>
      <c r="O226" s="4722"/>
      <c r="P226" s="4722"/>
      <c r="Q226" s="4722"/>
      <c r="R226" s="4724"/>
      <c r="S226" s="4725"/>
      <c r="T226" s="4725"/>
      <c r="U226" s="4725"/>
      <c r="V226" s="4725"/>
    </row>
    <row r="227" spans="1:22" ht="13.5" customHeight="1">
      <c r="A227" s="4726"/>
      <c r="B227" s="4727" t="s">
        <v>195</v>
      </c>
      <c r="C227" s="4728"/>
      <c r="D227" s="4729"/>
      <c r="E227" s="4730">
        <f>+F227+G227+H227+I227+J227+K227+L227+M227</f>
        <v>292541147</v>
      </c>
      <c r="F227" s="4731">
        <f>'Tab. 6B Polit społ i rozwój prz'!E86+'Tab. 6E - Administracja'!E94-'Tab. 6E - Administracja'!E102</f>
        <v>32563235</v>
      </c>
      <c r="G227" s="4731">
        <f>'Tab. 6B Polit społ i rozwój prz'!F86+'Tab. 6E - Administracja'!F94-'Tab. 6E - Administracja'!F102</f>
        <v>35032922</v>
      </c>
      <c r="H227" s="4731">
        <f>'Tab. 6B Polit społ i rozwój prz'!G86+'Tab. 6E - Administracja'!G94-'Tab. 6E - Administracja'!G102</f>
        <v>39655868</v>
      </c>
      <c r="I227" s="4731">
        <f>'Tab. 6B Polit społ i rozwój prz'!H86+'Tab. 6E - Administracja'!H94-'Tab. 6E - Administracja'!H102</f>
        <v>41936007</v>
      </c>
      <c r="J227" s="4731">
        <f>'Tab. 6B Polit społ i rozwój prz'!I86+'Tab. 6E - Administracja'!I94-'Tab. 6E - Administracja'!I102</f>
        <v>39765665</v>
      </c>
      <c r="K227" s="4731">
        <f>'Tab. 6B Polit społ i rozwój prz'!J86+'Tab. 6E - Administracja'!J94-'Tab. 6E - Administracja'!J102</f>
        <v>36190318</v>
      </c>
      <c r="L227" s="4731">
        <f>'Tab. 6B Polit społ i rozwój prz'!K86+'Tab. 6E - Administracja'!K94-'Tab. 6E - Administracja'!K102</f>
        <v>34376144</v>
      </c>
      <c r="M227" s="4731">
        <f>'Tab. 6B Polit społ i rozwój prz'!L86+'Tab. 6E - Administracja'!L94-'Tab. 6E - Administracja'!L102</f>
        <v>33020988</v>
      </c>
      <c r="N227" s="4731"/>
      <c r="O227" s="4731"/>
      <c r="P227" s="4731"/>
      <c r="Q227" s="4731"/>
      <c r="R227" s="4732"/>
      <c r="S227" s="4733"/>
      <c r="T227" s="4733"/>
      <c r="U227" s="4733"/>
      <c r="V227" s="4733"/>
    </row>
    <row r="228" spans="1:22" ht="13.5" customHeight="1">
      <c r="A228" s="4726"/>
      <c r="B228" s="4734" t="s">
        <v>320</v>
      </c>
      <c r="C228" s="4735"/>
      <c r="D228" s="4736"/>
      <c r="E228" s="4737">
        <f>+F228+G228+H228+I228+J228+K228+L228+M228</f>
        <v>46039892</v>
      </c>
      <c r="F228" s="4738">
        <f>'Tab. 6B Polit społ i rozwój prz'!E88+'Tab. 6E - Administracja'!E96</f>
        <v>5383901</v>
      </c>
      <c r="G228" s="4738">
        <f>'Tab. 6B Polit społ i rozwój prz'!F88+'Tab. 6E - Administracja'!F96</f>
        <v>6244922</v>
      </c>
      <c r="H228" s="4738">
        <f>'Tab. 6B Polit społ i rozwój prz'!G88+'Tab. 6E - Administracja'!G96</f>
        <v>6732376</v>
      </c>
      <c r="I228" s="4738">
        <f>'Tab. 6B Polit społ i rozwój prz'!H88+'Tab. 6E - Administracja'!H96</f>
        <v>6731519</v>
      </c>
      <c r="J228" s="4738">
        <f>'Tab. 6B Polit społ i rozwój prz'!I88+'Tab. 6E - Administracja'!I96</f>
        <v>6557276</v>
      </c>
      <c r="K228" s="4738">
        <f>'Tab. 6B Polit społ i rozwój prz'!J88+'Tab. 6E - Administracja'!J96</f>
        <v>5862956</v>
      </c>
      <c r="L228" s="4738">
        <f>'Tab. 6B Polit społ i rozwój prz'!K88+'Tab. 6E - Administracja'!K96</f>
        <v>4320102</v>
      </c>
      <c r="M228" s="4738">
        <f>'Tab. 6B Polit społ i rozwój prz'!L88+'Tab. 6E - Administracja'!L96</f>
        <v>4206840</v>
      </c>
      <c r="N228" s="4738"/>
      <c r="O228" s="4738"/>
      <c r="P228" s="4738"/>
      <c r="Q228" s="4738"/>
      <c r="R228" s="4739"/>
      <c r="S228" s="4739"/>
      <c r="T228" s="4739"/>
      <c r="U228" s="4739"/>
      <c r="V228" s="4739"/>
    </row>
    <row r="229" spans="1:22" ht="13.5" customHeight="1" thickBot="1">
      <c r="A229" s="4726"/>
      <c r="B229" s="4740" t="s">
        <v>197</v>
      </c>
      <c r="C229" s="4754">
        <f>E229-E230</f>
        <v>0</v>
      </c>
      <c r="D229" s="4742"/>
      <c r="E229" s="4743">
        <f>+F229+G229+H229+I229+J229+K229+L229+M229</f>
        <v>246501255</v>
      </c>
      <c r="F229" s="4744">
        <f>'Tab. 6B Polit społ i rozwój prz'!E90+'Tab. 6E - Administracja'!E105</f>
        <v>27179334</v>
      </c>
      <c r="G229" s="4744">
        <f>'Tab. 6B Polit społ i rozwój prz'!F90+'Tab. 6E - Administracja'!F105</f>
        <v>28788000</v>
      </c>
      <c r="H229" s="4744">
        <f>'Tab. 6B Polit społ i rozwój prz'!G90+'Tab. 6E - Administracja'!G105</f>
        <v>32923492</v>
      </c>
      <c r="I229" s="4744">
        <f>'Tab. 6B Polit społ i rozwój prz'!H90+'Tab. 6E - Administracja'!H105</f>
        <v>35204488</v>
      </c>
      <c r="J229" s="4744">
        <f>'Tab. 6B Polit społ i rozwój prz'!I90+'Tab. 6E - Administracja'!I105</f>
        <v>33208389</v>
      </c>
      <c r="K229" s="4744">
        <f>'Tab. 6B Polit społ i rozwój prz'!J90+'Tab. 6E - Administracja'!J105</f>
        <v>30327362</v>
      </c>
      <c r="L229" s="4744">
        <f>'Tab. 6B Polit społ i rozwój prz'!K90+'Tab. 6E - Administracja'!K105</f>
        <v>30056042</v>
      </c>
      <c r="M229" s="4744">
        <f>'Tab. 6B Polit społ i rozwój prz'!L90+'Tab. 6E - Administracja'!L105</f>
        <v>28814148</v>
      </c>
      <c r="N229" s="4744"/>
      <c r="O229" s="4744"/>
      <c r="P229" s="4744"/>
      <c r="Q229" s="4744"/>
      <c r="R229" s="4745"/>
      <c r="S229" s="4746"/>
      <c r="T229" s="4746"/>
      <c r="U229" s="4746"/>
      <c r="V229" s="4746"/>
    </row>
    <row r="230" spans="1:22" ht="13.5" customHeight="1" thickBot="1">
      <c r="A230" s="4747"/>
      <c r="B230" s="4748" t="s">
        <v>317</v>
      </c>
      <c r="C230" s="4749"/>
      <c r="D230" s="4750"/>
      <c r="E230" s="4751">
        <f>F230+G230+H230+I230+J230+K230+L230+M230+2029435+2998719+2055406+3812897+2520257</f>
        <v>246501255</v>
      </c>
      <c r="F230" s="4752">
        <f>'Tab. 6B Polit społ i rozwój prz'!E95+'Tab. 6E - Administracja'!E115</f>
        <v>21873912</v>
      </c>
      <c r="G230" s="4752">
        <f>'Tab. 6B Polit społ i rozwój prz'!F95+'Tab. 6E - Administracja'!F115</f>
        <v>30826064</v>
      </c>
      <c r="H230" s="4752">
        <f>'Tab. 6B Polit społ i rozwój prz'!G95+'Tab. 6E - Administracja'!G115</f>
        <v>31352000</v>
      </c>
      <c r="I230" s="4752">
        <f>'Tab. 6B Polit społ i rozwój prz'!H95+'Tab. 6E - Administracja'!H115</f>
        <v>36121452</v>
      </c>
      <c r="J230" s="4752">
        <f>'Tab. 6B Polit społ i rozwój prz'!I95+'Tab. 6E - Administracja'!I115</f>
        <v>22496965</v>
      </c>
      <c r="K230" s="4752">
        <f>'Tab. 6B Polit społ i rozwój prz'!J95+'Tab. 6E - Administracja'!J115</f>
        <v>30800000</v>
      </c>
      <c r="L230" s="4752">
        <f>'Tab. 6B Polit społ i rozwój prz'!K95+'Tab. 6E - Administracja'!K115</f>
        <v>30800000</v>
      </c>
      <c r="M230" s="4752">
        <f>'Tab. 6B Polit społ i rozwój prz'!L95+'Tab. 6E - Administracja'!L115</f>
        <v>28814148</v>
      </c>
      <c r="N230" s="4752"/>
      <c r="O230" s="4752"/>
      <c r="P230" s="4752"/>
      <c r="Q230" s="4752"/>
      <c r="R230" s="4753"/>
      <c r="S230" s="4753"/>
      <c r="T230" s="4753"/>
      <c r="U230" s="4753"/>
      <c r="V230" s="4753"/>
    </row>
    <row r="231" spans="1:22" ht="29.25" customHeight="1">
      <c r="A231" s="4717" t="s">
        <v>59</v>
      </c>
      <c r="B231" s="4718" t="str">
        <f>'Tab. 6C - Ochrona zdrowia'!B34</f>
        <v>Zachodniopomorskie e-zdrowie (2018-2021) w ramach Osi IX RPO WZ - wydatki bieżące</v>
      </c>
      <c r="C231" s="4719" t="s">
        <v>751</v>
      </c>
      <c r="D231" s="4720">
        <f>E234/E232%</f>
        <v>85.000035535396023</v>
      </c>
      <c r="E231" s="4721"/>
      <c r="F231" s="4722"/>
      <c r="G231" s="4723"/>
      <c r="H231" s="4722"/>
      <c r="I231" s="4722"/>
      <c r="J231" s="4722"/>
      <c r="K231" s="4723"/>
      <c r="L231" s="4723"/>
      <c r="M231" s="4722"/>
      <c r="N231" s="4722"/>
      <c r="O231" s="4722"/>
      <c r="P231" s="4722"/>
      <c r="Q231" s="4722"/>
      <c r="R231" s="4724"/>
      <c r="S231" s="4725"/>
      <c r="T231" s="4725"/>
      <c r="U231" s="4725"/>
      <c r="V231" s="4725"/>
    </row>
    <row r="232" spans="1:22" ht="13.5" customHeight="1">
      <c r="A232" s="4726"/>
      <c r="B232" s="4727" t="s">
        <v>195</v>
      </c>
      <c r="C232" s="4728"/>
      <c r="D232" s="4729"/>
      <c r="E232" s="4730">
        <f>+F232+G232+H232+I232+J232+K232+L232+M232</f>
        <v>1266343</v>
      </c>
      <c r="F232" s="4731">
        <f>'Tab. 6C - Ochrona zdrowia'!E35</f>
        <v>0</v>
      </c>
      <c r="G232" s="4731">
        <f>'Tab. 6C - Ochrona zdrowia'!F35</f>
        <v>0</v>
      </c>
      <c r="H232" s="4731">
        <f>'Tab. 6C - Ochrona zdrowia'!G35</f>
        <v>189594</v>
      </c>
      <c r="I232" s="4731">
        <f>'Tab. 6C - Ochrona zdrowia'!H35</f>
        <v>514124</v>
      </c>
      <c r="J232" s="4731">
        <f>'Tab. 6C - Ochrona zdrowia'!I35</f>
        <v>490892</v>
      </c>
      <c r="K232" s="4731">
        <f>'Tab. 6C - Ochrona zdrowia'!J35</f>
        <v>71733</v>
      </c>
      <c r="L232" s="4731">
        <f>'Tab. 6C - Ochrona zdrowia'!K35</f>
        <v>0</v>
      </c>
      <c r="M232" s="4731">
        <f>'Tab. 6C - Ochrona zdrowia'!L35</f>
        <v>0</v>
      </c>
      <c r="N232" s="4731"/>
      <c r="O232" s="4731"/>
      <c r="P232" s="4731"/>
      <c r="Q232" s="4731"/>
      <c r="R232" s="4732"/>
      <c r="S232" s="4733"/>
      <c r="T232" s="4733"/>
      <c r="U232" s="4733"/>
      <c r="V232" s="4733"/>
    </row>
    <row r="233" spans="1:22" ht="13.5" customHeight="1">
      <c r="A233" s="4726"/>
      <c r="B233" s="4734" t="s">
        <v>320</v>
      </c>
      <c r="C233" s="4735"/>
      <c r="D233" s="4736"/>
      <c r="E233" s="4737">
        <f>+F233+G233+H233+I233+J233+K233+L233+M233</f>
        <v>189951</v>
      </c>
      <c r="F233" s="4738">
        <f>'Tab. 6C - Ochrona zdrowia'!E36</f>
        <v>0</v>
      </c>
      <c r="G233" s="4738">
        <f>'Tab. 6C - Ochrona zdrowia'!F36</f>
        <v>0</v>
      </c>
      <c r="H233" s="4738">
        <f>'Tab. 6C - Ochrona zdrowia'!G36</f>
        <v>28439</v>
      </c>
      <c r="I233" s="4738">
        <f>'Tab. 6C - Ochrona zdrowia'!H36</f>
        <v>77119</v>
      </c>
      <c r="J233" s="4738">
        <f>'Tab. 6C - Ochrona zdrowia'!I36</f>
        <v>73634</v>
      </c>
      <c r="K233" s="4738">
        <f>'Tab. 6C - Ochrona zdrowia'!J36</f>
        <v>10759</v>
      </c>
      <c r="L233" s="4738">
        <f>'Tab. 6C - Ochrona zdrowia'!K36</f>
        <v>0</v>
      </c>
      <c r="M233" s="4738">
        <f>'Tab. 6C - Ochrona zdrowia'!L36</f>
        <v>0</v>
      </c>
      <c r="N233" s="4738"/>
      <c r="O233" s="4738"/>
      <c r="P233" s="4738"/>
      <c r="Q233" s="4738"/>
      <c r="R233" s="4739"/>
      <c r="S233" s="4739"/>
      <c r="T233" s="4739"/>
      <c r="U233" s="4739"/>
      <c r="V233" s="4739"/>
    </row>
    <row r="234" spans="1:22" ht="13.5" customHeight="1" thickBot="1">
      <c r="A234" s="4726"/>
      <c r="B234" s="4740" t="s">
        <v>197</v>
      </c>
      <c r="C234" s="4754">
        <f>E234-E235</f>
        <v>0</v>
      </c>
      <c r="D234" s="4742"/>
      <c r="E234" s="4743">
        <f>+F234+G234+H234+I234+J234+K234+L234+M234</f>
        <v>1076392</v>
      </c>
      <c r="F234" s="4744">
        <f>'Tab. 6C - Ochrona zdrowia'!E40</f>
        <v>0</v>
      </c>
      <c r="G234" s="4744">
        <f>'Tab. 6C - Ochrona zdrowia'!F40</f>
        <v>0</v>
      </c>
      <c r="H234" s="4744">
        <f>'Tab. 6C - Ochrona zdrowia'!G40</f>
        <v>161155</v>
      </c>
      <c r="I234" s="4744">
        <f>'Tab. 6C - Ochrona zdrowia'!H40</f>
        <v>437005</v>
      </c>
      <c r="J234" s="4744">
        <f>'Tab. 6C - Ochrona zdrowia'!I40</f>
        <v>417258</v>
      </c>
      <c r="K234" s="4744">
        <f>'Tab. 6C - Ochrona zdrowia'!J40</f>
        <v>60974</v>
      </c>
      <c r="L234" s="4744">
        <f>'Tab. 6C - Ochrona zdrowia'!K40</f>
        <v>0</v>
      </c>
      <c r="M234" s="4744">
        <f>'Tab. 6C - Ochrona zdrowia'!L40</f>
        <v>0</v>
      </c>
      <c r="N234" s="4744"/>
      <c r="O234" s="4744"/>
      <c r="P234" s="4744"/>
      <c r="Q234" s="4744"/>
      <c r="R234" s="4745"/>
      <c r="S234" s="4746"/>
      <c r="T234" s="4746"/>
      <c r="U234" s="4746"/>
      <c r="V234" s="4746"/>
    </row>
    <row r="235" spans="1:22" ht="13.5" customHeight="1" thickBot="1">
      <c r="A235" s="4747"/>
      <c r="B235" s="4748" t="s">
        <v>317</v>
      </c>
      <c r="C235" s="4749"/>
      <c r="D235" s="4750"/>
      <c r="E235" s="4751">
        <f>F235+G235+H235+I235+J235+K235+L235+M235</f>
        <v>1076392</v>
      </c>
      <c r="F235" s="4752">
        <f>'Tab. 6C - Ochrona zdrowia'!E44</f>
        <v>0</v>
      </c>
      <c r="G235" s="4752">
        <f>'Tab. 6C - Ochrona zdrowia'!F44</f>
        <v>0</v>
      </c>
      <c r="H235" s="4752">
        <f>'Tab. 6C - Ochrona zdrowia'!G44</f>
        <v>161155</v>
      </c>
      <c r="I235" s="4752">
        <f>'Tab. 6C - Ochrona zdrowia'!H44</f>
        <v>437005</v>
      </c>
      <c r="J235" s="4752">
        <f>'Tab. 6C - Ochrona zdrowia'!I44</f>
        <v>417258</v>
      </c>
      <c r="K235" s="4752">
        <f>'Tab. 6C - Ochrona zdrowia'!J44</f>
        <v>60974</v>
      </c>
      <c r="L235" s="4752">
        <f>'Tab. 6C - Ochrona zdrowia'!K44</f>
        <v>0</v>
      </c>
      <c r="M235" s="4752">
        <f>'Tab. 6C - Ochrona zdrowia'!L44</f>
        <v>0</v>
      </c>
      <c r="N235" s="4752"/>
      <c r="O235" s="4752"/>
      <c r="P235" s="4752"/>
      <c r="Q235" s="4752"/>
      <c r="R235" s="4753"/>
      <c r="S235" s="4753"/>
      <c r="T235" s="4753"/>
      <c r="U235" s="4753"/>
      <c r="V235" s="4753"/>
    </row>
    <row r="236" spans="1:22" ht="33.75" customHeight="1">
      <c r="A236" s="4922" t="s">
        <v>107</v>
      </c>
      <c r="B236" s="4923"/>
      <c r="C236" s="4719"/>
      <c r="D236" s="4720" t="e">
        <f>E239/E237%</f>
        <v>#DIV/0!</v>
      </c>
      <c r="E236" s="4721"/>
      <c r="F236" s="4722"/>
      <c r="G236" s="4723"/>
      <c r="H236" s="4722"/>
      <c r="I236" s="4722"/>
      <c r="J236" s="4722"/>
      <c r="K236" s="4723"/>
      <c r="L236" s="4723"/>
      <c r="M236" s="4722"/>
      <c r="N236" s="4722"/>
      <c r="O236" s="4722"/>
      <c r="P236" s="4722"/>
      <c r="Q236" s="4722"/>
      <c r="R236" s="4724"/>
      <c r="S236" s="4725"/>
      <c r="T236" s="4725"/>
      <c r="U236" s="4725"/>
      <c r="V236" s="4725"/>
    </row>
    <row r="237" spans="1:22" ht="13.5" customHeight="1">
      <c r="A237" s="4924"/>
      <c r="B237" s="4727" t="s">
        <v>195</v>
      </c>
      <c r="C237" s="4728"/>
      <c r="D237" s="4729"/>
      <c r="E237" s="4730">
        <f>+F237+G237+H237+I237+J237+K237+L237+M237</f>
        <v>0</v>
      </c>
      <c r="F237" s="4731"/>
      <c r="G237" s="4731"/>
      <c r="H237" s="4731"/>
      <c r="I237" s="4731"/>
      <c r="J237" s="4731"/>
      <c r="K237" s="4731"/>
      <c r="L237" s="4731"/>
      <c r="M237" s="4731"/>
      <c r="N237" s="4731"/>
      <c r="O237" s="4731"/>
      <c r="P237" s="4731"/>
      <c r="Q237" s="4731"/>
      <c r="R237" s="4732"/>
      <c r="S237" s="4733"/>
      <c r="T237" s="4733"/>
      <c r="U237" s="4733"/>
      <c r="V237" s="4733"/>
    </row>
    <row r="238" spans="1:22" ht="13.5" customHeight="1">
      <c r="A238" s="4924"/>
      <c r="B238" s="4734" t="s">
        <v>320</v>
      </c>
      <c r="C238" s="4735"/>
      <c r="D238" s="4736"/>
      <c r="E238" s="4737">
        <f>+F238+G238+H238+I238+J238+K238+L238+M238</f>
        <v>0</v>
      </c>
      <c r="F238" s="4738"/>
      <c r="G238" s="4738"/>
      <c r="H238" s="4738"/>
      <c r="I238" s="4738"/>
      <c r="J238" s="4738"/>
      <c r="K238" s="4738"/>
      <c r="L238" s="4738"/>
      <c r="M238" s="4738"/>
      <c r="N238" s="4738"/>
      <c r="O238" s="4738"/>
      <c r="P238" s="4738"/>
      <c r="Q238" s="4738"/>
      <c r="R238" s="4739"/>
      <c r="S238" s="4739"/>
      <c r="T238" s="4739"/>
      <c r="U238" s="4739"/>
      <c r="V238" s="4739"/>
    </row>
    <row r="239" spans="1:22" ht="13.5" customHeight="1" thickBot="1">
      <c r="A239" s="4924"/>
      <c r="B239" s="4740" t="s">
        <v>197</v>
      </c>
      <c r="C239" s="4741"/>
      <c r="D239" s="4742"/>
      <c r="E239" s="4743">
        <f>+F239+G239+H239+I239+J239+K239+L239+M239</f>
        <v>0</v>
      </c>
      <c r="F239" s="4744"/>
      <c r="G239" s="4744"/>
      <c r="H239" s="4744"/>
      <c r="I239" s="4744"/>
      <c r="J239" s="4744"/>
      <c r="K239" s="4744"/>
      <c r="L239" s="4744"/>
      <c r="M239" s="4744"/>
      <c r="N239" s="4744"/>
      <c r="O239" s="4744"/>
      <c r="P239" s="4744"/>
      <c r="Q239" s="4744"/>
      <c r="R239" s="4745"/>
      <c r="S239" s="4746"/>
      <c r="T239" s="4746"/>
      <c r="U239" s="4746"/>
      <c r="V239" s="4746"/>
    </row>
    <row r="240" spans="1:22" ht="13.5" customHeight="1" thickBot="1">
      <c r="A240" s="4925"/>
      <c r="B240" s="4748" t="s">
        <v>317</v>
      </c>
      <c r="C240" s="4749"/>
      <c r="D240" s="4750"/>
      <c r="E240" s="4751">
        <f>F240+G240+H240+I240+J240+K240+L240+M240</f>
        <v>0</v>
      </c>
      <c r="F240" s="4752"/>
      <c r="G240" s="4752"/>
      <c r="H240" s="4752"/>
      <c r="I240" s="4752"/>
      <c r="J240" s="4752"/>
      <c r="K240" s="4752"/>
      <c r="L240" s="4752"/>
      <c r="M240" s="4752"/>
      <c r="N240" s="4752"/>
      <c r="O240" s="4752"/>
      <c r="P240" s="4752"/>
      <c r="Q240" s="4752"/>
      <c r="R240" s="4753"/>
      <c r="S240" s="4753"/>
      <c r="T240" s="4753"/>
      <c r="U240" s="4753"/>
      <c r="V240" s="4753"/>
    </row>
    <row r="241" spans="1:22" ht="35.25" customHeight="1">
      <c r="A241" s="4717" t="s">
        <v>80</v>
      </c>
      <c r="B241" s="4718" t="str">
        <f>'Tab. 6D - Oświata'!B69</f>
        <v>Wolontariat europejski EVS, wymiana międzynarodowa w ramach Programu Erasmus+  (2016-2019)</v>
      </c>
      <c r="C241" s="4719" t="s">
        <v>334</v>
      </c>
      <c r="D241" s="4720">
        <f>E244/E242%</f>
        <v>100</v>
      </c>
      <c r="E241" s="4721"/>
      <c r="F241" s="4722"/>
      <c r="G241" s="4723"/>
      <c r="H241" s="4722"/>
      <c r="I241" s="4722"/>
      <c r="J241" s="4722"/>
      <c r="K241" s="4723"/>
      <c r="L241" s="4723"/>
      <c r="M241" s="4722"/>
      <c r="N241" s="4722"/>
      <c r="O241" s="4722"/>
      <c r="P241" s="4722"/>
      <c r="Q241" s="4722"/>
      <c r="R241" s="4724"/>
      <c r="S241" s="4725"/>
      <c r="T241" s="4725"/>
      <c r="U241" s="4725"/>
      <c r="V241" s="4725"/>
    </row>
    <row r="242" spans="1:22" ht="17.25" customHeight="1">
      <c r="A242" s="4726"/>
      <c r="B242" s="4727" t="s">
        <v>195</v>
      </c>
      <c r="C242" s="4728"/>
      <c r="D242" s="4729"/>
      <c r="E242" s="4730">
        <f>+F242+G242+H242+I242+J242+K242+L242+M242</f>
        <v>72615</v>
      </c>
      <c r="F242" s="4731">
        <f>'Tab. 6D - Oświata'!E70</f>
        <v>803</v>
      </c>
      <c r="G242" s="4731">
        <f>'Tab. 6D - Oświata'!F70</f>
        <v>20291</v>
      </c>
      <c r="H242" s="4731">
        <f>'Tab. 6D - Oświata'!G70</f>
        <v>29639</v>
      </c>
      <c r="I242" s="4731">
        <f>'Tab. 6D - Oświata'!H70</f>
        <v>21882</v>
      </c>
      <c r="J242" s="4731">
        <f>'Tab. 6D - Oświata'!I70</f>
        <v>0</v>
      </c>
      <c r="K242" s="4731">
        <f>'Tab. 6D - Oświata'!J70</f>
        <v>0</v>
      </c>
      <c r="L242" s="4731">
        <f>'Tab. 6D - Oświata'!K70</f>
        <v>0</v>
      </c>
      <c r="M242" s="4731">
        <f>'Tab. 6D - Oświata'!L70</f>
        <v>0</v>
      </c>
      <c r="N242" s="4731"/>
      <c r="O242" s="4731"/>
      <c r="P242" s="4731"/>
      <c r="Q242" s="4731"/>
      <c r="R242" s="4732"/>
      <c r="S242" s="4733"/>
      <c r="T242" s="4733"/>
      <c r="U242" s="4733"/>
      <c r="V242" s="4733"/>
    </row>
    <row r="243" spans="1:22" ht="13.5" customHeight="1">
      <c r="A243" s="4726"/>
      <c r="B243" s="4734" t="s">
        <v>320</v>
      </c>
      <c r="C243" s="4735"/>
      <c r="D243" s="4736"/>
      <c r="E243" s="4737">
        <f>+F243+G243+H243+I243+J243+K243+L243+M243</f>
        <v>0</v>
      </c>
      <c r="F243" s="4738"/>
      <c r="G243" s="4738"/>
      <c r="H243" s="4738"/>
      <c r="I243" s="4738"/>
      <c r="J243" s="4738"/>
      <c r="K243" s="4738"/>
      <c r="L243" s="4738"/>
      <c r="M243" s="4738"/>
      <c r="N243" s="4738"/>
      <c r="O243" s="4738"/>
      <c r="P243" s="4738"/>
      <c r="Q243" s="4738"/>
      <c r="R243" s="4739"/>
      <c r="S243" s="4739"/>
      <c r="T243" s="4739"/>
      <c r="U243" s="4739"/>
      <c r="V243" s="4739"/>
    </row>
    <row r="244" spans="1:22" ht="13.5" customHeight="1" thickBot="1">
      <c r="A244" s="4726"/>
      <c r="B244" s="4740" t="s">
        <v>197</v>
      </c>
      <c r="C244" s="4754">
        <f>E244-E245</f>
        <v>0</v>
      </c>
      <c r="D244" s="4742"/>
      <c r="E244" s="4743">
        <f>+F244+G244+H244+I244+J244+K244+L244+M244</f>
        <v>72615</v>
      </c>
      <c r="F244" s="4744">
        <f>'Tab. 6D - Oświata'!E72</f>
        <v>803</v>
      </c>
      <c r="G244" s="4744">
        <f>'Tab. 6D - Oświata'!F72</f>
        <v>20291</v>
      </c>
      <c r="H244" s="4744">
        <f>'Tab. 6D - Oświata'!G72</f>
        <v>29639</v>
      </c>
      <c r="I244" s="4744">
        <f>'Tab. 6D - Oświata'!H72</f>
        <v>21882</v>
      </c>
      <c r="J244" s="4744">
        <f>'Tab. 6D - Oświata'!I72</f>
        <v>0</v>
      </c>
      <c r="K244" s="4744">
        <f>'Tab. 6D - Oświata'!J72</f>
        <v>0</v>
      </c>
      <c r="L244" s="4744">
        <f>'Tab. 6D - Oświata'!K72</f>
        <v>0</v>
      </c>
      <c r="M244" s="4744">
        <f>'Tab. 6D - Oświata'!L72</f>
        <v>0</v>
      </c>
      <c r="N244" s="4744"/>
      <c r="O244" s="4744"/>
      <c r="P244" s="4744"/>
      <c r="Q244" s="4744"/>
      <c r="R244" s="4745"/>
      <c r="S244" s="4746"/>
      <c r="T244" s="4746"/>
      <c r="U244" s="4746"/>
      <c r="V244" s="4746"/>
    </row>
    <row r="245" spans="1:22" ht="13.5" customHeight="1" thickBot="1">
      <c r="A245" s="4747"/>
      <c r="B245" s="4748" t="s">
        <v>317</v>
      </c>
      <c r="C245" s="4749"/>
      <c r="D245" s="4750"/>
      <c r="E245" s="4751">
        <f>F245+G245+H245+I245+J245+K245+L245+M245</f>
        <v>72615</v>
      </c>
      <c r="F245" s="4752">
        <f>'Tab. 6D - Oświata'!E74</f>
        <v>803</v>
      </c>
      <c r="G245" s="4752">
        <f>'Tab. 6D - Oświata'!F74</f>
        <v>28048</v>
      </c>
      <c r="H245" s="4752">
        <f>'Tab. 6D - Oświata'!G74</f>
        <v>21882</v>
      </c>
      <c r="I245" s="4752">
        <f>'Tab. 6D - Oświata'!H74</f>
        <v>21882</v>
      </c>
      <c r="J245" s="4752">
        <f>'Tab. 6D - Oświata'!I74</f>
        <v>0</v>
      </c>
      <c r="K245" s="4752">
        <f>'Tab. 6D - Oświata'!J74</f>
        <v>0</v>
      </c>
      <c r="L245" s="4752">
        <f>'Tab. 6D - Oświata'!K74</f>
        <v>0</v>
      </c>
      <c r="M245" s="4752">
        <f>'Tab. 6D - Oświata'!L74</f>
        <v>0</v>
      </c>
      <c r="N245" s="4752"/>
      <c r="O245" s="4752"/>
      <c r="P245" s="4752"/>
      <c r="Q245" s="4752"/>
      <c r="R245" s="4753"/>
      <c r="S245" s="4753"/>
      <c r="T245" s="4753"/>
      <c r="U245" s="4753"/>
      <c r="V245" s="4753"/>
    </row>
    <row r="246" spans="1:22" ht="49.5" customHeight="1">
      <c r="A246" s="4717" t="s">
        <v>81</v>
      </c>
      <c r="B246" s="4718" t="str">
        <f>'Tab. 6E - Administracja'!B71</f>
        <v>Sieć Punktów Informacyjnych Funduszy Europejskich (PIFE) w Województwie Zachodniopomorskim w ramach PO Pomoc Techniczna (2015-2020)</v>
      </c>
      <c r="C246" s="4719" t="s">
        <v>331</v>
      </c>
      <c r="D246" s="4720">
        <f>E249/E247%</f>
        <v>85.000007862996938</v>
      </c>
      <c r="E246" s="4721"/>
      <c r="F246" s="4722"/>
      <c r="G246" s="4723"/>
      <c r="H246" s="4722"/>
      <c r="I246" s="4722"/>
      <c r="J246" s="4722"/>
      <c r="K246" s="4723"/>
      <c r="L246" s="4723"/>
      <c r="M246" s="4722"/>
      <c r="N246" s="4722"/>
      <c r="O246" s="4722"/>
      <c r="P246" s="4722"/>
      <c r="Q246" s="4722"/>
      <c r="R246" s="4724"/>
      <c r="S246" s="4725"/>
      <c r="T246" s="4725"/>
      <c r="U246" s="4725"/>
      <c r="V246" s="4725"/>
    </row>
    <row r="247" spans="1:22" ht="13.5" customHeight="1">
      <c r="A247" s="4726"/>
      <c r="B247" s="4727" t="s">
        <v>195</v>
      </c>
      <c r="C247" s="4728"/>
      <c r="D247" s="4729"/>
      <c r="E247" s="4730">
        <f>+F247+G247+H247+I247+J247+K247+L247+M247</f>
        <v>8902458</v>
      </c>
      <c r="F247" s="4731">
        <f>'Tab. 6E - Administracja'!E72</f>
        <v>2589029</v>
      </c>
      <c r="G247" s="4731">
        <f>'Tab. 6E - Administracja'!F72</f>
        <v>1519661</v>
      </c>
      <c r="H247" s="4731">
        <f>'Tab. 6E - Administracja'!G72</f>
        <v>1893768</v>
      </c>
      <c r="I247" s="4731">
        <f>'Tab. 6E - Administracja'!H72</f>
        <v>1500000</v>
      </c>
      <c r="J247" s="4731">
        <f>'Tab. 6E - Administracja'!I72</f>
        <v>1400000</v>
      </c>
      <c r="K247" s="4731">
        <f>'Tab. 6E - Administracja'!J72</f>
        <v>0</v>
      </c>
      <c r="L247" s="4731">
        <f>'Tab. 6E - Administracja'!K72</f>
        <v>0</v>
      </c>
      <c r="M247" s="4731">
        <f>'Tab. 6E - Administracja'!L72</f>
        <v>0</v>
      </c>
      <c r="N247" s="4731"/>
      <c r="O247" s="4731"/>
      <c r="P247" s="4731"/>
      <c r="Q247" s="4731"/>
      <c r="R247" s="4732"/>
      <c r="S247" s="4733"/>
      <c r="T247" s="4733"/>
      <c r="U247" s="4733"/>
      <c r="V247" s="4733"/>
    </row>
    <row r="248" spans="1:22" ht="13.5" customHeight="1">
      <c r="A248" s="4726"/>
      <c r="B248" s="4734" t="s">
        <v>347</v>
      </c>
      <c r="C248" s="4735"/>
      <c r="D248" s="4736"/>
      <c r="E248" s="4737">
        <f>+F248+G248+H248+I248+J248+K248+L248+M248</f>
        <v>1335368</v>
      </c>
      <c r="F248" s="4738">
        <f>'Tab. 6E - Administracja'!E73</f>
        <v>388354</v>
      </c>
      <c r="G248" s="4738">
        <f>'Tab. 6E - Administracja'!F73</f>
        <v>227949</v>
      </c>
      <c r="H248" s="4738">
        <f>'Tab. 6E - Administracja'!G73</f>
        <v>284065</v>
      </c>
      <c r="I248" s="4738">
        <f>'Tab. 6E - Administracja'!H73</f>
        <v>225000</v>
      </c>
      <c r="J248" s="4738">
        <f>'Tab. 6E - Administracja'!I73</f>
        <v>210000</v>
      </c>
      <c r="K248" s="4738">
        <f>'Tab. 6E - Administracja'!J73</f>
        <v>0</v>
      </c>
      <c r="L248" s="4738">
        <f>'Tab. 6E - Administracja'!K73</f>
        <v>0</v>
      </c>
      <c r="M248" s="4738">
        <f>'Tab. 6E - Administracja'!L73</f>
        <v>0</v>
      </c>
      <c r="N248" s="4738"/>
      <c r="O248" s="4738"/>
      <c r="P248" s="4738"/>
      <c r="Q248" s="4738"/>
      <c r="R248" s="4739"/>
      <c r="S248" s="4739"/>
      <c r="T248" s="4739"/>
      <c r="U248" s="4739"/>
      <c r="V248" s="4739"/>
    </row>
    <row r="249" spans="1:22" ht="13.5" customHeight="1" thickBot="1">
      <c r="A249" s="4726"/>
      <c r="B249" s="4740" t="s">
        <v>197</v>
      </c>
      <c r="C249" s="4754">
        <f>E249-E250</f>
        <v>0</v>
      </c>
      <c r="D249" s="4742"/>
      <c r="E249" s="4743">
        <f>+F249+G249+H249+I249+J249+K249+L249+M249</f>
        <v>7567090</v>
      </c>
      <c r="F249" s="4744">
        <f>'Tab. 6E - Administracja'!E75</f>
        <v>2200675</v>
      </c>
      <c r="G249" s="4744">
        <f>'Tab. 6E - Administracja'!F75</f>
        <v>1291712</v>
      </c>
      <c r="H249" s="4744">
        <f>'Tab. 6E - Administracja'!G75</f>
        <v>1609703</v>
      </c>
      <c r="I249" s="4744">
        <f>'Tab. 6E - Administracja'!H75</f>
        <v>1275000</v>
      </c>
      <c r="J249" s="4744">
        <f>'Tab. 6E - Administracja'!I75</f>
        <v>1190000</v>
      </c>
      <c r="K249" s="4744">
        <f>'Tab. 6E - Administracja'!J75</f>
        <v>0</v>
      </c>
      <c r="L249" s="4744">
        <f>'Tab. 6E - Administracja'!K75</f>
        <v>0</v>
      </c>
      <c r="M249" s="4744">
        <f>'Tab. 6E - Administracja'!L75</f>
        <v>0</v>
      </c>
      <c r="N249" s="4744"/>
      <c r="O249" s="4744"/>
      <c r="P249" s="4744"/>
      <c r="Q249" s="4744"/>
      <c r="R249" s="4745"/>
      <c r="S249" s="4746"/>
      <c r="T249" s="4746"/>
      <c r="U249" s="4746"/>
      <c r="V249" s="4746"/>
    </row>
    <row r="250" spans="1:22" ht="15" customHeight="1" thickBot="1">
      <c r="A250" s="4747"/>
      <c r="B250" s="4748" t="s">
        <v>317</v>
      </c>
      <c r="C250" s="4749"/>
      <c r="D250" s="4750"/>
      <c r="E250" s="4751">
        <f>F250+G250+H250+I250+J250+K250+L250+M250</f>
        <v>7567090</v>
      </c>
      <c r="F250" s="4752">
        <f>'Tab. 6E - Administracja'!E80</f>
        <v>2200675</v>
      </c>
      <c r="G250" s="4752">
        <f>'Tab. 6E - Administracja'!F80</f>
        <v>1291712</v>
      </c>
      <c r="H250" s="4752">
        <f>'Tab. 6E - Administracja'!G80</f>
        <v>1609703</v>
      </c>
      <c r="I250" s="4752">
        <f>'Tab. 6E - Administracja'!H80</f>
        <v>1275000</v>
      </c>
      <c r="J250" s="4752">
        <f>'Tab. 6E - Administracja'!I80</f>
        <v>1190000</v>
      </c>
      <c r="K250" s="4752">
        <f>'Tab. 6E - Administracja'!J80</f>
        <v>0</v>
      </c>
      <c r="L250" s="4752">
        <f>'Tab. 6E - Administracja'!K80</f>
        <v>0</v>
      </c>
      <c r="M250" s="4752">
        <f>'Tab. 6E - Administracja'!L80</f>
        <v>0</v>
      </c>
      <c r="N250" s="4752"/>
      <c r="O250" s="4752"/>
      <c r="P250" s="4752"/>
      <c r="Q250" s="4752"/>
      <c r="R250" s="4753"/>
      <c r="S250" s="4753"/>
      <c r="T250" s="4753"/>
      <c r="U250" s="4753"/>
      <c r="V250" s="4753"/>
    </row>
    <row r="251" spans="1:22" ht="24">
      <c r="A251" s="4717" t="s">
        <v>82</v>
      </c>
      <c r="B251" s="4718" t="str">
        <f>'Tab. 6E - Administracja'!B212</f>
        <v xml:space="preserve">Wsparcie gmin w opracowaniu albo aktualizacji programów rewitalizacji w ramach PO Pomoc Techniczna (2016 - 2018) </v>
      </c>
      <c r="C251" s="4719" t="s">
        <v>329</v>
      </c>
      <c r="D251" s="4720">
        <f>E254/E252%</f>
        <v>83.312239537622943</v>
      </c>
      <c r="E251" s="4721"/>
      <c r="F251" s="4722"/>
      <c r="G251" s="4723"/>
      <c r="H251" s="4722"/>
      <c r="I251" s="4722"/>
      <c r="J251" s="4722"/>
      <c r="K251" s="4723"/>
      <c r="L251" s="4723"/>
      <c r="M251" s="4722"/>
      <c r="N251" s="4722"/>
      <c r="O251" s="4722"/>
      <c r="P251" s="4722"/>
      <c r="Q251" s="4722"/>
      <c r="R251" s="4724"/>
      <c r="S251" s="4725"/>
      <c r="T251" s="4725"/>
      <c r="U251" s="4725"/>
      <c r="V251" s="4725"/>
    </row>
    <row r="252" spans="1:22" ht="13.5" customHeight="1">
      <c r="A252" s="4726"/>
      <c r="B252" s="4727" t="s">
        <v>195</v>
      </c>
      <c r="C252" s="4728"/>
      <c r="D252" s="4729"/>
      <c r="E252" s="4730">
        <f>+F252+G252+H252+I252+J252+K252+L252+M252</f>
        <v>5036236</v>
      </c>
      <c r="F252" s="4731">
        <f>'Tab. 6E - Administracja'!E213-'Tab. 6E - Administracja'!E217</f>
        <v>131150</v>
      </c>
      <c r="G252" s="4731">
        <f>'Tab. 6E - Administracja'!F213-'Tab. 6E - Administracja'!F217</f>
        <v>965882</v>
      </c>
      <c r="H252" s="4731">
        <f>'Tab. 6E - Administracja'!G213-'Tab. 6E - Administracja'!G217</f>
        <v>3939204</v>
      </c>
      <c r="I252" s="4731">
        <f>'Tab. 6E - Administracja'!H213-'Tab. 6E - Administracja'!H217</f>
        <v>0</v>
      </c>
      <c r="J252" s="4731">
        <f>'Tab. 6E - Administracja'!I213-'Tab. 6E - Administracja'!I217</f>
        <v>0</v>
      </c>
      <c r="K252" s="4731">
        <f>'Tab. 6E - Administracja'!J213-'Tab. 6E - Administracja'!J217</f>
        <v>0</v>
      </c>
      <c r="L252" s="4731">
        <f>'Tab. 6E - Administracja'!K213-'Tab. 6E - Administracja'!K217</f>
        <v>0</v>
      </c>
      <c r="M252" s="4731">
        <f>'Tab. 6E - Administracja'!L213-'Tab. 6E - Administracja'!L217</f>
        <v>0</v>
      </c>
      <c r="N252" s="4731"/>
      <c r="O252" s="4731"/>
      <c r="P252" s="4731"/>
      <c r="Q252" s="4731"/>
      <c r="R252" s="4732"/>
      <c r="S252" s="4733"/>
      <c r="T252" s="4733"/>
      <c r="U252" s="4733"/>
      <c r="V252" s="4733"/>
    </row>
    <row r="253" spans="1:22" ht="24">
      <c r="A253" s="4726"/>
      <c r="B253" s="4734" t="s">
        <v>350</v>
      </c>
      <c r="C253" s="4735"/>
      <c r="D253" s="4736"/>
      <c r="E253" s="4737">
        <f>+F253+G253+H253+I253+J253+K253+L253+M253</f>
        <v>840435</v>
      </c>
      <c r="F253" s="4738">
        <f>'Tab. 6E - Administracja'!E215+'Tab. 6E - Administracja'!E216</f>
        <v>28691</v>
      </c>
      <c r="G253" s="4738">
        <f>'Tab. 6E - Administracja'!F215+'Tab. 6E - Administracja'!F216</f>
        <v>166584</v>
      </c>
      <c r="H253" s="4738">
        <f>'Tab. 6E - Administracja'!G215+'Tab. 6E - Administracja'!G216</f>
        <v>645160</v>
      </c>
      <c r="I253" s="4738">
        <f>'Tab. 6E - Administracja'!H215+'Tab. 6E - Administracja'!H216</f>
        <v>0</v>
      </c>
      <c r="J253" s="4738">
        <f>'Tab. 6E - Administracja'!I215+'Tab. 6E - Administracja'!I216</f>
        <v>0</v>
      </c>
      <c r="K253" s="4738">
        <f>'Tab. 6E - Administracja'!J215+'Tab. 6E - Administracja'!J216</f>
        <v>0</v>
      </c>
      <c r="L253" s="4738">
        <f>'Tab. 6E - Administracja'!K215+'Tab. 6E - Administracja'!K216</f>
        <v>0</v>
      </c>
      <c r="M253" s="4738">
        <f>'Tab. 6E - Administracja'!L215+'Tab. 6E - Administracja'!L216</f>
        <v>0</v>
      </c>
      <c r="N253" s="4738"/>
      <c r="O253" s="4738"/>
      <c r="P253" s="4738"/>
      <c r="Q253" s="4738"/>
      <c r="R253" s="4739"/>
      <c r="S253" s="4739"/>
      <c r="T253" s="4739"/>
      <c r="U253" s="4739"/>
      <c r="V253" s="4739"/>
    </row>
    <row r="254" spans="1:22" ht="13.5" thickBot="1">
      <c r="A254" s="4726"/>
      <c r="B254" s="4740" t="s">
        <v>197</v>
      </c>
      <c r="C254" s="4754">
        <f>E254-E255</f>
        <v>0</v>
      </c>
      <c r="D254" s="4742"/>
      <c r="E254" s="4743">
        <f>+F254+G254+H254+I254+J254+K254+L254+M254</f>
        <v>4195801</v>
      </c>
      <c r="F254" s="4744">
        <f>'Tab. 6E - Administracja'!E218</f>
        <v>102459</v>
      </c>
      <c r="G254" s="4744">
        <f>'Tab. 6E - Administracja'!F218</f>
        <v>799298</v>
      </c>
      <c r="H254" s="4744">
        <f>'Tab. 6E - Administracja'!G218</f>
        <v>3294044</v>
      </c>
      <c r="I254" s="4744">
        <f>'Tab. 6E - Administracja'!H218</f>
        <v>0</v>
      </c>
      <c r="J254" s="4744">
        <f>'Tab. 6E - Administracja'!I218</f>
        <v>0</v>
      </c>
      <c r="K254" s="4744">
        <f>'Tab. 6E - Administracja'!J218</f>
        <v>0</v>
      </c>
      <c r="L254" s="4744">
        <f>'Tab. 6E - Administracja'!K218</f>
        <v>0</v>
      </c>
      <c r="M254" s="4744">
        <f>'Tab. 6E - Administracja'!L218</f>
        <v>0</v>
      </c>
      <c r="N254" s="4744"/>
      <c r="O254" s="4744"/>
      <c r="P254" s="4744"/>
      <c r="Q254" s="4744"/>
      <c r="R254" s="4745"/>
      <c r="S254" s="4746"/>
      <c r="T254" s="4746"/>
      <c r="U254" s="4746"/>
      <c r="V254" s="4746"/>
    </row>
    <row r="255" spans="1:22" ht="13.5" customHeight="1" thickBot="1">
      <c r="A255" s="4747"/>
      <c r="B255" s="4748" t="s">
        <v>317</v>
      </c>
      <c r="C255" s="4749"/>
      <c r="D255" s="4750"/>
      <c r="E255" s="4751">
        <f>F255+G255+H255+I255+J255+K255+L255+M255</f>
        <v>4195801</v>
      </c>
      <c r="F255" s="4752">
        <f>'Tab. 6E - Administracja'!E223</f>
        <v>102459</v>
      </c>
      <c r="G255" s="4752">
        <f>'Tab. 6E - Administracja'!F223</f>
        <v>799298</v>
      </c>
      <c r="H255" s="4752">
        <f>'Tab. 6E - Administracja'!G223</f>
        <v>3294044</v>
      </c>
      <c r="I255" s="4752">
        <f>'Tab. 6E - Administracja'!H223</f>
        <v>0</v>
      </c>
      <c r="J255" s="4752">
        <f>'Tab. 6E - Administracja'!I223</f>
        <v>0</v>
      </c>
      <c r="K255" s="4752">
        <f>'Tab. 6E - Administracja'!J223</f>
        <v>0</v>
      </c>
      <c r="L255" s="4752">
        <f>'Tab. 6E - Administracja'!K223</f>
        <v>0</v>
      </c>
      <c r="M255" s="4752">
        <f>'Tab. 6E - Administracja'!L223</f>
        <v>0</v>
      </c>
      <c r="N255" s="4752"/>
      <c r="O255" s="4752"/>
      <c r="P255" s="4752"/>
      <c r="Q255" s="4752"/>
      <c r="R255" s="4753"/>
      <c r="S255" s="4753"/>
      <c r="T255" s="4753"/>
      <c r="U255" s="4753"/>
      <c r="V255" s="4753"/>
    </row>
    <row r="256" spans="1:22" ht="36.75" customHeight="1">
      <c r="A256" s="4717" t="s">
        <v>83</v>
      </c>
      <c r="B256" s="4718" t="str">
        <f>'Tab. 6G - Roln i ochrona środ.'!B43</f>
        <v>Pomoc Techniczna  w ramach PROW 2014-2020 (2015-2023)</v>
      </c>
      <c r="C256" s="4719" t="s">
        <v>338</v>
      </c>
      <c r="D256" s="4720">
        <f>E259/E257%</f>
        <v>63.630699206525151</v>
      </c>
      <c r="E256" s="4721"/>
      <c r="F256" s="4722"/>
      <c r="G256" s="4723"/>
      <c r="H256" s="4722"/>
      <c r="I256" s="4722"/>
      <c r="J256" s="4722"/>
      <c r="K256" s="4723"/>
      <c r="L256" s="4723"/>
      <c r="M256" s="4722"/>
      <c r="N256" s="4722"/>
      <c r="O256" s="4722"/>
      <c r="P256" s="4722"/>
      <c r="Q256" s="4722"/>
      <c r="R256" s="4724"/>
      <c r="S256" s="4725"/>
      <c r="T256" s="4725"/>
      <c r="U256" s="4725"/>
      <c r="V256" s="4725"/>
    </row>
    <row r="257" spans="1:22" ht="13.5" customHeight="1">
      <c r="A257" s="4726"/>
      <c r="B257" s="4727" t="s">
        <v>195</v>
      </c>
      <c r="C257" s="4728"/>
      <c r="D257" s="4729"/>
      <c r="E257" s="4730">
        <f>+F257+G257+H257+I257+J257+K257+L257+M257</f>
        <v>32711308</v>
      </c>
      <c r="F257" s="4731">
        <f>'Tab. 6G - Roln i ochrona środ.'!E44</f>
        <v>5960282</v>
      </c>
      <c r="G257" s="4731">
        <f>'Tab. 6G - Roln i ochrona środ.'!F44</f>
        <v>3712693</v>
      </c>
      <c r="H257" s="4731">
        <f>'Tab. 6G - Roln i ochrona środ.'!G44</f>
        <v>5300000</v>
      </c>
      <c r="I257" s="4731">
        <f>'Tab. 6G - Roln i ochrona środ.'!H44</f>
        <v>6500000</v>
      </c>
      <c r="J257" s="4731">
        <f>'Tab. 6G - Roln i ochrona środ.'!I44</f>
        <v>6000000</v>
      </c>
      <c r="K257" s="4731">
        <f>'Tab. 6G - Roln i ochrona środ.'!J44</f>
        <v>1883242</v>
      </c>
      <c r="L257" s="4731">
        <f>'Tab. 6G - Roln i ochrona środ.'!K44</f>
        <v>1607578</v>
      </c>
      <c r="M257" s="4731">
        <f>'Tab. 6G - Roln i ochrona środ.'!L44</f>
        <v>1747513</v>
      </c>
      <c r="N257" s="4731"/>
      <c r="O257" s="4731"/>
      <c r="P257" s="4731"/>
      <c r="Q257" s="4731"/>
      <c r="R257" s="4732"/>
      <c r="S257" s="4733"/>
      <c r="T257" s="4733"/>
      <c r="U257" s="4733"/>
      <c r="V257" s="4733"/>
    </row>
    <row r="258" spans="1:22">
      <c r="A258" s="4726"/>
      <c r="B258" s="4734" t="s">
        <v>347</v>
      </c>
      <c r="C258" s="4735"/>
      <c r="D258" s="4736"/>
      <c r="E258" s="4737">
        <f>+F258+G258+H258+I258+J258+K258+L258+M258</f>
        <v>11896874</v>
      </c>
      <c r="F258" s="4738">
        <f>'Tab. 6G - Roln i ochrona środ.'!E45</f>
        <v>2167756</v>
      </c>
      <c r="G258" s="4738">
        <f>'Tab. 6G - Roln i ochrona środ.'!F45</f>
        <v>1350307</v>
      </c>
      <c r="H258" s="4738">
        <f>'Tab. 6G - Roln i ochrona środ.'!G45</f>
        <v>1927260</v>
      </c>
      <c r="I258" s="4738">
        <f>'Tab. 6G - Roln i ochrona środ.'!H45</f>
        <v>2364000</v>
      </c>
      <c r="J258" s="4738">
        <f>'Tab. 6G - Roln i ochrona środ.'!I45</f>
        <v>2182000</v>
      </c>
      <c r="K258" s="4738">
        <f>'Tab. 6G - Roln i ochrona środ.'!J45</f>
        <v>685335</v>
      </c>
      <c r="L258" s="4738">
        <f>'Tab. 6G - Roln i ochrona środ.'!K45</f>
        <v>585076</v>
      </c>
      <c r="M258" s="4738">
        <f>'Tab. 6G - Roln i ochrona środ.'!L45</f>
        <v>635140</v>
      </c>
      <c r="N258" s="4738"/>
      <c r="O258" s="4738"/>
      <c r="P258" s="4738"/>
      <c r="Q258" s="4738"/>
      <c r="R258" s="4739"/>
      <c r="S258" s="4739"/>
      <c r="T258" s="4739"/>
      <c r="U258" s="4739"/>
      <c r="V258" s="4739"/>
    </row>
    <row r="259" spans="1:22" ht="14.25" customHeight="1" thickBot="1">
      <c r="A259" s="4726"/>
      <c r="B259" s="4740" t="s">
        <v>197</v>
      </c>
      <c r="C259" s="4754">
        <f>E259-E260</f>
        <v>0</v>
      </c>
      <c r="D259" s="4742"/>
      <c r="E259" s="4743">
        <f>+F259+G259+H259+I259+J259+K259+L259+M259</f>
        <v>20814434</v>
      </c>
      <c r="F259" s="4744">
        <f>'Tab. 6G - Roln i ochrona środ.'!E49</f>
        <v>3792526</v>
      </c>
      <c r="G259" s="4744">
        <f>'Tab. 6G - Roln i ochrona środ.'!F49</f>
        <v>2362386</v>
      </c>
      <c r="H259" s="4744">
        <f>'Tab. 6G - Roln i ochrona środ.'!G49</f>
        <v>3372740</v>
      </c>
      <c r="I259" s="4744">
        <f>'Tab. 6G - Roln i ochrona środ.'!H49</f>
        <v>4136000</v>
      </c>
      <c r="J259" s="4744">
        <f>'Tab. 6G - Roln i ochrona środ.'!I49</f>
        <v>3818000</v>
      </c>
      <c r="K259" s="4744">
        <f>'Tab. 6G - Roln i ochrona środ.'!J49</f>
        <v>1197907</v>
      </c>
      <c r="L259" s="4744">
        <f>'Tab. 6G - Roln i ochrona środ.'!K49</f>
        <v>1022502</v>
      </c>
      <c r="M259" s="4744">
        <f>'Tab. 6G - Roln i ochrona środ.'!L49</f>
        <v>1112373</v>
      </c>
      <c r="N259" s="4744"/>
      <c r="O259" s="4744"/>
      <c r="P259" s="4744"/>
      <c r="Q259" s="4744"/>
      <c r="R259" s="4745"/>
      <c r="S259" s="4746"/>
      <c r="T259" s="4746"/>
      <c r="U259" s="4746"/>
      <c r="V259" s="4746"/>
    </row>
    <row r="260" spans="1:22" ht="13.5" customHeight="1" thickBot="1">
      <c r="A260" s="4747"/>
      <c r="B260" s="4748" t="s">
        <v>317</v>
      </c>
      <c r="C260" s="4749"/>
      <c r="D260" s="4750"/>
      <c r="E260" s="4751">
        <f>F260+G260+H260+I260+J260+K260+L260+M260</f>
        <v>20814434</v>
      </c>
      <c r="F260" s="4752">
        <f>'Tab. 6G - Roln i ochrona środ.'!E54</f>
        <v>3792526</v>
      </c>
      <c r="G260" s="4752">
        <f>'Tab. 6G - Roln i ochrona środ.'!F54</f>
        <v>2362386</v>
      </c>
      <c r="H260" s="4752">
        <f>'Tab. 6G - Roln i ochrona środ.'!G54</f>
        <v>3372740</v>
      </c>
      <c r="I260" s="4752">
        <f>'Tab. 6G - Roln i ochrona środ.'!H54</f>
        <v>4136000</v>
      </c>
      <c r="J260" s="4752">
        <f>'Tab. 6G - Roln i ochrona środ.'!I54</f>
        <v>3818000</v>
      </c>
      <c r="K260" s="4752">
        <f>'Tab. 6G - Roln i ochrona środ.'!J54</f>
        <v>1197907</v>
      </c>
      <c r="L260" s="4752">
        <f>'Tab. 6G - Roln i ochrona środ.'!K54</f>
        <v>1022502</v>
      </c>
      <c r="M260" s="4752">
        <f>'Tab. 6G - Roln i ochrona środ.'!L54</f>
        <v>1112373</v>
      </c>
      <c r="N260" s="4752"/>
      <c r="O260" s="4752"/>
      <c r="P260" s="4752"/>
      <c r="Q260" s="4752"/>
      <c r="R260" s="4753"/>
      <c r="S260" s="4753"/>
      <c r="T260" s="4753"/>
      <c r="U260" s="4753"/>
      <c r="V260" s="4753"/>
    </row>
    <row r="261" spans="1:22" ht="48.75" customHeight="1">
      <c r="A261" s="4757" t="s">
        <v>84</v>
      </c>
      <c r="B261" s="4758" t="str">
        <f>'Tab. 6G - Roln i ochrona środ.'!B77</f>
        <v xml:space="preserve">Wzmacnianie ochrony bociana białego i nietoperzy oraz realizacja zadań czynnej ochrony w rezerwatach przyrody na obszarach parków krajobrazowych województwa zachodniopomorskiego- bieżące" w ramach Osi IV RPO WZ (2016-2020) </v>
      </c>
      <c r="C261" s="4719" t="s">
        <v>653</v>
      </c>
      <c r="D261" s="4720"/>
      <c r="E261" s="4721"/>
      <c r="F261" s="4722"/>
      <c r="G261" s="4723"/>
      <c r="H261" s="4722"/>
      <c r="I261" s="4722"/>
      <c r="J261" s="4722"/>
      <c r="K261" s="4723"/>
      <c r="L261" s="4723"/>
      <c r="M261" s="4722"/>
      <c r="N261" s="4722"/>
      <c r="O261" s="4722"/>
      <c r="P261" s="4722"/>
      <c r="Q261" s="4722"/>
      <c r="R261" s="4724"/>
      <c r="S261" s="4725"/>
      <c r="T261" s="4725"/>
      <c r="U261" s="4725"/>
      <c r="V261" s="4725"/>
    </row>
    <row r="262" spans="1:22" ht="13.5" customHeight="1">
      <c r="A262" s="4759"/>
      <c r="B262" s="4727" t="s">
        <v>195</v>
      </c>
      <c r="C262" s="4728"/>
      <c r="D262" s="4729"/>
      <c r="E262" s="4730">
        <f>+F262+G262+H262+I262+J262+K262+L262+M262</f>
        <v>9980</v>
      </c>
      <c r="F262" s="4731">
        <f>'Tab. 6G - Roln i ochrona środ.'!E78</f>
        <v>0</v>
      </c>
      <c r="G262" s="4731">
        <f>'Tab. 6G - Roln i ochrona środ.'!F78</f>
        <v>0</v>
      </c>
      <c r="H262" s="4731">
        <f>'Tab. 6G - Roln i ochrona środ.'!G78</f>
        <v>3380</v>
      </c>
      <c r="I262" s="4731">
        <f>'Tab. 6G - Roln i ochrona środ.'!H78</f>
        <v>6600</v>
      </c>
      <c r="J262" s="4731">
        <f>'Tab. 6G - Roln i ochrona środ.'!I78</f>
        <v>0</v>
      </c>
      <c r="K262" s="4731">
        <f>'Tab. 6G - Roln i ochrona środ.'!J78</f>
        <v>0</v>
      </c>
      <c r="L262" s="4731">
        <f>'Tab. 6G - Roln i ochrona środ.'!K78</f>
        <v>0</v>
      </c>
      <c r="M262" s="4731">
        <f>'Tab. 6G - Roln i ochrona środ.'!L78</f>
        <v>0</v>
      </c>
      <c r="N262" s="4731"/>
      <c r="O262" s="4731"/>
      <c r="P262" s="4731"/>
      <c r="Q262" s="4731"/>
      <c r="R262" s="4732"/>
      <c r="S262" s="4733"/>
      <c r="T262" s="4733"/>
      <c r="U262" s="4733"/>
      <c r="V262" s="4733"/>
    </row>
    <row r="263" spans="1:22" ht="13.5" customHeight="1">
      <c r="A263" s="4759"/>
      <c r="B263" s="4734" t="s">
        <v>320</v>
      </c>
      <c r="C263" s="4735"/>
      <c r="D263" s="4736"/>
      <c r="E263" s="4737">
        <f>+F263+G263+H263+I263+J263+K263+L263+M263</f>
        <v>1497</v>
      </c>
      <c r="F263" s="4738">
        <f>'Tab. 6G - Roln i ochrona środ.'!E79</f>
        <v>0</v>
      </c>
      <c r="G263" s="4738">
        <f>'Tab. 6G - Roln i ochrona środ.'!F79</f>
        <v>0</v>
      </c>
      <c r="H263" s="4738">
        <f>'Tab. 6G - Roln i ochrona środ.'!G79</f>
        <v>507</v>
      </c>
      <c r="I263" s="4738">
        <f>'Tab. 6G - Roln i ochrona środ.'!H79</f>
        <v>990</v>
      </c>
      <c r="J263" s="4738">
        <f>'Tab. 6G - Roln i ochrona środ.'!I79</f>
        <v>0</v>
      </c>
      <c r="K263" s="4738">
        <f>'Tab. 6G - Roln i ochrona środ.'!J79</f>
        <v>0</v>
      </c>
      <c r="L263" s="4738">
        <f>'Tab. 6G - Roln i ochrona środ.'!K79</f>
        <v>0</v>
      </c>
      <c r="M263" s="4738">
        <f>'Tab. 6G - Roln i ochrona środ.'!L79</f>
        <v>0</v>
      </c>
      <c r="N263" s="4738"/>
      <c r="O263" s="4738"/>
      <c r="P263" s="4738"/>
      <c r="Q263" s="4738"/>
      <c r="R263" s="4739"/>
      <c r="S263" s="4739"/>
      <c r="T263" s="4739"/>
      <c r="U263" s="4739"/>
      <c r="V263" s="4739"/>
    </row>
    <row r="264" spans="1:22" ht="13.5" customHeight="1" thickBot="1">
      <c r="A264" s="4759"/>
      <c r="B264" s="4740" t="s">
        <v>197</v>
      </c>
      <c r="C264" s="4754">
        <f>E264-E265</f>
        <v>0</v>
      </c>
      <c r="D264" s="4742"/>
      <c r="E264" s="4743">
        <f>+F264+G264+H264+I264+J264+K264+L264+M264</f>
        <v>8483</v>
      </c>
      <c r="F264" s="4744">
        <f>'Tab. 6G - Roln i ochrona środ.'!E81</f>
        <v>0</v>
      </c>
      <c r="G264" s="4744">
        <f>'Tab. 6G - Roln i ochrona środ.'!F81</f>
        <v>0</v>
      </c>
      <c r="H264" s="4744">
        <f>'Tab. 6G - Roln i ochrona środ.'!G81</f>
        <v>2873</v>
      </c>
      <c r="I264" s="4744">
        <f>'Tab. 6G - Roln i ochrona środ.'!H81</f>
        <v>5610</v>
      </c>
      <c r="J264" s="4744">
        <f>'Tab. 6G - Roln i ochrona środ.'!I81</f>
        <v>0</v>
      </c>
      <c r="K264" s="4744">
        <f>'Tab. 6G - Roln i ochrona środ.'!J81</f>
        <v>0</v>
      </c>
      <c r="L264" s="4744">
        <f>'Tab. 6G - Roln i ochrona środ.'!K81</f>
        <v>0</v>
      </c>
      <c r="M264" s="4744">
        <f>'Tab. 6G - Roln i ochrona środ.'!L81</f>
        <v>0</v>
      </c>
      <c r="N264" s="4744"/>
      <c r="O264" s="4744"/>
      <c r="P264" s="4744"/>
      <c r="Q264" s="4744"/>
      <c r="R264" s="4745"/>
      <c r="S264" s="4746"/>
      <c r="T264" s="4746"/>
      <c r="U264" s="4746"/>
      <c r="V264" s="4746"/>
    </row>
    <row r="265" spans="1:22" ht="13.5" customHeight="1" thickBot="1">
      <c r="A265" s="4763"/>
      <c r="B265" s="4748" t="s">
        <v>317</v>
      </c>
      <c r="C265" s="4749"/>
      <c r="D265" s="4750"/>
      <c r="E265" s="4751">
        <f>F265+G265+H265+I265+J265+K265+L265+M265</f>
        <v>8483</v>
      </c>
      <c r="F265" s="4752">
        <f>'Tab. 6G - Roln i ochrona środ.'!E84</f>
        <v>0</v>
      </c>
      <c r="G265" s="4752">
        <f>'Tab. 6G - Roln i ochrona środ.'!F84</f>
        <v>0</v>
      </c>
      <c r="H265" s="4752">
        <f>'Tab. 6G - Roln i ochrona środ.'!G84</f>
        <v>2873</v>
      </c>
      <c r="I265" s="4752">
        <f>'Tab. 6G - Roln i ochrona środ.'!H84</f>
        <v>5610</v>
      </c>
      <c r="J265" s="4752">
        <f>'Tab. 6G - Roln i ochrona środ.'!I84</f>
        <v>0</v>
      </c>
      <c r="K265" s="4752">
        <f>'Tab. 6G - Roln i ochrona środ.'!J84</f>
        <v>0</v>
      </c>
      <c r="L265" s="4752">
        <f>'Tab. 6G - Roln i ochrona środ.'!K84</f>
        <v>0</v>
      </c>
      <c r="M265" s="4752">
        <f>'Tab. 6G - Roln i ochrona środ.'!L84</f>
        <v>0</v>
      </c>
      <c r="N265" s="4752"/>
      <c r="O265" s="4752"/>
      <c r="P265" s="4752"/>
      <c r="Q265" s="4752"/>
      <c r="R265" s="4753"/>
      <c r="S265" s="4753"/>
      <c r="T265" s="4753"/>
      <c r="U265" s="4753"/>
      <c r="V265" s="4753"/>
    </row>
    <row r="266" spans="1:22" ht="24">
      <c r="A266" s="4717" t="s">
        <v>85</v>
      </c>
      <c r="B266" s="4718" t="str">
        <f>'Tab.6I - Planow. przestrz.'!B26</f>
        <v>Bałtyckie Obszary Energii - Perspektywa Planistyczna BEA-APP w ramach programu EWT Region Morza Bałtyckiego (2016-2019)</v>
      </c>
      <c r="C266" s="4719" t="s">
        <v>335</v>
      </c>
      <c r="D266" s="4720">
        <f>E269/E267%</f>
        <v>85.000343505967635</v>
      </c>
      <c r="E266" s="4721"/>
      <c r="F266" s="4722"/>
      <c r="G266" s="4723"/>
      <c r="H266" s="4722"/>
      <c r="I266" s="4722"/>
      <c r="J266" s="4722"/>
      <c r="K266" s="4723"/>
      <c r="L266" s="4723"/>
      <c r="M266" s="4722"/>
      <c r="N266" s="4722"/>
      <c r="O266" s="4722"/>
      <c r="P266" s="4722"/>
      <c r="Q266" s="4722"/>
      <c r="R266" s="4724"/>
      <c r="S266" s="4725"/>
      <c r="T266" s="4725"/>
      <c r="U266" s="4725"/>
      <c r="V266" s="4725"/>
    </row>
    <row r="267" spans="1:22" ht="13.5" customHeight="1">
      <c r="A267" s="4726"/>
      <c r="B267" s="4727" t="s">
        <v>195</v>
      </c>
      <c r="C267" s="4728"/>
      <c r="D267" s="4729"/>
      <c r="E267" s="4730">
        <f>+F267+G267+H267+I267+J267+K267+L267+M267</f>
        <v>960682</v>
      </c>
      <c r="F267" s="4731">
        <f>'Tab.6I - Planow. przestrz.'!E27</f>
        <v>184963</v>
      </c>
      <c r="G267" s="4731">
        <f>'Tab.6I - Planow. przestrz.'!F27</f>
        <v>332518</v>
      </c>
      <c r="H267" s="4731">
        <f>'Tab.6I - Planow. przestrz.'!G27</f>
        <v>408671</v>
      </c>
      <c r="I267" s="4731">
        <f>'Tab.6I - Planow. przestrz.'!H27</f>
        <v>34530</v>
      </c>
      <c r="J267" s="4731">
        <f>'Tab.6I - Planow. przestrz.'!I27</f>
        <v>0</v>
      </c>
      <c r="K267" s="4731">
        <f>'Tab.6I - Planow. przestrz.'!J27</f>
        <v>0</v>
      </c>
      <c r="L267" s="4731">
        <f>'Tab.6I - Planow. przestrz.'!K27</f>
        <v>0</v>
      </c>
      <c r="M267" s="4731"/>
      <c r="N267" s="4731"/>
      <c r="O267" s="4731"/>
      <c r="P267" s="4731"/>
      <c r="Q267" s="4731"/>
      <c r="R267" s="4732"/>
      <c r="S267" s="4733"/>
      <c r="T267" s="4733"/>
      <c r="U267" s="4733"/>
      <c r="V267" s="4733"/>
    </row>
    <row r="268" spans="1:22" ht="13.5" customHeight="1">
      <c r="A268" s="4726"/>
      <c r="B268" s="4734" t="s">
        <v>320</v>
      </c>
      <c r="C268" s="4735"/>
      <c r="D268" s="4736"/>
      <c r="E268" s="4737">
        <f>+F268+G268+H268+I268+J268+K268+L268+M268</f>
        <v>144099</v>
      </c>
      <c r="F268" s="4738">
        <f>'Tab.6I - Planow. przestrz.'!E28</f>
        <v>27744</v>
      </c>
      <c r="G268" s="4738">
        <f>'Tab.6I - Planow. przestrz.'!F28</f>
        <v>49876</v>
      </c>
      <c r="H268" s="4738">
        <f>'Tab.6I - Planow. przestrz.'!G28</f>
        <v>61298</v>
      </c>
      <c r="I268" s="4738">
        <f>'Tab.6I - Planow. przestrz.'!H28</f>
        <v>5181</v>
      </c>
      <c r="J268" s="4738">
        <f>'Tab.6I - Planow. przestrz.'!I28</f>
        <v>0</v>
      </c>
      <c r="K268" s="4738">
        <f>'Tab.6I - Planow. przestrz.'!J28</f>
        <v>0</v>
      </c>
      <c r="L268" s="4738">
        <f>'Tab.6I - Planow. przestrz.'!K28</f>
        <v>0</v>
      </c>
      <c r="M268" s="4738"/>
      <c r="N268" s="4738"/>
      <c r="O268" s="4738"/>
      <c r="P268" s="4738"/>
      <c r="Q268" s="4738"/>
      <c r="R268" s="4739"/>
      <c r="S268" s="4739"/>
      <c r="T268" s="4739"/>
      <c r="U268" s="4739"/>
      <c r="V268" s="4739"/>
    </row>
    <row r="269" spans="1:22" ht="13.5" customHeight="1" thickBot="1">
      <c r="A269" s="4726"/>
      <c r="B269" s="4740" t="s">
        <v>197</v>
      </c>
      <c r="C269" s="4754">
        <f>E269-E270</f>
        <v>0</v>
      </c>
      <c r="D269" s="4742"/>
      <c r="E269" s="4743">
        <f>+F269+G269+H269+I269+J269+K269+L269+M269</f>
        <v>816583</v>
      </c>
      <c r="F269" s="4744">
        <f>'Tab.6I - Planow. przestrz.'!E30</f>
        <v>157219</v>
      </c>
      <c r="G269" s="4744">
        <f>'Tab.6I - Planow. przestrz.'!F30</f>
        <v>282642</v>
      </c>
      <c r="H269" s="4744">
        <f>'Tab.6I - Planow. przestrz.'!G30</f>
        <v>347373</v>
      </c>
      <c r="I269" s="4744">
        <f>'Tab.6I - Planow. przestrz.'!H30</f>
        <v>29349</v>
      </c>
      <c r="J269" s="4744">
        <f>'Tab.6I - Planow. przestrz.'!I30</f>
        <v>0</v>
      </c>
      <c r="K269" s="4744">
        <f>'Tab.6I - Planow. przestrz.'!J30</f>
        <v>0</v>
      </c>
      <c r="L269" s="4744">
        <f>'Tab.6I - Planow. przestrz.'!K30</f>
        <v>0</v>
      </c>
      <c r="M269" s="4744"/>
      <c r="N269" s="4744"/>
      <c r="O269" s="4744"/>
      <c r="P269" s="4744"/>
      <c r="Q269" s="4744"/>
      <c r="R269" s="4745"/>
      <c r="S269" s="4746"/>
      <c r="T269" s="4746"/>
      <c r="U269" s="4746"/>
      <c r="V269" s="4746"/>
    </row>
    <row r="270" spans="1:22" ht="13.5" customHeight="1" thickBot="1">
      <c r="A270" s="4747"/>
      <c r="B270" s="4748" t="s">
        <v>317</v>
      </c>
      <c r="C270" s="4749"/>
      <c r="D270" s="4750"/>
      <c r="E270" s="4751">
        <f>F270+G270+H270+I270+J270+K270+L270+M270</f>
        <v>816583</v>
      </c>
      <c r="F270" s="4752">
        <f>'Tab.6I - Planow. przestrz.'!E33</f>
        <v>0</v>
      </c>
      <c r="G270" s="4752">
        <f>'Tab.6I - Planow. przestrz.'!F33</f>
        <v>183266</v>
      </c>
      <c r="H270" s="4752">
        <f>'Tab.6I - Planow. przestrz.'!G33</f>
        <v>328844</v>
      </c>
      <c r="I270" s="4752">
        <f>'Tab.6I - Planow. przestrz.'!H33</f>
        <v>294473</v>
      </c>
      <c r="J270" s="4752">
        <f>'Tab.6I - Planow. przestrz.'!I33</f>
        <v>10000</v>
      </c>
      <c r="K270" s="4752">
        <f>'Tab.6I - Planow. przestrz.'!J33</f>
        <v>0</v>
      </c>
      <c r="L270" s="4752">
        <f>'Tab.6I - Planow. przestrz.'!K33</f>
        <v>0</v>
      </c>
      <c r="M270" s="4752"/>
      <c r="N270" s="4752"/>
      <c r="O270" s="4752"/>
      <c r="P270" s="4752"/>
      <c r="Q270" s="4752"/>
      <c r="R270" s="4753"/>
      <c r="S270" s="4753"/>
      <c r="T270" s="4753"/>
      <c r="U270" s="4753"/>
      <c r="V270" s="4753"/>
    </row>
    <row r="271" spans="1:22" ht="39" customHeight="1">
      <c r="A271" s="4717" t="s">
        <v>86</v>
      </c>
      <c r="B271" s="4718" t="str">
        <f>'Tab.6I - Planow. przestrz.'!B35</f>
        <v>Zrównoważona mobilność na obszarze ostatniej mili w regionach turystycznych (LAST MILE) w ramach programu EWT Region Morza Bałtyckiego (2016-2020)</v>
      </c>
      <c r="C271" s="4719" t="s">
        <v>336</v>
      </c>
      <c r="D271" s="4720">
        <f>E274/E272%</f>
        <v>85.092573660612032</v>
      </c>
      <c r="E271" s="4721"/>
      <c r="F271" s="4722"/>
      <c r="G271" s="4723"/>
      <c r="H271" s="4722"/>
      <c r="I271" s="4722"/>
      <c r="J271" s="4722"/>
      <c r="K271" s="4723"/>
      <c r="L271" s="4723"/>
      <c r="M271" s="4722"/>
      <c r="N271" s="4722"/>
      <c r="O271" s="4722"/>
      <c r="P271" s="4722"/>
      <c r="Q271" s="4722"/>
      <c r="R271" s="4724"/>
      <c r="S271" s="4725"/>
      <c r="T271" s="4725"/>
      <c r="U271" s="4725"/>
      <c r="V271" s="4725"/>
    </row>
    <row r="272" spans="1:22" ht="13.5" customHeight="1">
      <c r="A272" s="4726"/>
      <c r="B272" s="4727" t="s">
        <v>195</v>
      </c>
      <c r="C272" s="4728"/>
      <c r="D272" s="4729"/>
      <c r="E272" s="4730">
        <f>+F272+G272+H272+I272+J272+K272+L272+M272</f>
        <v>895017</v>
      </c>
      <c r="F272" s="4731">
        <f>'Tab.6I - Planow. przestrz.'!E36</f>
        <v>164812</v>
      </c>
      <c r="G272" s="4731">
        <f>'Tab.6I - Planow. przestrz.'!F36</f>
        <v>323767</v>
      </c>
      <c r="H272" s="4731">
        <f>'Tab.6I - Planow. przestrz.'!G36</f>
        <v>305828</v>
      </c>
      <c r="I272" s="4731">
        <f>'Tab.6I - Planow. przestrz.'!H36</f>
        <v>43185</v>
      </c>
      <c r="J272" s="4731">
        <f>'Tab.6I - Planow. przestrz.'!I36</f>
        <v>57425</v>
      </c>
      <c r="K272" s="4731">
        <f>'Tab.6I - Planow. przestrz.'!J36</f>
        <v>0</v>
      </c>
      <c r="L272" s="4731">
        <f>'Tab.6I - Planow. przestrz.'!K36</f>
        <v>0</v>
      </c>
      <c r="M272" s="4731">
        <f>'Tab.6I - Planow. przestrz.'!L36</f>
        <v>0</v>
      </c>
      <c r="N272" s="4731"/>
      <c r="O272" s="4731"/>
      <c r="P272" s="4731"/>
      <c r="Q272" s="4731"/>
      <c r="R272" s="4732"/>
      <c r="S272" s="4733"/>
      <c r="T272" s="4733"/>
      <c r="U272" s="4733"/>
      <c r="V272" s="4733"/>
    </row>
    <row r="273" spans="1:22" ht="13.5" customHeight="1">
      <c r="A273" s="4726"/>
      <c r="B273" s="4734" t="s">
        <v>320</v>
      </c>
      <c r="C273" s="4735"/>
      <c r="D273" s="4736"/>
      <c r="E273" s="4737">
        <f>+F273+G273+H273+I273+J273+K273+L273+M273</f>
        <v>133424</v>
      </c>
      <c r="F273" s="4738">
        <f>'Tab.6I - Planow. przestrz.'!E37</f>
        <v>23893</v>
      </c>
      <c r="G273" s="4738">
        <f>'Tab.6I - Planow. przestrz.'!F37</f>
        <v>48565</v>
      </c>
      <c r="H273" s="4738">
        <f>'Tab.6I - Planow. przestrz.'!G37</f>
        <v>46007</v>
      </c>
      <c r="I273" s="4738">
        <f>'Tab.6I - Planow. przestrz.'!H37</f>
        <v>6345</v>
      </c>
      <c r="J273" s="4738">
        <f>'Tab.6I - Planow. przestrz.'!I37</f>
        <v>8614</v>
      </c>
      <c r="K273" s="4738">
        <f>'Tab.6I - Planow. przestrz.'!J37</f>
        <v>0</v>
      </c>
      <c r="L273" s="4738">
        <f>'Tab.6I - Planow. przestrz.'!K37</f>
        <v>0</v>
      </c>
      <c r="M273" s="4738">
        <f>'Tab.6I - Planow. przestrz.'!L37</f>
        <v>0</v>
      </c>
      <c r="N273" s="4738"/>
      <c r="O273" s="4738"/>
      <c r="P273" s="4738"/>
      <c r="Q273" s="4738"/>
      <c r="R273" s="4739"/>
      <c r="S273" s="4739"/>
      <c r="T273" s="4739"/>
      <c r="U273" s="4739"/>
      <c r="V273" s="4739"/>
    </row>
    <row r="274" spans="1:22" ht="13.5" customHeight="1" thickBot="1">
      <c r="A274" s="4726"/>
      <c r="B274" s="4740" t="s">
        <v>197</v>
      </c>
      <c r="C274" s="4754">
        <f>E274-E275</f>
        <v>0</v>
      </c>
      <c r="D274" s="4742"/>
      <c r="E274" s="4743">
        <f>+F274+G274+H274+I274+J274+K274+L274+M274</f>
        <v>761593</v>
      </c>
      <c r="F274" s="4744">
        <f>'Tab.6I - Planow. przestrz.'!E39</f>
        <v>140919</v>
      </c>
      <c r="G274" s="4744">
        <f>'Tab.6I - Planow. przestrz.'!F39</f>
        <v>275202</v>
      </c>
      <c r="H274" s="4744">
        <f>'Tab.6I - Planow. przestrz.'!G39</f>
        <v>259821</v>
      </c>
      <c r="I274" s="4744">
        <f>'Tab.6I - Planow. przestrz.'!H39</f>
        <v>36840</v>
      </c>
      <c r="J274" s="4744">
        <f>'Tab.6I - Planow. przestrz.'!I39</f>
        <v>48811</v>
      </c>
      <c r="K274" s="4744">
        <f>'Tab.6I - Planow. przestrz.'!J39</f>
        <v>0</v>
      </c>
      <c r="L274" s="4744">
        <f>'Tab.6I - Planow. przestrz.'!K39</f>
        <v>0</v>
      </c>
      <c r="M274" s="4744">
        <f>'Tab.6I - Planow. przestrz.'!L39</f>
        <v>0</v>
      </c>
      <c r="N274" s="4744"/>
      <c r="O274" s="4744"/>
      <c r="P274" s="4744"/>
      <c r="Q274" s="4744"/>
      <c r="R274" s="4745"/>
      <c r="S274" s="4746"/>
      <c r="T274" s="4746"/>
      <c r="U274" s="4746"/>
      <c r="V274" s="4746"/>
    </row>
    <row r="275" spans="1:22" ht="13.5" customHeight="1" thickBot="1">
      <c r="A275" s="4747"/>
      <c r="B275" s="4748" t="s">
        <v>317</v>
      </c>
      <c r="C275" s="4749"/>
      <c r="D275" s="4750"/>
      <c r="E275" s="4751">
        <f>F275+G275+H275+I275+J275+K275+L275+M275</f>
        <v>761593</v>
      </c>
      <c r="F275" s="4752">
        <f>'Tab.6I - Planow. przestrz.'!E42</f>
        <v>0</v>
      </c>
      <c r="G275" s="4752">
        <f>'Tab.6I - Planow. przestrz.'!F42</f>
        <v>206519</v>
      </c>
      <c r="H275" s="4752">
        <f>'Tab.6I - Planow. przestrz.'!G42</f>
        <v>296984</v>
      </c>
      <c r="I275" s="4752">
        <f>'Tab.6I - Planow. przestrz.'!H42</f>
        <v>238090</v>
      </c>
      <c r="J275" s="4752">
        <f>'Tab.6I - Planow. przestrz.'!I42</f>
        <v>10000</v>
      </c>
      <c r="K275" s="4752">
        <f>'Tab.6I - Planow. przestrz.'!J42</f>
        <v>10000</v>
      </c>
      <c r="L275" s="4752">
        <f>'Tab.6I - Planow. przestrz.'!K42</f>
        <v>0</v>
      </c>
      <c r="M275" s="4752">
        <f>'Tab.6I - Planow. przestrz.'!L42</f>
        <v>0</v>
      </c>
      <c r="N275" s="4752"/>
      <c r="O275" s="4752"/>
      <c r="P275" s="4752"/>
      <c r="Q275" s="4752"/>
      <c r="R275" s="4753"/>
      <c r="S275" s="4753"/>
      <c r="T275" s="4753"/>
      <c r="U275" s="4753"/>
      <c r="V275" s="4753"/>
    </row>
    <row r="276" spans="1:22" ht="27" customHeight="1">
      <c r="A276" s="4717" t="s">
        <v>87</v>
      </c>
      <c r="B276" s="4718" t="str">
        <f>'Tab.6I - Planow. przestrz.'!B44</f>
        <v>Wsparcie techniczne Interreg VA Południowy Bałtyk - wydatki bieżące (2015-2020)</v>
      </c>
      <c r="C276" s="4719" t="s">
        <v>333</v>
      </c>
      <c r="D276" s="4720">
        <f>E279/E277%</f>
        <v>74.790608509548449</v>
      </c>
      <c r="E276" s="4721"/>
      <c r="F276" s="4722"/>
      <c r="G276" s="4723"/>
      <c r="H276" s="4722"/>
      <c r="I276" s="4722"/>
      <c r="J276" s="4722"/>
      <c r="K276" s="4723"/>
      <c r="L276" s="4723"/>
      <c r="M276" s="4722"/>
      <c r="N276" s="4722"/>
      <c r="O276" s="4722"/>
      <c r="P276" s="4722"/>
      <c r="Q276" s="4722"/>
      <c r="R276" s="4724"/>
      <c r="S276" s="4725"/>
      <c r="T276" s="4725"/>
      <c r="U276" s="4725"/>
      <c r="V276" s="4725"/>
    </row>
    <row r="277" spans="1:22" ht="13.5" customHeight="1">
      <c r="A277" s="4726"/>
      <c r="B277" s="4727" t="s">
        <v>195</v>
      </c>
      <c r="C277" s="4728"/>
      <c r="D277" s="4729"/>
      <c r="E277" s="4730">
        <f>+F277+G277+H277+I277+J277+K277+L277+M277</f>
        <v>394357</v>
      </c>
      <c r="F277" s="4731">
        <f>'Tab.6I - Planow. przestrz.'!E45</f>
        <v>88043</v>
      </c>
      <c r="G277" s="4731">
        <f>'Tab.6I - Planow. przestrz.'!F45</f>
        <v>54732</v>
      </c>
      <c r="H277" s="4731">
        <f>'Tab.6I - Planow. przestrz.'!G45</f>
        <v>101301</v>
      </c>
      <c r="I277" s="4731">
        <f>'Tab.6I - Planow. przestrz.'!H45</f>
        <v>75142</v>
      </c>
      <c r="J277" s="4731">
        <f>'Tab.6I - Planow. przestrz.'!I45</f>
        <v>75139</v>
      </c>
      <c r="K277" s="4731">
        <f>'Tab.6I - Planow. przestrz.'!J45</f>
        <v>0</v>
      </c>
      <c r="L277" s="4731">
        <f>'Tab.6I - Planow. przestrz.'!K45</f>
        <v>0</v>
      </c>
      <c r="M277" s="4731">
        <f>'Tab.6I - Planow. przestrz.'!L45</f>
        <v>0</v>
      </c>
      <c r="N277" s="4731"/>
      <c r="O277" s="4731"/>
      <c r="P277" s="4731"/>
      <c r="Q277" s="4731"/>
      <c r="R277" s="4732"/>
      <c r="S277" s="4733"/>
      <c r="T277" s="4733"/>
      <c r="U277" s="4733"/>
      <c r="V277" s="4733"/>
    </row>
    <row r="278" spans="1:22" ht="30" customHeight="1">
      <c r="A278" s="4726"/>
      <c r="B278" s="4734" t="s">
        <v>350</v>
      </c>
      <c r="C278" s="4735"/>
      <c r="D278" s="4736"/>
      <c r="E278" s="4737">
        <f>+F278+G278+H278+I278+J278+K278+L278+M278</f>
        <v>99415</v>
      </c>
      <c r="F278" s="4738">
        <f>'Tab.6I - Planow. przestrz.'!E46</f>
        <v>22177</v>
      </c>
      <c r="G278" s="4738">
        <f>'Tab.6I - Planow. przestrz.'!F46</f>
        <v>13783</v>
      </c>
      <c r="H278" s="4738">
        <f>'Tab.6I - Planow. przestrz.'!G46</f>
        <v>25583</v>
      </c>
      <c r="I278" s="4738">
        <f>'Tab.6I - Planow. przestrz.'!H46</f>
        <v>18937</v>
      </c>
      <c r="J278" s="4738">
        <f>'Tab.6I - Planow. przestrz.'!I46</f>
        <v>18935</v>
      </c>
      <c r="K278" s="4738">
        <f>'Tab.6I - Planow. przestrz.'!J46</f>
        <v>0</v>
      </c>
      <c r="L278" s="4738">
        <f>'Tab.6I - Planow. przestrz.'!K46</f>
        <v>0</v>
      </c>
      <c r="M278" s="4738">
        <f>'Tab.6I - Planow. przestrz.'!L46</f>
        <v>0</v>
      </c>
      <c r="N278" s="4738"/>
      <c r="O278" s="4738"/>
      <c r="P278" s="4738"/>
      <c r="Q278" s="4738"/>
      <c r="R278" s="4739"/>
      <c r="S278" s="4739"/>
      <c r="T278" s="4739"/>
      <c r="U278" s="4739"/>
      <c r="V278" s="4739"/>
    </row>
    <row r="279" spans="1:22" ht="13.5" customHeight="1" thickBot="1">
      <c r="A279" s="4726"/>
      <c r="B279" s="4740" t="s">
        <v>197</v>
      </c>
      <c r="C279" s="4754">
        <f>E279-E280</f>
        <v>0</v>
      </c>
      <c r="D279" s="4742"/>
      <c r="E279" s="4743">
        <f>+F279+G279+H279+I279+J279+K279+L279+M279</f>
        <v>294942</v>
      </c>
      <c r="F279" s="4744">
        <f>'Tab.6I - Planow. przestrz.'!E52</f>
        <v>65866</v>
      </c>
      <c r="G279" s="4744">
        <f>'Tab.6I - Planow. przestrz.'!F52</f>
        <v>40949</v>
      </c>
      <c r="H279" s="4744">
        <f>'Tab.6I - Planow. przestrz.'!G52</f>
        <v>75718</v>
      </c>
      <c r="I279" s="4744">
        <f>'Tab.6I - Planow. przestrz.'!H52</f>
        <v>56205</v>
      </c>
      <c r="J279" s="4744">
        <f>'Tab.6I - Planow. przestrz.'!I52</f>
        <v>56204</v>
      </c>
      <c r="K279" s="4744">
        <f>'Tab.6I - Planow. przestrz.'!J52</f>
        <v>0</v>
      </c>
      <c r="L279" s="4744">
        <f>'Tab.6I - Planow. przestrz.'!K52</f>
        <v>0</v>
      </c>
      <c r="M279" s="4744">
        <f>'Tab.6I - Planow. przestrz.'!L52</f>
        <v>0</v>
      </c>
      <c r="N279" s="4744"/>
      <c r="O279" s="4744"/>
      <c r="P279" s="4744"/>
      <c r="Q279" s="4744"/>
      <c r="R279" s="4745"/>
      <c r="S279" s="4746"/>
      <c r="T279" s="4746"/>
      <c r="U279" s="4746"/>
      <c r="V279" s="4746"/>
    </row>
    <row r="280" spans="1:22" ht="13.5" customHeight="1" thickBot="1">
      <c r="A280" s="4747"/>
      <c r="B280" s="4748" t="s">
        <v>317</v>
      </c>
      <c r="C280" s="4749"/>
      <c r="D280" s="4750"/>
      <c r="E280" s="4751">
        <f>F280+G280+H280+I280+J280+K280+L280+M280</f>
        <v>294942</v>
      </c>
      <c r="F280" s="4752">
        <f>'Tab.6I - Planow. przestrz.'!E60</f>
        <v>0</v>
      </c>
      <c r="G280" s="4752">
        <f>'Tab.6I - Planow. przestrz.'!F60</f>
        <v>69335</v>
      </c>
      <c r="H280" s="4752">
        <f>'Tab.6I - Planow. przestrz.'!G60</f>
        <v>56409</v>
      </c>
      <c r="I280" s="4752">
        <f>'Tab.6I - Planow. przestrz.'!H60</f>
        <v>70838</v>
      </c>
      <c r="J280" s="4752">
        <f>'Tab.6I - Planow. przestrz.'!I60</f>
        <v>56207</v>
      </c>
      <c r="K280" s="4752">
        <f>'Tab.6I - Planow. przestrz.'!J60</f>
        <v>42153</v>
      </c>
      <c r="L280" s="4752">
        <f>'Tab.6I - Planow. przestrz.'!K60</f>
        <v>0</v>
      </c>
      <c r="M280" s="4752">
        <f>'Tab.6I - Planow. przestrz.'!L60</f>
        <v>0</v>
      </c>
      <c r="N280" s="4752"/>
      <c r="O280" s="4752"/>
      <c r="P280" s="4752"/>
      <c r="Q280" s="4752"/>
      <c r="R280" s="4753"/>
      <c r="S280" s="4753"/>
      <c r="T280" s="4753"/>
      <c r="U280" s="4753"/>
      <c r="V280" s="4753"/>
    </row>
    <row r="281" spans="1:22" ht="26.25" customHeight="1">
      <c r="A281" s="4717" t="s">
        <v>88</v>
      </c>
      <c r="B281" s="4718" t="str">
        <f>'Tab. 6A -Drogi'!B434</f>
        <v>TENTacle – wykorzystanie korytarzy sieci bazowej TEN-T w ramach PW INTERREG VB (2016-2019)</v>
      </c>
      <c r="C281" s="4719" t="s">
        <v>351</v>
      </c>
      <c r="D281" s="4720">
        <f>E284/E282%</f>
        <v>84.54315915419231</v>
      </c>
      <c r="E281" s="4721"/>
      <c r="F281" s="4722"/>
      <c r="G281" s="4723"/>
      <c r="H281" s="4722"/>
      <c r="I281" s="4722"/>
      <c r="J281" s="4722"/>
      <c r="K281" s="4723"/>
      <c r="L281" s="4723"/>
      <c r="M281" s="4722"/>
      <c r="N281" s="4722"/>
      <c r="O281" s="4722"/>
      <c r="P281" s="4722"/>
      <c r="Q281" s="4722"/>
      <c r="R281" s="4724"/>
      <c r="S281" s="4725"/>
      <c r="T281" s="4725"/>
      <c r="U281" s="4725"/>
      <c r="V281" s="4725"/>
    </row>
    <row r="282" spans="1:22" ht="13.5" customHeight="1">
      <c r="A282" s="4726"/>
      <c r="B282" s="4727" t="s">
        <v>195</v>
      </c>
      <c r="C282" s="4728"/>
      <c r="D282" s="4729"/>
      <c r="E282" s="4730">
        <f>+F282+G282+H282+I282+J282+K282+L282+M282</f>
        <v>454666</v>
      </c>
      <c r="F282" s="4731">
        <f>'Tab. 6A -Drogi'!E435</f>
        <v>48374</v>
      </c>
      <c r="G282" s="4731">
        <f>'Tab. 6A -Drogi'!F435</f>
        <v>130976</v>
      </c>
      <c r="H282" s="4731">
        <f>'Tab. 6A -Drogi'!G435</f>
        <v>167936</v>
      </c>
      <c r="I282" s="4731">
        <f>'Tab. 6A -Drogi'!H435</f>
        <v>107380</v>
      </c>
      <c r="J282" s="4731">
        <f>'Tab. 6A -Drogi'!I435</f>
        <v>0</v>
      </c>
      <c r="K282" s="4731">
        <f>'Tab. 6A -Drogi'!J435</f>
        <v>0</v>
      </c>
      <c r="L282" s="4731">
        <f>'Tab. 6A -Drogi'!K435</f>
        <v>0</v>
      </c>
      <c r="M282" s="4731">
        <f>'Tab. 6A -Drogi'!L435</f>
        <v>0</v>
      </c>
      <c r="N282" s="4731"/>
      <c r="O282" s="4731"/>
      <c r="P282" s="4731"/>
      <c r="Q282" s="4731"/>
      <c r="R282" s="4732"/>
      <c r="S282" s="4733"/>
      <c r="T282" s="4733"/>
      <c r="U282" s="4733"/>
      <c r="V282" s="4733"/>
    </row>
    <row r="283" spans="1:22">
      <c r="A283" s="4726"/>
      <c r="B283" s="4734" t="s">
        <v>320</v>
      </c>
      <c r="C283" s="4735"/>
      <c r="D283" s="4736"/>
      <c r="E283" s="4737">
        <f>+F283+G283+H283+I283+J283+K283+L283+M283</f>
        <v>70277</v>
      </c>
      <c r="F283" s="4738">
        <f>'Tab. 6A -Drogi'!E436</f>
        <v>7548</v>
      </c>
      <c r="G283" s="4738">
        <f>'Tab. 6A -Drogi'!F436</f>
        <v>19763</v>
      </c>
      <c r="H283" s="4738">
        <f>'Tab. 6A -Drogi'!G436</f>
        <v>25755</v>
      </c>
      <c r="I283" s="4738">
        <f>'Tab. 6A -Drogi'!H436</f>
        <v>17211</v>
      </c>
      <c r="J283" s="4738">
        <f>'Tab. 6A -Drogi'!I436</f>
        <v>0</v>
      </c>
      <c r="K283" s="4738">
        <f>'Tab. 6A -Drogi'!J436</f>
        <v>0</v>
      </c>
      <c r="L283" s="4738">
        <f>'Tab. 6A -Drogi'!K436</f>
        <v>0</v>
      </c>
      <c r="M283" s="4738">
        <f>'Tab. 6A -Drogi'!L436</f>
        <v>0</v>
      </c>
      <c r="N283" s="4738"/>
      <c r="O283" s="4738"/>
      <c r="P283" s="4738"/>
      <c r="Q283" s="4738"/>
      <c r="R283" s="4739"/>
      <c r="S283" s="4739"/>
      <c r="T283" s="4739"/>
      <c r="U283" s="4739"/>
      <c r="V283" s="4739"/>
    </row>
    <row r="284" spans="1:22" ht="13.5" customHeight="1" thickBot="1">
      <c r="A284" s="4726"/>
      <c r="B284" s="4740" t="s">
        <v>197</v>
      </c>
      <c r="C284" s="4754">
        <f>E284-E285</f>
        <v>0</v>
      </c>
      <c r="D284" s="4742"/>
      <c r="E284" s="4743">
        <f>+F284+G284+H284+I284+J284+K284+L284+M284</f>
        <v>384389</v>
      </c>
      <c r="F284" s="4744">
        <f>'Tab. 6A -Drogi'!E441</f>
        <v>40826</v>
      </c>
      <c r="G284" s="4744">
        <f>'Tab. 6A -Drogi'!F441</f>
        <v>111213</v>
      </c>
      <c r="H284" s="4744">
        <f>'Tab. 6A -Drogi'!G441</f>
        <v>142181</v>
      </c>
      <c r="I284" s="4744">
        <f>'Tab. 6A -Drogi'!H441</f>
        <v>90169</v>
      </c>
      <c r="J284" s="4744">
        <f>'Tab. 6A -Drogi'!I441</f>
        <v>0</v>
      </c>
      <c r="K284" s="4744">
        <f>'Tab. 6A -Drogi'!J441</f>
        <v>0</v>
      </c>
      <c r="L284" s="4744">
        <f>'Tab. 6A -Drogi'!K441</f>
        <v>0</v>
      </c>
      <c r="M284" s="4744">
        <f>'Tab. 6A -Drogi'!L441</f>
        <v>0</v>
      </c>
      <c r="N284" s="4744"/>
      <c r="O284" s="4744"/>
      <c r="P284" s="4744"/>
      <c r="Q284" s="4744"/>
      <c r="R284" s="4745"/>
      <c r="S284" s="4746"/>
      <c r="T284" s="4746"/>
      <c r="U284" s="4746"/>
      <c r="V284" s="4746"/>
    </row>
    <row r="285" spans="1:22" ht="13.5" customHeight="1" thickBot="1">
      <c r="A285" s="4747"/>
      <c r="B285" s="4748" t="s">
        <v>317</v>
      </c>
      <c r="C285" s="4749"/>
      <c r="D285" s="4750"/>
      <c r="E285" s="4751">
        <f>F285+G285+H285+I285+J285+K285+L285+M285</f>
        <v>384389</v>
      </c>
      <c r="F285" s="4752">
        <f>'Tab. 6A -Drogi'!E447</f>
        <v>0</v>
      </c>
      <c r="G285" s="4752">
        <f>'Tab. 6A -Drogi'!F447</f>
        <v>45734</v>
      </c>
      <c r="H285" s="4752">
        <f>'Tab. 6A -Drogi'!G447</f>
        <v>129745</v>
      </c>
      <c r="I285" s="4752">
        <f>'Tab. 6A -Drogi'!H447</f>
        <v>208910</v>
      </c>
      <c r="J285" s="4752">
        <f>'Tab. 6A -Drogi'!I447</f>
        <v>0</v>
      </c>
      <c r="K285" s="4752">
        <f>'Tab. 6A -Drogi'!J447</f>
        <v>0</v>
      </c>
      <c r="L285" s="4752">
        <f>'Tab. 6A -Drogi'!K447</f>
        <v>0</v>
      </c>
      <c r="M285" s="4752">
        <f>'Tab. 6A -Drogi'!L447</f>
        <v>0</v>
      </c>
      <c r="N285" s="4752"/>
      <c r="O285" s="4752"/>
      <c r="P285" s="4752"/>
      <c r="Q285" s="4752"/>
      <c r="R285" s="4753"/>
      <c r="S285" s="4753"/>
      <c r="T285" s="4753"/>
      <c r="U285" s="4753"/>
      <c r="V285" s="4753"/>
    </row>
    <row r="286" spans="1:22" ht="28.5" customHeight="1">
      <c r="A286" s="4717" t="s">
        <v>89</v>
      </c>
      <c r="B286" s="4718" t="str">
        <f>'Tab. 6E - Administracja'!B26</f>
        <v>Wspólny Sekretariat - Pomoc Techniczna w ramach  Programu Współpracy INTERREG VA (2016-2022)</v>
      </c>
      <c r="C286" s="4719" t="s">
        <v>372</v>
      </c>
      <c r="D286" s="4720">
        <f>E289/E287%</f>
        <v>99.898309910716108</v>
      </c>
      <c r="E286" s="4721"/>
      <c r="F286" s="4722"/>
      <c r="G286" s="4723"/>
      <c r="H286" s="4722"/>
      <c r="I286" s="4722"/>
      <c r="J286" s="4722"/>
      <c r="K286" s="4723"/>
      <c r="L286" s="4723"/>
      <c r="M286" s="4722"/>
      <c r="N286" s="4722"/>
      <c r="O286" s="4722"/>
      <c r="P286" s="4722"/>
      <c r="Q286" s="4722"/>
      <c r="R286" s="4724"/>
      <c r="S286" s="4725"/>
      <c r="T286" s="4725"/>
      <c r="U286" s="4725"/>
      <c r="V286" s="4725"/>
    </row>
    <row r="287" spans="1:22">
      <c r="A287" s="4726"/>
      <c r="B287" s="4727" t="s">
        <v>195</v>
      </c>
      <c r="C287" s="4728"/>
      <c r="D287" s="4729"/>
      <c r="E287" s="4730">
        <f>+F287+G287+H287+I287+J287+K287+L287+M287</f>
        <v>1966760</v>
      </c>
      <c r="F287" s="4731">
        <f>'Tab. 6E - Administracja'!E27</f>
        <v>192432</v>
      </c>
      <c r="G287" s="4731">
        <f>'Tab. 6E - Administracja'!F27</f>
        <v>190282</v>
      </c>
      <c r="H287" s="4731">
        <f>'Tab. 6E - Administracja'!G27</f>
        <v>235896</v>
      </c>
      <c r="I287" s="4731">
        <f>'Tab. 6E - Administracja'!H27</f>
        <v>281170</v>
      </c>
      <c r="J287" s="4731">
        <f>'Tab. 6E - Administracja'!I27</f>
        <v>281170</v>
      </c>
      <c r="K287" s="4731">
        <f>'Tab. 6E - Administracja'!J27</f>
        <v>280970</v>
      </c>
      <c r="L287" s="4731">
        <f>'Tab. 6E - Administracja'!K27</f>
        <v>504840</v>
      </c>
      <c r="M287" s="4731">
        <f>'Tab. 6E - Administracja'!L27</f>
        <v>0</v>
      </c>
      <c r="N287" s="4731"/>
      <c r="O287" s="4731"/>
      <c r="P287" s="4731"/>
      <c r="Q287" s="4731"/>
      <c r="R287" s="4732"/>
      <c r="S287" s="4733"/>
      <c r="T287" s="4733"/>
      <c r="U287" s="4733"/>
      <c r="V287" s="4733"/>
    </row>
    <row r="288" spans="1:22" ht="16.5" customHeight="1">
      <c r="A288" s="4726"/>
      <c r="B288" s="4734" t="s">
        <v>320</v>
      </c>
      <c r="C288" s="4735"/>
      <c r="D288" s="4736"/>
      <c r="E288" s="4737">
        <f>+F288+G288+H288+I288+J288+K288+L288+M288</f>
        <v>2000</v>
      </c>
      <c r="F288" s="4738">
        <f>'Tab. 6E - Administracja'!E28</f>
        <v>10</v>
      </c>
      <c r="G288" s="4738">
        <f>'Tab. 6E - Administracja'!F28</f>
        <v>0</v>
      </c>
      <c r="H288" s="4738">
        <f>'Tab. 6E - Administracja'!G28</f>
        <v>290</v>
      </c>
      <c r="I288" s="4738">
        <f>'Tab. 6E - Administracja'!H28</f>
        <v>400</v>
      </c>
      <c r="J288" s="4738">
        <f>'Tab. 6E - Administracja'!I28</f>
        <v>400</v>
      </c>
      <c r="K288" s="4738">
        <f>'Tab. 6E - Administracja'!J28</f>
        <v>200</v>
      </c>
      <c r="L288" s="4738">
        <f>'Tab. 6E - Administracja'!K28</f>
        <v>700</v>
      </c>
      <c r="M288" s="4738">
        <f>'Tab. 6E - Administracja'!L28</f>
        <v>0</v>
      </c>
      <c r="N288" s="4738"/>
      <c r="O288" s="4738"/>
      <c r="P288" s="4738"/>
      <c r="Q288" s="4738"/>
      <c r="R288" s="4739"/>
      <c r="S288" s="4739"/>
      <c r="T288" s="4739"/>
      <c r="U288" s="4739"/>
      <c r="V288" s="4739"/>
    </row>
    <row r="289" spans="1:22" ht="13.5" customHeight="1" thickBot="1">
      <c r="A289" s="4726"/>
      <c r="B289" s="4740" t="s">
        <v>197</v>
      </c>
      <c r="C289" s="4754">
        <f>E289-E290</f>
        <v>0</v>
      </c>
      <c r="D289" s="4742"/>
      <c r="E289" s="4743">
        <f>+F289+G289+H289+I289+J289+K289+L289+M289</f>
        <v>1964760</v>
      </c>
      <c r="F289" s="4744">
        <f>'Tab. 6E - Administracja'!E30</f>
        <v>192422</v>
      </c>
      <c r="G289" s="4744">
        <f>'Tab. 6E - Administracja'!F30</f>
        <v>190282</v>
      </c>
      <c r="H289" s="4744">
        <f>'Tab. 6E - Administracja'!G30</f>
        <v>235606</v>
      </c>
      <c r="I289" s="4744">
        <f>'Tab. 6E - Administracja'!H30</f>
        <v>280770</v>
      </c>
      <c r="J289" s="4744">
        <f>'Tab. 6E - Administracja'!I30</f>
        <v>280770</v>
      </c>
      <c r="K289" s="4744">
        <f>'Tab. 6E - Administracja'!J30</f>
        <v>280770</v>
      </c>
      <c r="L289" s="4744">
        <f>'Tab. 6E - Administracja'!K30</f>
        <v>504140</v>
      </c>
      <c r="M289" s="4744">
        <f>'Tab. 6E - Administracja'!L30</f>
        <v>0</v>
      </c>
      <c r="N289" s="4744"/>
      <c r="O289" s="4744"/>
      <c r="P289" s="4744"/>
      <c r="Q289" s="4744"/>
      <c r="R289" s="4745"/>
      <c r="S289" s="4746"/>
      <c r="T289" s="4746"/>
      <c r="U289" s="4746"/>
      <c r="V289" s="4746"/>
    </row>
    <row r="290" spans="1:22" ht="13.5" customHeight="1" thickBot="1">
      <c r="A290" s="4747"/>
      <c r="B290" s="4748" t="s">
        <v>317</v>
      </c>
      <c r="C290" s="4749"/>
      <c r="D290" s="4750"/>
      <c r="E290" s="4751">
        <f>F290+G290+H290+I290+J290+K290+L290+M290</f>
        <v>1964760</v>
      </c>
      <c r="F290" s="4752"/>
      <c r="G290" s="4752">
        <f>'Tab. 6E - Administracja'!F36</f>
        <v>0</v>
      </c>
      <c r="H290" s="4752">
        <f>'Tab. 6E - Administracja'!G36</f>
        <v>473192</v>
      </c>
      <c r="I290" s="4752">
        <f>'Tab. 6E - Administracja'!H36</f>
        <v>213918</v>
      </c>
      <c r="J290" s="4752">
        <f>'Tab. 6E - Administracja'!I36</f>
        <v>280770</v>
      </c>
      <c r="K290" s="4752">
        <f>'Tab. 6E - Administracja'!J36</f>
        <v>280770</v>
      </c>
      <c r="L290" s="4752">
        <f>'Tab. 6E - Administracja'!K36</f>
        <v>317922</v>
      </c>
      <c r="M290" s="4752">
        <f>'Tab. 6E - Administracja'!L36</f>
        <v>398188</v>
      </c>
      <c r="N290" s="4865"/>
      <c r="O290" s="4865"/>
      <c r="P290" s="4865"/>
      <c r="Q290" s="4865"/>
      <c r="R290" s="4753"/>
      <c r="S290" s="4753"/>
      <c r="T290" s="4753"/>
      <c r="U290" s="4753"/>
      <c r="V290" s="4753"/>
    </row>
    <row r="291" spans="1:22" ht="38.25" customHeight="1">
      <c r="A291" s="4726">
        <v>17</v>
      </c>
      <c r="B291" s="4791" t="str">
        <f>'Tab. 6H - Kultura fiz. i turyst'!B117</f>
        <v>Budowa infrastruktury turystycznej w Parkach Krajobrazowych województwa zachodniopomorskiego w celu zmniejszenia antropopresji - II etap w ramach Osi IV RPO WZ (2016-2018)</v>
      </c>
      <c r="C291" s="4719" t="s">
        <v>378</v>
      </c>
      <c r="D291" s="4917">
        <f>E294/E292%</f>
        <v>85</v>
      </c>
      <c r="E291" s="4918"/>
      <c r="F291" s="4919"/>
      <c r="G291" s="4920"/>
      <c r="H291" s="4919"/>
      <c r="I291" s="4919"/>
      <c r="J291" s="4919"/>
      <c r="K291" s="4919"/>
      <c r="L291" s="4919"/>
      <c r="M291" s="4919"/>
      <c r="N291" s="4919"/>
      <c r="O291" s="4919"/>
      <c r="P291" s="4919"/>
      <c r="Q291" s="4919"/>
      <c r="R291" s="4926"/>
      <c r="S291" s="4798"/>
      <c r="T291" s="4798"/>
      <c r="U291" s="4798"/>
      <c r="V291" s="4798"/>
    </row>
    <row r="292" spans="1:22" ht="13.5" customHeight="1">
      <c r="A292" s="4726"/>
      <c r="B292" s="4760" t="s">
        <v>195</v>
      </c>
      <c r="C292" s="4728"/>
      <c r="D292" s="4729"/>
      <c r="E292" s="4730">
        <f>+F292+G292+H292+I292+J292+K292+L292+M292</f>
        <v>119600</v>
      </c>
      <c r="F292" s="4731"/>
      <c r="G292" s="4731">
        <f>'Tab. 6H - Kultura fiz. i turyst'!F118</f>
        <v>0</v>
      </c>
      <c r="H292" s="4731">
        <f>'Tab. 6H - Kultura fiz. i turyst'!G118</f>
        <v>119600</v>
      </c>
      <c r="I292" s="4731">
        <f>'Tab. 6H - Kultura fiz. i turyst'!H118</f>
        <v>0</v>
      </c>
      <c r="J292" s="4731">
        <f>'Tab. 6H - Kultura fiz. i turyst'!I118</f>
        <v>0</v>
      </c>
      <c r="K292" s="4731"/>
      <c r="L292" s="4731"/>
      <c r="M292" s="4731"/>
      <c r="N292" s="4731"/>
      <c r="O292" s="4731"/>
      <c r="P292" s="4731"/>
      <c r="Q292" s="4731"/>
      <c r="R292" s="4732"/>
      <c r="S292" s="4733"/>
      <c r="T292" s="4733"/>
      <c r="U292" s="4733"/>
      <c r="V292" s="4733"/>
    </row>
    <row r="293" spans="1:22">
      <c r="A293" s="4726"/>
      <c r="B293" s="4761" t="s">
        <v>320</v>
      </c>
      <c r="C293" s="4735"/>
      <c r="D293" s="4736"/>
      <c r="E293" s="4737">
        <f>+F293+G293+H293+I293+J293+K293+L293+M293</f>
        <v>17940</v>
      </c>
      <c r="F293" s="4738"/>
      <c r="G293" s="4738">
        <f>'Tab. 6H - Kultura fiz. i turyst'!F119</f>
        <v>0</v>
      </c>
      <c r="H293" s="4738">
        <f>'Tab. 6H - Kultura fiz. i turyst'!G119</f>
        <v>17940</v>
      </c>
      <c r="I293" s="4738">
        <f>'Tab. 6H - Kultura fiz. i turyst'!H119</f>
        <v>0</v>
      </c>
      <c r="J293" s="4738">
        <f>'Tab. 6H - Kultura fiz. i turyst'!I119</f>
        <v>0</v>
      </c>
      <c r="K293" s="4738"/>
      <c r="L293" s="4738"/>
      <c r="M293" s="4738"/>
      <c r="N293" s="4738"/>
      <c r="O293" s="4738"/>
      <c r="P293" s="4738"/>
      <c r="Q293" s="4738"/>
      <c r="R293" s="4739"/>
      <c r="S293" s="4739"/>
      <c r="T293" s="4739"/>
      <c r="U293" s="4739"/>
      <c r="V293" s="4739"/>
    </row>
    <row r="294" spans="1:22" ht="13.5" customHeight="1" thickBot="1">
      <c r="A294" s="4726"/>
      <c r="B294" s="4762" t="s">
        <v>197</v>
      </c>
      <c r="C294" s="4754">
        <f>E294-E295</f>
        <v>0</v>
      </c>
      <c r="D294" s="4742"/>
      <c r="E294" s="4743">
        <f>+F294+G294+H294+I294+J294+K294+L294+M294</f>
        <v>101660</v>
      </c>
      <c r="F294" s="4744"/>
      <c r="G294" s="4744">
        <f>'Tab. 6H - Kultura fiz. i turyst'!F121</f>
        <v>0</v>
      </c>
      <c r="H294" s="4744">
        <f>'Tab. 6H - Kultura fiz. i turyst'!G121</f>
        <v>101660</v>
      </c>
      <c r="I294" s="4744">
        <f>'Tab. 6H - Kultura fiz. i turyst'!H121</f>
        <v>0</v>
      </c>
      <c r="J294" s="4744">
        <f>'Tab. 6H - Kultura fiz. i turyst'!I121</f>
        <v>0</v>
      </c>
      <c r="K294" s="4744"/>
      <c r="L294" s="4744"/>
      <c r="M294" s="4744"/>
      <c r="N294" s="4744"/>
      <c r="O294" s="4744"/>
      <c r="P294" s="4744"/>
      <c r="Q294" s="4744"/>
      <c r="R294" s="4745"/>
      <c r="S294" s="4746"/>
      <c r="T294" s="4746"/>
      <c r="U294" s="4746"/>
      <c r="V294" s="4746"/>
    </row>
    <row r="295" spans="1:22" ht="13.5" customHeight="1" thickBot="1">
      <c r="A295" s="4747"/>
      <c r="B295" s="4764" t="s">
        <v>317</v>
      </c>
      <c r="C295" s="4749"/>
      <c r="D295" s="4750"/>
      <c r="E295" s="4751">
        <f>F295+G295+H295+I295+J295+K295+L295+M295</f>
        <v>101660</v>
      </c>
      <c r="F295" s="4752"/>
      <c r="G295" s="4752">
        <f>'Tab. 6H - Kultura fiz. i turyst'!F124</f>
        <v>0</v>
      </c>
      <c r="H295" s="4752">
        <f>'Tab. 6H - Kultura fiz. i turyst'!G124</f>
        <v>101660</v>
      </c>
      <c r="I295" s="4752">
        <f>'Tab. 6H - Kultura fiz. i turyst'!H124</f>
        <v>0</v>
      </c>
      <c r="J295" s="4752">
        <f>'Tab. 6H - Kultura fiz. i turyst'!I124</f>
        <v>0</v>
      </c>
      <c r="K295" s="4752"/>
      <c r="L295" s="4752"/>
      <c r="M295" s="4752"/>
      <c r="N295" s="4752"/>
      <c r="O295" s="4752"/>
      <c r="P295" s="4752"/>
      <c r="Q295" s="4752"/>
      <c r="R295" s="4753"/>
      <c r="S295" s="4753"/>
      <c r="T295" s="4753"/>
      <c r="U295" s="4753"/>
      <c r="V295" s="4753"/>
    </row>
    <row r="296" spans="1:22" ht="38.25" customHeight="1">
      <c r="A296" s="4726" t="s">
        <v>92</v>
      </c>
      <c r="B296" s="4791" t="str">
        <f>'Tab. 6H - Kultura fiz. i turyst'!B138</f>
        <v>Biking South Baltic! Promocja i rozwój Trasy Rowerowej Morza Bałtyckiego (EuroVelo 10) w Danii, Niemczech, Litwie, Polsce i Szwecji w ramach PW INTERREG Południowy Bałtyk (2017-2019)</v>
      </c>
      <c r="C296" s="4719" t="s">
        <v>455</v>
      </c>
      <c r="D296" s="4917">
        <f>E299/E297%</f>
        <v>84.999795731736057</v>
      </c>
      <c r="E296" s="4918"/>
      <c r="F296" s="4919"/>
      <c r="G296" s="4920"/>
      <c r="H296" s="4919"/>
      <c r="I296" s="4919"/>
      <c r="J296" s="4919"/>
      <c r="K296" s="4919"/>
      <c r="L296" s="4919"/>
      <c r="M296" s="4919"/>
      <c r="N296" s="4919"/>
      <c r="O296" s="4919"/>
      <c r="P296" s="4919"/>
      <c r="Q296" s="4919"/>
      <c r="R296" s="4926"/>
      <c r="S296" s="4798"/>
      <c r="T296" s="4798"/>
      <c r="U296" s="4798"/>
      <c r="V296" s="4798"/>
    </row>
    <row r="297" spans="1:22" ht="15" customHeight="1">
      <c r="A297" s="4726"/>
      <c r="B297" s="4760" t="s">
        <v>195</v>
      </c>
      <c r="C297" s="4728"/>
      <c r="D297" s="4729"/>
      <c r="E297" s="4730">
        <f>+F297+G297+H297+I297+J297+K297+L297+M297</f>
        <v>318209</v>
      </c>
      <c r="F297" s="4731"/>
      <c r="G297" s="4731">
        <f>'Tab. 6H - Kultura fiz. i turyst'!F139</f>
        <v>21322</v>
      </c>
      <c r="H297" s="4731">
        <f>'Tab. 6H - Kultura fiz. i turyst'!G139</f>
        <v>92948</v>
      </c>
      <c r="I297" s="4731">
        <f>'Tab. 6H - Kultura fiz. i turyst'!H139</f>
        <v>203939</v>
      </c>
      <c r="J297" s="4731">
        <f>'Tab. 6H - Kultura fiz. i turyst'!I139</f>
        <v>0</v>
      </c>
      <c r="K297" s="4731">
        <f>'Tab. 6H - Kultura fiz. i turyst'!J139</f>
        <v>0</v>
      </c>
      <c r="L297" s="4731">
        <f>'Tab. 6H - Kultura fiz. i turyst'!K139</f>
        <v>0</v>
      </c>
      <c r="M297" s="4731">
        <f>'Tab. 6H - Kultura fiz. i turyst'!L139</f>
        <v>0</v>
      </c>
      <c r="N297" s="4731"/>
      <c r="O297" s="4731"/>
      <c r="P297" s="4731"/>
      <c r="Q297" s="4731"/>
      <c r="R297" s="4732"/>
      <c r="S297" s="4733"/>
      <c r="T297" s="4733"/>
      <c r="U297" s="4733"/>
      <c r="V297" s="4733"/>
    </row>
    <row r="298" spans="1:22" ht="15" customHeight="1">
      <c r="A298" s="4726"/>
      <c r="B298" s="4761" t="s">
        <v>320</v>
      </c>
      <c r="C298" s="4735"/>
      <c r="D298" s="4736"/>
      <c r="E298" s="4737">
        <f>+F298+G298+H298+I298+J298+K298+L298+M298</f>
        <v>47732</v>
      </c>
      <c r="F298" s="4738"/>
      <c r="G298" s="4738">
        <f>'Tab. 6H - Kultura fiz. i turyst'!F140</f>
        <v>3199</v>
      </c>
      <c r="H298" s="4738">
        <f>'Tab. 6H - Kultura fiz. i turyst'!G140</f>
        <v>13942</v>
      </c>
      <c r="I298" s="4738">
        <f>'Tab. 6H - Kultura fiz. i turyst'!H140</f>
        <v>30591</v>
      </c>
      <c r="J298" s="4738">
        <f>'Tab. 6H - Kultura fiz. i turyst'!I140</f>
        <v>0</v>
      </c>
      <c r="K298" s="4738">
        <f>'Tab. 6H - Kultura fiz. i turyst'!J140</f>
        <v>0</v>
      </c>
      <c r="L298" s="4738">
        <f>'Tab. 6H - Kultura fiz. i turyst'!K140</f>
        <v>0</v>
      </c>
      <c r="M298" s="4738">
        <f>'Tab. 6H - Kultura fiz. i turyst'!L140</f>
        <v>0</v>
      </c>
      <c r="N298" s="4738"/>
      <c r="O298" s="4738"/>
      <c r="P298" s="4738"/>
      <c r="Q298" s="4738"/>
      <c r="R298" s="4739"/>
      <c r="S298" s="4739"/>
      <c r="T298" s="4739"/>
      <c r="U298" s="4739"/>
      <c r="V298" s="4739"/>
    </row>
    <row r="299" spans="1:22" ht="15" customHeight="1" thickBot="1">
      <c r="A299" s="4726"/>
      <c r="B299" s="4762" t="s">
        <v>197</v>
      </c>
      <c r="C299" s="4754">
        <f>E299-E300</f>
        <v>0</v>
      </c>
      <c r="D299" s="4742"/>
      <c r="E299" s="4743">
        <f>+F299+G299+H299+I299+J299+K299+L299+M299</f>
        <v>270477</v>
      </c>
      <c r="F299" s="4744"/>
      <c r="G299" s="4744">
        <f>'Tab. 6H - Kultura fiz. i turyst'!F144</f>
        <v>18123</v>
      </c>
      <c r="H299" s="4744">
        <f>'Tab. 6H - Kultura fiz. i turyst'!G144</f>
        <v>79006</v>
      </c>
      <c r="I299" s="4744">
        <f>'Tab. 6H - Kultura fiz. i turyst'!H144</f>
        <v>173348</v>
      </c>
      <c r="J299" s="4744">
        <f>'Tab. 6H - Kultura fiz. i turyst'!I144</f>
        <v>0</v>
      </c>
      <c r="K299" s="4744">
        <f>'Tab. 6H - Kultura fiz. i turyst'!J144</f>
        <v>0</v>
      </c>
      <c r="L299" s="4744">
        <f>'Tab. 6H - Kultura fiz. i turyst'!K144</f>
        <v>0</v>
      </c>
      <c r="M299" s="4744">
        <f>'Tab. 6H - Kultura fiz. i turyst'!L144</f>
        <v>0</v>
      </c>
      <c r="N299" s="4744"/>
      <c r="O299" s="4744"/>
      <c r="P299" s="4744"/>
      <c r="Q299" s="4744"/>
      <c r="R299" s="4745"/>
      <c r="S299" s="4746"/>
      <c r="T299" s="4746"/>
      <c r="U299" s="4746"/>
      <c r="V299" s="4746"/>
    </row>
    <row r="300" spans="1:22" ht="15" customHeight="1" thickBot="1">
      <c r="A300" s="4747"/>
      <c r="B300" s="4764" t="s">
        <v>317</v>
      </c>
      <c r="C300" s="4749"/>
      <c r="D300" s="4750"/>
      <c r="E300" s="4751">
        <f>F300+G300+H300+I300+J300+K300+L300+M300</f>
        <v>270477</v>
      </c>
      <c r="F300" s="4752"/>
      <c r="G300" s="4752">
        <f>'Tab. 6H - Kultura fiz. i turyst'!F149</f>
        <v>977</v>
      </c>
      <c r="H300" s="4752">
        <f>'Tab. 6H - Kultura fiz. i turyst'!G149</f>
        <v>20069</v>
      </c>
      <c r="I300" s="4752">
        <f>'Tab. 6H - Kultura fiz. i turyst'!H149</f>
        <v>23937</v>
      </c>
      <c r="J300" s="4752">
        <f>'Tab. 6H - Kultura fiz. i turyst'!I149</f>
        <v>225494</v>
      </c>
      <c r="K300" s="4752">
        <f>'Tab. 6H - Kultura fiz. i turyst'!J149</f>
        <v>0</v>
      </c>
      <c r="L300" s="4752">
        <f>'Tab. 6H - Kultura fiz. i turyst'!K149</f>
        <v>0</v>
      </c>
      <c r="M300" s="4752">
        <f>'Tab. 6H - Kultura fiz. i turyst'!L149</f>
        <v>0</v>
      </c>
      <c r="N300" s="4752"/>
      <c r="O300" s="4752"/>
      <c r="P300" s="4752"/>
      <c r="Q300" s="4752"/>
      <c r="R300" s="4753"/>
      <c r="S300" s="4753"/>
      <c r="T300" s="4753"/>
      <c r="U300" s="4753"/>
      <c r="V300" s="4753"/>
    </row>
    <row r="301" spans="1:22" ht="50.25" customHeight="1">
      <c r="A301" s="4726" t="s">
        <v>286</v>
      </c>
      <c r="B301" s="4791" t="str">
        <f>'Tab. 6B Polit społ i rozwój prz'!B122</f>
        <v>Zintegrowane wsparcie dla rodzin i pieczy zastępczej na terenie województwa zachodniopomorskiego w ramach działania 7.6 RPO WZ (2017-2018)</v>
      </c>
      <c r="C301" s="4719" t="s">
        <v>454</v>
      </c>
      <c r="D301" s="4917">
        <f>E304/E302%</f>
        <v>84.99997644764548</v>
      </c>
      <c r="E301" s="4918"/>
      <c r="F301" s="4919"/>
      <c r="G301" s="4920"/>
      <c r="H301" s="4919"/>
      <c r="I301" s="4919"/>
      <c r="J301" s="4919"/>
      <c r="K301" s="4919"/>
      <c r="L301" s="4919"/>
      <c r="M301" s="4919"/>
      <c r="N301" s="4919"/>
      <c r="O301" s="4919"/>
      <c r="P301" s="4919"/>
      <c r="Q301" s="4919"/>
      <c r="R301" s="4926"/>
      <c r="S301" s="4798"/>
      <c r="T301" s="4798"/>
      <c r="U301" s="4798"/>
      <c r="V301" s="4798"/>
    </row>
    <row r="302" spans="1:22" ht="13.5" customHeight="1">
      <c r="A302" s="4726"/>
      <c r="B302" s="4760" t="s">
        <v>195</v>
      </c>
      <c r="C302" s="4728"/>
      <c r="D302" s="4729"/>
      <c r="E302" s="4730">
        <f>+F302+G302+H302+I302+J302+K302+L302+M302</f>
        <v>1698344</v>
      </c>
      <c r="F302" s="4731"/>
      <c r="G302" s="4731">
        <f>'Tab. 6B Polit społ i rozwój prz'!F123</f>
        <v>667359</v>
      </c>
      <c r="H302" s="4731">
        <f>'Tab. 6B Polit społ i rozwój prz'!G123</f>
        <v>1030985</v>
      </c>
      <c r="I302" s="4731">
        <f>'Tab. 6B Polit społ i rozwój prz'!H123</f>
        <v>0</v>
      </c>
      <c r="J302" s="4731">
        <f>'Tab. 6B Polit społ i rozwój prz'!I123</f>
        <v>0</v>
      </c>
      <c r="K302" s="4731"/>
      <c r="L302" s="4731"/>
      <c r="M302" s="4731"/>
      <c r="N302" s="4731"/>
      <c r="O302" s="4731"/>
      <c r="P302" s="4731"/>
      <c r="Q302" s="4731"/>
      <c r="R302" s="4732"/>
      <c r="S302" s="4733"/>
      <c r="T302" s="4733"/>
      <c r="U302" s="4733"/>
      <c r="V302" s="4733"/>
    </row>
    <row r="303" spans="1:22">
      <c r="A303" s="4726"/>
      <c r="B303" s="4761" t="s">
        <v>320</v>
      </c>
      <c r="C303" s="4735"/>
      <c r="D303" s="4736"/>
      <c r="E303" s="4737">
        <f>+F303+G303+H303+I303+J303+K303+L303+M303</f>
        <v>254752</v>
      </c>
      <c r="F303" s="4738"/>
      <c r="G303" s="4738">
        <f>'Tab. 6B Polit społ i rozwój prz'!F124</f>
        <v>100104</v>
      </c>
      <c r="H303" s="4738">
        <f>'Tab. 6B Polit społ i rozwój prz'!G124</f>
        <v>154648</v>
      </c>
      <c r="I303" s="4738">
        <f>'Tab. 6B Polit społ i rozwój prz'!H124</f>
        <v>0</v>
      </c>
      <c r="J303" s="4738">
        <f>'Tab. 6B Polit społ i rozwój prz'!I124</f>
        <v>0</v>
      </c>
      <c r="K303" s="4738"/>
      <c r="L303" s="4738"/>
      <c r="M303" s="4738"/>
      <c r="N303" s="4738"/>
      <c r="O303" s="4738"/>
      <c r="P303" s="4738"/>
      <c r="Q303" s="4738"/>
      <c r="R303" s="4739"/>
      <c r="S303" s="4739"/>
      <c r="T303" s="4739"/>
      <c r="U303" s="4739"/>
      <c r="V303" s="4739"/>
    </row>
    <row r="304" spans="1:22" ht="13.5" customHeight="1" thickBot="1">
      <c r="A304" s="4726"/>
      <c r="B304" s="4762" t="s">
        <v>197</v>
      </c>
      <c r="C304" s="4754">
        <f>E304-E305</f>
        <v>0</v>
      </c>
      <c r="D304" s="4742"/>
      <c r="E304" s="4743">
        <f>+F304+G304+H304+I304+J304+K304+L304+M304</f>
        <v>1443592</v>
      </c>
      <c r="F304" s="4744"/>
      <c r="G304" s="4744">
        <f>'Tab. 6B Polit społ i rozwój prz'!F129</f>
        <v>567255</v>
      </c>
      <c r="H304" s="4744">
        <f>'Tab. 6B Polit społ i rozwój prz'!G129</f>
        <v>876337</v>
      </c>
      <c r="I304" s="4744">
        <f>'Tab. 6B Polit społ i rozwój prz'!H129</f>
        <v>0</v>
      </c>
      <c r="J304" s="4744">
        <f>'Tab. 6B Polit społ i rozwój prz'!I129</f>
        <v>0</v>
      </c>
      <c r="K304" s="4744"/>
      <c r="L304" s="4744"/>
      <c r="M304" s="4744"/>
      <c r="N304" s="4744"/>
      <c r="O304" s="4744"/>
      <c r="P304" s="4744"/>
      <c r="Q304" s="4744"/>
      <c r="R304" s="4745"/>
      <c r="S304" s="4746"/>
      <c r="T304" s="4746"/>
      <c r="U304" s="4746"/>
      <c r="V304" s="4746"/>
    </row>
    <row r="305" spans="1:22" ht="13.5" customHeight="1" thickBot="1">
      <c r="A305" s="4747"/>
      <c r="B305" s="4764" t="s">
        <v>317</v>
      </c>
      <c r="C305" s="4749"/>
      <c r="D305" s="4750"/>
      <c r="E305" s="4751">
        <f>F305+G305+H305+I305+J305+K305+L305+M305</f>
        <v>1443592</v>
      </c>
      <c r="F305" s="4752"/>
      <c r="G305" s="4752">
        <f>'Tab. 6B Polit społ i rozwój prz'!F133</f>
        <v>669848</v>
      </c>
      <c r="H305" s="4752">
        <f>'Tab. 6B Polit społ i rozwój prz'!G133</f>
        <v>773744</v>
      </c>
      <c r="I305" s="4752">
        <f>'Tab. 6B Polit społ i rozwój prz'!H133</f>
        <v>0</v>
      </c>
      <c r="J305" s="4752">
        <f>'Tab. 6B Polit społ i rozwój prz'!I133</f>
        <v>0</v>
      </c>
      <c r="K305" s="4752"/>
      <c r="L305" s="4752"/>
      <c r="M305" s="4752"/>
      <c r="N305" s="4752"/>
      <c r="O305" s="4752"/>
      <c r="P305" s="4752"/>
      <c r="Q305" s="4752"/>
      <c r="R305" s="4753"/>
      <c r="S305" s="4753"/>
      <c r="T305" s="4753"/>
      <c r="U305" s="4753"/>
      <c r="V305" s="4753"/>
    </row>
    <row r="306" spans="1:22" ht="30" customHeight="1">
      <c r="A306" s="4759" t="s">
        <v>96</v>
      </c>
      <c r="B306" s="4927" t="str">
        <f>'Tab. 6E - Administracja'!B38</f>
        <v>Regionalny Punkt Kontaktowy - Pomoc Techniczna w ramach Programu Współpracy INTERREG VA - wydatki bieżące (2016-2020)</v>
      </c>
      <c r="C306" s="4719" t="s">
        <v>550</v>
      </c>
      <c r="D306" s="4917">
        <f>E309/E307%</f>
        <v>84.703394118170138</v>
      </c>
      <c r="E306" s="4918"/>
      <c r="F306" s="4919"/>
      <c r="G306" s="4920"/>
      <c r="H306" s="4919"/>
      <c r="I306" s="4919"/>
      <c r="J306" s="4919"/>
      <c r="K306" s="4919"/>
      <c r="L306" s="4919"/>
      <c r="M306" s="4919"/>
      <c r="N306" s="4919"/>
      <c r="O306" s="4919"/>
      <c r="P306" s="4919"/>
      <c r="Q306" s="4919"/>
      <c r="R306" s="4926"/>
      <c r="S306" s="4798"/>
      <c r="T306" s="4798"/>
      <c r="U306" s="4798"/>
      <c r="V306" s="4798"/>
    </row>
    <row r="307" spans="1:22" ht="13.5" customHeight="1">
      <c r="A307" s="4759"/>
      <c r="B307" s="4760" t="s">
        <v>195</v>
      </c>
      <c r="C307" s="4728"/>
      <c r="D307" s="4729"/>
      <c r="E307" s="4730">
        <f>+F307+G307+H307+I307+J307+K307+L307+M307</f>
        <v>1304492</v>
      </c>
      <c r="F307" s="4731">
        <f>'Tab. 6E - Administracja'!E39</f>
        <v>83853</v>
      </c>
      <c r="G307" s="4731">
        <f>'Tab. 6E - Administracja'!F39</f>
        <v>248368</v>
      </c>
      <c r="H307" s="4731">
        <f>'Tab. 6E - Administracja'!G39</f>
        <v>283658</v>
      </c>
      <c r="I307" s="4731">
        <f>'Tab. 6E - Administracja'!H39</f>
        <v>288743</v>
      </c>
      <c r="J307" s="4731">
        <f>'Tab. 6E - Administracja'!I39</f>
        <v>399870</v>
      </c>
      <c r="K307" s="4731">
        <f>'Tab. 6E - Administracja'!J39</f>
        <v>0</v>
      </c>
      <c r="L307" s="4731">
        <f>'Tab. 6E - Administracja'!K39</f>
        <v>0</v>
      </c>
      <c r="M307" s="4731">
        <f>'Tab. 6E - Administracja'!L39</f>
        <v>0</v>
      </c>
      <c r="N307" s="4731"/>
      <c r="O307" s="4731"/>
      <c r="P307" s="4731"/>
      <c r="Q307" s="4731"/>
      <c r="R307" s="4732"/>
      <c r="S307" s="4733"/>
      <c r="T307" s="4733"/>
      <c r="U307" s="4733"/>
      <c r="V307" s="4733"/>
    </row>
    <row r="308" spans="1:22">
      <c r="A308" s="4759"/>
      <c r="B308" s="4761" t="s">
        <v>320</v>
      </c>
      <c r="C308" s="4735"/>
      <c r="D308" s="4736"/>
      <c r="E308" s="4737">
        <f>+F308+G308+H308+I308+J308+K308+L308+M308</f>
        <v>199543</v>
      </c>
      <c r="F308" s="4738">
        <f>'Tab. 6E - Administracja'!E40</f>
        <v>13070</v>
      </c>
      <c r="G308" s="4738">
        <f>'Tab. 6E - Administracja'!F40</f>
        <v>39436</v>
      </c>
      <c r="H308" s="4738">
        <f>'Tab. 6E - Administracja'!G40</f>
        <v>41747</v>
      </c>
      <c r="I308" s="4738">
        <f>'Tab. 6E - Administracja'!H40</f>
        <v>43646</v>
      </c>
      <c r="J308" s="4738">
        <f>'Tab. 6E - Administracja'!I40</f>
        <v>61644</v>
      </c>
      <c r="K308" s="4738">
        <f>'Tab. 6E - Administracja'!J40</f>
        <v>0</v>
      </c>
      <c r="L308" s="4738">
        <f>'Tab. 6E - Administracja'!K40</f>
        <v>0</v>
      </c>
      <c r="M308" s="4738">
        <f>'Tab. 6E - Administracja'!L40</f>
        <v>0</v>
      </c>
      <c r="N308" s="4738"/>
      <c r="O308" s="4738"/>
      <c r="P308" s="4738"/>
      <c r="Q308" s="4738"/>
      <c r="R308" s="4739"/>
      <c r="S308" s="4739"/>
      <c r="T308" s="4739"/>
      <c r="U308" s="4739"/>
      <c r="V308" s="4739"/>
    </row>
    <row r="309" spans="1:22" ht="13.5" customHeight="1" thickBot="1">
      <c r="A309" s="4759"/>
      <c r="B309" s="4762" t="s">
        <v>197</v>
      </c>
      <c r="C309" s="4754">
        <f>E309-E310</f>
        <v>0</v>
      </c>
      <c r="D309" s="4742"/>
      <c r="E309" s="4743">
        <f>+F309+G309+H309+I309+J309+K309+L309+M309</f>
        <v>1104949</v>
      </c>
      <c r="F309" s="4744">
        <f>'Tab. 6E - Administracja'!E49</f>
        <v>70783</v>
      </c>
      <c r="G309" s="4744">
        <f>'Tab. 6E - Administracja'!F49</f>
        <v>208932</v>
      </c>
      <c r="H309" s="4744">
        <f>'Tab. 6E - Administracja'!G49</f>
        <v>241911</v>
      </c>
      <c r="I309" s="4744">
        <f>'Tab. 6E - Administracja'!H49</f>
        <v>245097</v>
      </c>
      <c r="J309" s="4744">
        <f>'Tab. 6E - Administracja'!I49</f>
        <v>338226</v>
      </c>
      <c r="K309" s="4744">
        <f>'Tab. 6E - Administracja'!J49</f>
        <v>0</v>
      </c>
      <c r="L309" s="4744">
        <f>'Tab. 6E - Administracja'!K49</f>
        <v>0</v>
      </c>
      <c r="M309" s="4744">
        <f>'Tab. 6E - Administracja'!L49</f>
        <v>0</v>
      </c>
      <c r="N309" s="4744"/>
      <c r="O309" s="4744"/>
      <c r="P309" s="4744"/>
      <c r="Q309" s="4744"/>
      <c r="R309" s="4745"/>
      <c r="S309" s="4746"/>
      <c r="T309" s="4746"/>
      <c r="U309" s="4746"/>
      <c r="V309" s="4746"/>
    </row>
    <row r="310" spans="1:22" ht="13.5" customHeight="1" thickBot="1">
      <c r="A310" s="4763"/>
      <c r="B310" s="4764" t="s">
        <v>317</v>
      </c>
      <c r="C310" s="4749"/>
      <c r="D310" s="4750"/>
      <c r="E310" s="4751">
        <f>F310+G310+H310+I310+J310+K310+L310+M310</f>
        <v>1104949</v>
      </c>
      <c r="F310" s="4752"/>
      <c r="G310" s="4752">
        <f>'Tab. 6E - Administracja'!F57</f>
        <v>0</v>
      </c>
      <c r="H310" s="4752">
        <f>'Tab. 6E - Administracja'!G57</f>
        <v>279715</v>
      </c>
      <c r="I310" s="4752">
        <f>'Tab. 6E - Administracja'!H57</f>
        <v>364460</v>
      </c>
      <c r="J310" s="4752">
        <f>'Tab. 6E - Administracja'!I57</f>
        <v>291662</v>
      </c>
      <c r="K310" s="4752">
        <f>'Tab. 6E - Administracja'!J57</f>
        <v>169112</v>
      </c>
      <c r="L310" s="4752">
        <f>'Tab. 6E - Administracja'!K57</f>
        <v>0</v>
      </c>
      <c r="M310" s="4752">
        <f>'Tab. 6E - Administracja'!L57</f>
        <v>0</v>
      </c>
      <c r="N310" s="4752"/>
      <c r="O310" s="4752"/>
      <c r="P310" s="4752"/>
      <c r="Q310" s="4752"/>
      <c r="R310" s="4753"/>
      <c r="S310" s="4753"/>
      <c r="T310" s="4753"/>
      <c r="U310" s="4753"/>
      <c r="V310" s="4753"/>
    </row>
    <row r="311" spans="1:22" ht="43.5" customHeight="1">
      <c r="A311" s="4759" t="s">
        <v>287</v>
      </c>
      <c r="B311" s="4927" t="str">
        <f>'Tab. 6H - Kultura fiz. i turyst'!B213</f>
        <v>BALTIC STORIES - Rozwój turystyki poprzez profesjonalizację wydarzeń w regionie południowego bałtyku w ramach PW INTERREG Południowy Bałtyk (2017-2020)</v>
      </c>
      <c r="C311" s="4834" t="s">
        <v>564</v>
      </c>
      <c r="D311" s="4917">
        <f>E314/E312%</f>
        <v>84.9668625146886</v>
      </c>
      <c r="E311" s="4918"/>
      <c r="F311" s="4919"/>
      <c r="G311" s="4920"/>
      <c r="H311" s="4919"/>
      <c r="I311" s="4919"/>
      <c r="J311" s="4919"/>
      <c r="K311" s="4919"/>
      <c r="L311" s="4919"/>
      <c r="M311" s="4919"/>
      <c r="N311" s="4919"/>
      <c r="O311" s="4919"/>
      <c r="P311" s="4919"/>
      <c r="Q311" s="4919"/>
      <c r="R311" s="4926"/>
      <c r="S311" s="4798"/>
      <c r="T311" s="4798"/>
      <c r="U311" s="4798"/>
      <c r="V311" s="4798"/>
    </row>
    <row r="312" spans="1:22" ht="13.5" customHeight="1">
      <c r="A312" s="4759"/>
      <c r="B312" s="4760" t="s">
        <v>195</v>
      </c>
      <c r="C312" s="4928"/>
      <c r="D312" s="4729"/>
      <c r="E312" s="4730">
        <f>+F312+G312+H312+I312+J312+K312+L312+M312</f>
        <v>1276500</v>
      </c>
      <c r="F312" s="4731">
        <f>'Tab. 6H - Kultura fiz. i turyst'!E214</f>
        <v>0</v>
      </c>
      <c r="G312" s="4731">
        <f>'Tab. 6H - Kultura fiz. i turyst'!F214</f>
        <v>25422</v>
      </c>
      <c r="H312" s="4731">
        <f>'Tab. 6H - Kultura fiz. i turyst'!G214</f>
        <v>545621</v>
      </c>
      <c r="I312" s="4731">
        <f>'Tab. 6H - Kultura fiz. i turyst'!H214</f>
        <v>671780</v>
      </c>
      <c r="J312" s="4731">
        <f>'Tab. 6H - Kultura fiz. i turyst'!I214</f>
        <v>33677</v>
      </c>
      <c r="K312" s="4731">
        <f>'Tab. 6H - Kultura fiz. i turyst'!J214</f>
        <v>0</v>
      </c>
      <c r="L312" s="4731">
        <f>'Tab. 6H - Kultura fiz. i turyst'!K214</f>
        <v>0</v>
      </c>
      <c r="M312" s="4731">
        <f>'Tab. 6H - Kultura fiz. i turyst'!L214</f>
        <v>0</v>
      </c>
      <c r="N312" s="4731"/>
      <c r="O312" s="4731"/>
      <c r="P312" s="4731"/>
      <c r="Q312" s="4731"/>
      <c r="R312" s="4732"/>
      <c r="S312" s="4733"/>
      <c r="T312" s="4733"/>
      <c r="U312" s="4733"/>
      <c r="V312" s="4733"/>
    </row>
    <row r="313" spans="1:22">
      <c r="A313" s="4759"/>
      <c r="B313" s="4761" t="s">
        <v>320</v>
      </c>
      <c r="C313" s="4929"/>
      <c r="D313" s="4736"/>
      <c r="E313" s="4737">
        <f>+F313+G313+H313+I313+J313+K313+L313+M313</f>
        <v>191898</v>
      </c>
      <c r="F313" s="4738">
        <f>'Tab. 6H - Kultura fiz. i turyst'!E215</f>
        <v>0</v>
      </c>
      <c r="G313" s="4738">
        <f>'Tab. 6H - Kultura fiz. i turyst'!F215</f>
        <v>3813</v>
      </c>
      <c r="H313" s="4738">
        <f>'Tab. 6H - Kultura fiz. i turyst'!G215</f>
        <v>82013</v>
      </c>
      <c r="I313" s="4738">
        <f>'Tab. 6H - Kultura fiz. i turyst'!H215</f>
        <v>100937</v>
      </c>
      <c r="J313" s="4738">
        <f>'Tab. 6H - Kultura fiz. i turyst'!I215</f>
        <v>5135</v>
      </c>
      <c r="K313" s="4738">
        <f>'Tab. 6H - Kultura fiz. i turyst'!J215</f>
        <v>0</v>
      </c>
      <c r="L313" s="4738">
        <f>'Tab. 6H - Kultura fiz. i turyst'!K215</f>
        <v>0</v>
      </c>
      <c r="M313" s="4738">
        <f>'Tab. 6H - Kultura fiz. i turyst'!L215</f>
        <v>0</v>
      </c>
      <c r="N313" s="4738"/>
      <c r="O313" s="4738"/>
      <c r="P313" s="4738"/>
      <c r="Q313" s="4738"/>
      <c r="R313" s="4739"/>
      <c r="S313" s="4739"/>
      <c r="T313" s="4739"/>
      <c r="U313" s="4739"/>
      <c r="V313" s="4739"/>
    </row>
    <row r="314" spans="1:22" ht="13.5" customHeight="1" thickBot="1">
      <c r="A314" s="4759"/>
      <c r="B314" s="4762" t="s">
        <v>197</v>
      </c>
      <c r="C314" s="4754">
        <f>E314-E315</f>
        <v>0</v>
      </c>
      <c r="D314" s="4742"/>
      <c r="E314" s="4743">
        <f>+F314+G314+H314+I314+J314+K314+L314+M314</f>
        <v>1084602</v>
      </c>
      <c r="F314" s="4744">
        <f>'Tab. 6H - Kultura fiz. i turyst'!E219</f>
        <v>0</v>
      </c>
      <c r="G314" s="4744">
        <f>'Tab. 6H - Kultura fiz. i turyst'!F219</f>
        <v>21609</v>
      </c>
      <c r="H314" s="4744">
        <f>'Tab. 6H - Kultura fiz. i turyst'!G219</f>
        <v>463608</v>
      </c>
      <c r="I314" s="4744">
        <f>'Tab. 6H - Kultura fiz. i turyst'!H219</f>
        <v>570843</v>
      </c>
      <c r="J314" s="4744">
        <f>'Tab. 6H - Kultura fiz. i turyst'!I219</f>
        <v>28542</v>
      </c>
      <c r="K314" s="4744">
        <f>'Tab. 6H - Kultura fiz. i turyst'!J219</f>
        <v>0</v>
      </c>
      <c r="L314" s="4744">
        <f>'Tab. 6H - Kultura fiz. i turyst'!K219</f>
        <v>0</v>
      </c>
      <c r="M314" s="4744">
        <f>'Tab. 6H - Kultura fiz. i turyst'!L219</f>
        <v>0</v>
      </c>
      <c r="N314" s="4744"/>
      <c r="O314" s="4744"/>
      <c r="P314" s="4744"/>
      <c r="Q314" s="4744"/>
      <c r="R314" s="4745"/>
      <c r="S314" s="4746"/>
      <c r="T314" s="4746"/>
      <c r="U314" s="4746"/>
      <c r="V314" s="4746"/>
    </row>
    <row r="315" spans="1:22" ht="13.5" customHeight="1" thickBot="1">
      <c r="A315" s="4763"/>
      <c r="B315" s="4764" t="s">
        <v>317</v>
      </c>
      <c r="C315" s="4930"/>
      <c r="D315" s="4750"/>
      <c r="E315" s="4751">
        <f>F315+G315+H315+I315+J315+K315+L315+M315</f>
        <v>1084602</v>
      </c>
      <c r="F315" s="4752">
        <f>'Tab. 6H - Kultura fiz. i turyst'!E224</f>
        <v>0</v>
      </c>
      <c r="G315" s="4752">
        <f>'Tab. 6H - Kultura fiz. i turyst'!F224</f>
        <v>0</v>
      </c>
      <c r="H315" s="4752">
        <f>'Tab. 6H - Kultura fiz. i turyst'!G224</f>
        <v>253586</v>
      </c>
      <c r="I315" s="4752">
        <f>'Tab. 6H - Kultura fiz. i turyst'!H224</f>
        <v>517052</v>
      </c>
      <c r="J315" s="4752">
        <f>'Tab. 6H - Kultura fiz. i turyst'!I224</f>
        <v>313964</v>
      </c>
      <c r="K315" s="4752">
        <f>'Tab. 6H - Kultura fiz. i turyst'!J224</f>
        <v>0</v>
      </c>
      <c r="L315" s="4752">
        <f>'Tab. 6H - Kultura fiz. i turyst'!K224</f>
        <v>0</v>
      </c>
      <c r="M315" s="4752">
        <f>'Tab. 6H - Kultura fiz. i turyst'!L224</f>
        <v>0</v>
      </c>
      <c r="N315" s="4752"/>
      <c r="O315" s="4752"/>
      <c r="P315" s="4752"/>
      <c r="Q315" s="4752"/>
      <c r="R315" s="4753"/>
      <c r="S315" s="4753"/>
      <c r="T315" s="4753"/>
      <c r="U315" s="4753"/>
      <c r="V315" s="4753"/>
    </row>
    <row r="316" spans="1:22" ht="27.75" customHeight="1">
      <c r="A316" s="4759" t="s">
        <v>217</v>
      </c>
      <c r="B316" s="4927" t="str">
        <f>'Tab. 6H - Kultura fiz. i turyst'!B191</f>
        <v>Bałtyckie trasy dziedzictwa w ramach PW INTERREG Południowy Bałtyk (2017-2020)</v>
      </c>
      <c r="C316" s="4834" t="s">
        <v>594</v>
      </c>
      <c r="D316" s="4917">
        <f>E319/E317%</f>
        <v>84.863246554364466</v>
      </c>
      <c r="E316" s="4918"/>
      <c r="F316" s="4919"/>
      <c r="G316" s="4920"/>
      <c r="H316" s="4919"/>
      <c r="I316" s="4919"/>
      <c r="J316" s="4919"/>
      <c r="K316" s="4919"/>
      <c r="L316" s="4919"/>
      <c r="M316" s="4919"/>
      <c r="N316" s="4919"/>
      <c r="O316" s="4919"/>
      <c r="P316" s="4919"/>
      <c r="Q316" s="4919"/>
      <c r="R316" s="4926"/>
      <c r="S316" s="4798"/>
      <c r="T316" s="4798"/>
      <c r="U316" s="4798"/>
      <c r="V316" s="4798"/>
    </row>
    <row r="317" spans="1:22" ht="13.5" customHeight="1">
      <c r="A317" s="4759"/>
      <c r="B317" s="4760" t="s">
        <v>195</v>
      </c>
      <c r="C317" s="4928"/>
      <c r="D317" s="4729"/>
      <c r="E317" s="4730">
        <f>+F317+G317+H317+I317+J317+K317+L317+M317</f>
        <v>653000</v>
      </c>
      <c r="F317" s="4731">
        <f>'Tab. 6H - Kultura fiz. i turyst'!E192</f>
        <v>0</v>
      </c>
      <c r="G317" s="4731">
        <f>'Tab. 6H - Kultura fiz. i turyst'!F192</f>
        <v>915</v>
      </c>
      <c r="H317" s="4731">
        <f>'Tab. 6H - Kultura fiz. i turyst'!G192</f>
        <v>76680</v>
      </c>
      <c r="I317" s="4731">
        <f>'Tab. 6H - Kultura fiz. i turyst'!H192</f>
        <v>427626</v>
      </c>
      <c r="J317" s="4731">
        <f>'Tab. 6H - Kultura fiz. i turyst'!I192</f>
        <v>147779</v>
      </c>
      <c r="K317" s="4731">
        <f>'Tab. 6H - Kultura fiz. i turyst'!J192</f>
        <v>0</v>
      </c>
      <c r="L317" s="4731">
        <f>'Tab. 6H - Kultura fiz. i turyst'!K192</f>
        <v>0</v>
      </c>
      <c r="M317" s="4731">
        <f>'Tab. 6H - Kultura fiz. i turyst'!L192</f>
        <v>0</v>
      </c>
      <c r="N317" s="4731"/>
      <c r="O317" s="4731"/>
      <c r="P317" s="4731"/>
      <c r="Q317" s="4731"/>
      <c r="R317" s="4732"/>
      <c r="S317" s="4733"/>
      <c r="T317" s="4733"/>
      <c r="U317" s="4733"/>
      <c r="V317" s="4733"/>
    </row>
    <row r="318" spans="1:22">
      <c r="A318" s="4759"/>
      <c r="B318" s="4761" t="s">
        <v>320</v>
      </c>
      <c r="C318" s="4929"/>
      <c r="D318" s="4736"/>
      <c r="E318" s="4737">
        <f>+F318+G318+H318+I318+J318+K318+L318+M318</f>
        <v>98843</v>
      </c>
      <c r="F318" s="4738">
        <f>'Tab. 6H - Kultura fiz. i turyst'!E193</f>
        <v>0</v>
      </c>
      <c r="G318" s="4738">
        <f>'Tab. 6H - Kultura fiz. i turyst'!F193</f>
        <v>137</v>
      </c>
      <c r="H318" s="4738">
        <f>'Tab. 6H - Kultura fiz. i turyst'!G193</f>
        <v>11800</v>
      </c>
      <c r="I318" s="4738">
        <f>'Tab. 6H - Kultura fiz. i turyst'!H193</f>
        <v>64441</v>
      </c>
      <c r="J318" s="4738">
        <f>'Tab. 6H - Kultura fiz. i turyst'!I193</f>
        <v>22465</v>
      </c>
      <c r="K318" s="4738">
        <f>'Tab. 6H - Kultura fiz. i turyst'!J193</f>
        <v>0</v>
      </c>
      <c r="L318" s="4738">
        <f>'Tab. 6H - Kultura fiz. i turyst'!K193</f>
        <v>0</v>
      </c>
      <c r="M318" s="4738">
        <f>'Tab. 6H - Kultura fiz. i turyst'!L193</f>
        <v>0</v>
      </c>
      <c r="N318" s="4738"/>
      <c r="O318" s="4738"/>
      <c r="P318" s="4738"/>
      <c r="Q318" s="4738"/>
      <c r="R318" s="4739"/>
      <c r="S318" s="4739"/>
      <c r="T318" s="4739"/>
      <c r="U318" s="4739"/>
      <c r="V318" s="4739"/>
    </row>
    <row r="319" spans="1:22" ht="13.5" customHeight="1" thickBot="1">
      <c r="A319" s="4759"/>
      <c r="B319" s="4762" t="s">
        <v>197</v>
      </c>
      <c r="C319" s="4754">
        <f>E319-E320</f>
        <v>0</v>
      </c>
      <c r="D319" s="4742"/>
      <c r="E319" s="4743">
        <f>+F319+G319+H319+I319+J319+K319+L319+M319</f>
        <v>554157</v>
      </c>
      <c r="F319" s="4744">
        <f>'Tab. 6H - Kultura fiz. i turyst'!E198</f>
        <v>0</v>
      </c>
      <c r="G319" s="4744">
        <f>'Tab. 6H - Kultura fiz. i turyst'!F198</f>
        <v>778</v>
      </c>
      <c r="H319" s="4744">
        <f>'Tab. 6H - Kultura fiz. i turyst'!G198</f>
        <v>64880</v>
      </c>
      <c r="I319" s="4744">
        <f>'Tab. 6H - Kultura fiz. i turyst'!H198</f>
        <v>363185</v>
      </c>
      <c r="J319" s="4744">
        <f>'Tab. 6H - Kultura fiz. i turyst'!I198</f>
        <v>125314</v>
      </c>
      <c r="K319" s="4744">
        <f>'Tab. 6H - Kultura fiz. i turyst'!J198</f>
        <v>0</v>
      </c>
      <c r="L319" s="4744">
        <f>'Tab. 6H - Kultura fiz. i turyst'!K198</f>
        <v>0</v>
      </c>
      <c r="M319" s="4744">
        <f>'Tab. 6H - Kultura fiz. i turyst'!L198</f>
        <v>0</v>
      </c>
      <c r="N319" s="4744"/>
      <c r="O319" s="4744"/>
      <c r="P319" s="4744"/>
      <c r="Q319" s="4744"/>
      <c r="R319" s="4745"/>
      <c r="S319" s="4746"/>
      <c r="T319" s="4746"/>
      <c r="U319" s="4746"/>
      <c r="V319" s="4746"/>
    </row>
    <row r="320" spans="1:22" ht="13.5" customHeight="1" thickBot="1">
      <c r="A320" s="4763"/>
      <c r="B320" s="4764" t="s">
        <v>317</v>
      </c>
      <c r="C320" s="4930"/>
      <c r="D320" s="4750"/>
      <c r="E320" s="4751">
        <f>F320+G320+H320+I320+J320+K320+L320+M320</f>
        <v>554157</v>
      </c>
      <c r="F320" s="4752">
        <f>'Tab. 6H - Kultura fiz. i turyst'!E202</f>
        <v>0</v>
      </c>
      <c r="G320" s="4752">
        <f>'Tab. 6H - Kultura fiz. i turyst'!F202</f>
        <v>0</v>
      </c>
      <c r="H320" s="4752">
        <f>'Tab. 6H - Kultura fiz. i turyst'!G202</f>
        <v>37120</v>
      </c>
      <c r="I320" s="4752">
        <f>'Tab. 6H - Kultura fiz. i turyst'!H202</f>
        <v>367384</v>
      </c>
      <c r="J320" s="4752">
        <f>'Tab. 6H - Kultura fiz. i turyst'!I202</f>
        <v>149653</v>
      </c>
      <c r="K320" s="4752">
        <f>'Tab. 6H - Kultura fiz. i turyst'!J202</f>
        <v>0</v>
      </c>
      <c r="L320" s="4752">
        <f>'Tab. 6H - Kultura fiz. i turyst'!K202</f>
        <v>0</v>
      </c>
      <c r="M320" s="4752">
        <f>'Tab. 6H - Kultura fiz. i turyst'!L202</f>
        <v>0</v>
      </c>
      <c r="N320" s="4752"/>
      <c r="O320" s="4752"/>
      <c r="P320" s="4752"/>
      <c r="Q320" s="4752"/>
      <c r="R320" s="4753"/>
      <c r="S320" s="4753"/>
      <c r="T320" s="4753"/>
      <c r="U320" s="4753"/>
      <c r="V320" s="4753"/>
    </row>
    <row r="321" spans="1:22" ht="35.25" customHeight="1">
      <c r="A321" s="4759" t="s">
        <v>218</v>
      </c>
      <c r="B321" s="4927" t="str">
        <f>'Tab. 6B Polit społ i rozwój prz'!B44</f>
        <v>Ekonomia społeczna kluczem do sukcesu - II w ramach działania 7.5 RPO WZ (2018-2019)</v>
      </c>
      <c r="C321" s="4834" t="s">
        <v>793</v>
      </c>
      <c r="D321" s="4917">
        <f>E324/E322%</f>
        <v>85.000015101542772</v>
      </c>
      <c r="E321" s="4918"/>
      <c r="F321" s="4919"/>
      <c r="G321" s="4920"/>
      <c r="H321" s="4919"/>
      <c r="I321" s="4919"/>
      <c r="J321" s="4919"/>
      <c r="K321" s="4919"/>
      <c r="L321" s="4919"/>
      <c r="M321" s="4919"/>
      <c r="N321" s="4919"/>
      <c r="O321" s="4919"/>
      <c r="P321" s="4919"/>
      <c r="Q321" s="4919"/>
      <c r="R321" s="4926"/>
      <c r="S321" s="4798"/>
      <c r="T321" s="4798"/>
      <c r="U321" s="4798"/>
      <c r="V321" s="4798"/>
    </row>
    <row r="322" spans="1:22" ht="13.5" customHeight="1">
      <c r="A322" s="4759"/>
      <c r="B322" s="4760" t="s">
        <v>195</v>
      </c>
      <c r="C322" s="4928"/>
      <c r="D322" s="4729"/>
      <c r="E322" s="4730">
        <f>+F322+G322+H322+I322+J322+K322+L322+M322</f>
        <v>1324368</v>
      </c>
      <c r="F322" s="4731">
        <f>'Tab. 6B Polit społ i rozwój prz'!E45</f>
        <v>0</v>
      </c>
      <c r="G322" s="4731">
        <f>'Tab. 6B Polit społ i rozwój prz'!F45</f>
        <v>0</v>
      </c>
      <c r="H322" s="4731">
        <f>'Tab. 6B Polit społ i rozwój prz'!G45</f>
        <v>689604</v>
      </c>
      <c r="I322" s="4731">
        <f>'Tab. 6B Polit społ i rozwój prz'!H45</f>
        <v>634764</v>
      </c>
      <c r="J322" s="4731">
        <f>'Tab. 6B Polit społ i rozwój prz'!I45</f>
        <v>0</v>
      </c>
      <c r="K322" s="4731">
        <f>'Tab. 6B Polit społ i rozwój prz'!J45</f>
        <v>0</v>
      </c>
      <c r="L322" s="4731">
        <f>'Tab. 6B Polit społ i rozwój prz'!K45</f>
        <v>0</v>
      </c>
      <c r="M322" s="4731">
        <f>'Tab. 6B Polit społ i rozwój prz'!L45</f>
        <v>0</v>
      </c>
      <c r="N322" s="4731"/>
      <c r="O322" s="4731"/>
      <c r="P322" s="4731"/>
      <c r="Q322" s="4731"/>
      <c r="R322" s="4732"/>
      <c r="S322" s="4733"/>
      <c r="T322" s="4733"/>
      <c r="U322" s="4733"/>
      <c r="V322" s="4733"/>
    </row>
    <row r="323" spans="1:22">
      <c r="A323" s="4759"/>
      <c r="B323" s="4761" t="s">
        <v>320</v>
      </c>
      <c r="C323" s="4929"/>
      <c r="D323" s="4736"/>
      <c r="E323" s="4737">
        <f>+F323+G323+H323+I323+J323+K323+L323+M323</f>
        <v>198655</v>
      </c>
      <c r="F323" s="4738">
        <f>'Tab. 6B Polit społ i rozwój prz'!E46</f>
        <v>0</v>
      </c>
      <c r="G323" s="4738">
        <f>'Tab. 6B Polit społ i rozwój prz'!F46</f>
        <v>0</v>
      </c>
      <c r="H323" s="4738">
        <f>'Tab. 6B Polit społ i rozwój prz'!G46</f>
        <v>103441</v>
      </c>
      <c r="I323" s="4738">
        <f>'Tab. 6B Polit społ i rozwój prz'!H46</f>
        <v>95214</v>
      </c>
      <c r="J323" s="4738">
        <f>'Tab. 6B Polit społ i rozwój prz'!I46</f>
        <v>0</v>
      </c>
      <c r="K323" s="4738">
        <f>'Tab. 6B Polit społ i rozwój prz'!J46</f>
        <v>0</v>
      </c>
      <c r="L323" s="4738">
        <f>'Tab. 6B Polit społ i rozwój prz'!K46</f>
        <v>0</v>
      </c>
      <c r="M323" s="4738">
        <f>'Tab. 6B Polit społ i rozwój prz'!L46</f>
        <v>0</v>
      </c>
      <c r="N323" s="4738"/>
      <c r="O323" s="4738"/>
      <c r="P323" s="4738"/>
      <c r="Q323" s="4738"/>
      <c r="R323" s="4739"/>
      <c r="S323" s="4739"/>
      <c r="T323" s="4739"/>
      <c r="U323" s="4739"/>
      <c r="V323" s="4739"/>
    </row>
    <row r="324" spans="1:22" ht="13.5" customHeight="1" thickBot="1">
      <c r="A324" s="4759"/>
      <c r="B324" s="4762" t="s">
        <v>197</v>
      </c>
      <c r="C324" s="4754">
        <f>E324-E325</f>
        <v>0</v>
      </c>
      <c r="D324" s="4742"/>
      <c r="E324" s="4743">
        <f>+F324+G324+H324+I324+J324+K324+L324+M324</f>
        <v>1125713</v>
      </c>
      <c r="F324" s="4744">
        <f>'Tab. 6B Polit społ i rozwój prz'!E52</f>
        <v>0</v>
      </c>
      <c r="G324" s="4744">
        <f>'Tab. 6B Polit społ i rozwój prz'!F52</f>
        <v>0</v>
      </c>
      <c r="H324" s="4744">
        <f>'Tab. 6B Polit społ i rozwój prz'!G52</f>
        <v>586163</v>
      </c>
      <c r="I324" s="4744">
        <f>'Tab. 6B Polit społ i rozwój prz'!H52</f>
        <v>539550</v>
      </c>
      <c r="J324" s="4744">
        <f>'Tab. 6B Polit społ i rozwój prz'!I52</f>
        <v>0</v>
      </c>
      <c r="K324" s="4744">
        <f>'Tab. 6B Polit społ i rozwój prz'!J52</f>
        <v>0</v>
      </c>
      <c r="L324" s="4744">
        <f>'Tab. 6B Polit społ i rozwój prz'!K52</f>
        <v>0</v>
      </c>
      <c r="M324" s="4744">
        <f>'Tab. 6B Polit społ i rozwój prz'!L52</f>
        <v>0</v>
      </c>
      <c r="N324" s="4744"/>
      <c r="O324" s="4744"/>
      <c r="P324" s="4744"/>
      <c r="Q324" s="4744"/>
      <c r="R324" s="4745"/>
      <c r="S324" s="4746"/>
      <c r="T324" s="4746"/>
      <c r="U324" s="4746"/>
      <c r="V324" s="4746"/>
    </row>
    <row r="325" spans="1:22" ht="16.5" customHeight="1" thickBot="1">
      <c r="A325" s="4763"/>
      <c r="B325" s="4764" t="s">
        <v>317</v>
      </c>
      <c r="C325" s="4930"/>
      <c r="D325" s="4750"/>
      <c r="E325" s="4751">
        <f>F325+G325+H325+I325+J325+K325+L325+M325</f>
        <v>1125713</v>
      </c>
      <c r="F325" s="4752">
        <f>'Tab. 6B Polit społ i rozwój prz'!E58</f>
        <v>0</v>
      </c>
      <c r="G325" s="4752">
        <f>'Tab. 6B Polit społ i rozwój prz'!F58</f>
        <v>0</v>
      </c>
      <c r="H325" s="4752">
        <f>'Tab. 6B Polit społ i rozwój prz'!G58</f>
        <v>586163</v>
      </c>
      <c r="I325" s="4752">
        <f>'Tab. 6B Polit społ i rozwój prz'!H58</f>
        <v>539550</v>
      </c>
      <c r="J325" s="4752">
        <f>'Tab. 6B Polit społ i rozwój prz'!I58</f>
        <v>0</v>
      </c>
      <c r="K325" s="4752">
        <f>'Tab. 6B Polit społ i rozwój prz'!J58</f>
        <v>0</v>
      </c>
      <c r="L325" s="4752">
        <f>'Tab. 6B Polit społ i rozwój prz'!K58</f>
        <v>0</v>
      </c>
      <c r="M325" s="4752">
        <f>'Tab. 6B Polit społ i rozwój prz'!L58</f>
        <v>0</v>
      </c>
      <c r="N325" s="4752"/>
      <c r="O325" s="4752"/>
      <c r="P325" s="4752"/>
      <c r="Q325" s="4752"/>
      <c r="R325" s="4753"/>
      <c r="S325" s="4753"/>
      <c r="T325" s="4753"/>
      <c r="U325" s="4753"/>
      <c r="V325" s="4753"/>
    </row>
    <row r="326" spans="1:22" ht="27.75" customHeight="1" thickBot="1">
      <c r="A326" s="4759" t="s">
        <v>277</v>
      </c>
      <c r="B326" s="4927" t="str">
        <f>'Tab. 6B Polit społ i rozwój prz'!B157</f>
        <v>Dobre Wsparcie - system lokalnych usług społecznych w ramach działania 7.6 RPO WZ - wydatki bieżące (2018-2019)</v>
      </c>
      <c r="C326" s="4804" t="s">
        <v>593</v>
      </c>
      <c r="D326" s="4917">
        <f>E329/E327%</f>
        <v>85</v>
      </c>
      <c r="E326" s="4918"/>
      <c r="F326" s="4919"/>
      <c r="G326" s="4920"/>
      <c r="H326" s="4919"/>
      <c r="I326" s="4919"/>
      <c r="J326" s="4919"/>
      <c r="K326" s="4919"/>
      <c r="L326" s="4919"/>
      <c r="M326" s="4919"/>
      <c r="N326" s="4919"/>
      <c r="O326" s="4919"/>
      <c r="P326" s="4919"/>
      <c r="Q326" s="4919"/>
      <c r="R326" s="4926"/>
      <c r="S326" s="4798"/>
      <c r="T326" s="4798"/>
      <c r="U326" s="4798"/>
      <c r="V326" s="4798"/>
    </row>
    <row r="327" spans="1:22" ht="13.5" customHeight="1" thickTop="1">
      <c r="A327" s="4759"/>
      <c r="B327" s="4760" t="s">
        <v>195</v>
      </c>
      <c r="C327" s="4928"/>
      <c r="D327" s="4729"/>
      <c r="E327" s="4730">
        <f>+F327+G327+H327+I327+J327+K327+L327+M327</f>
        <v>1184280</v>
      </c>
      <c r="F327" s="4731">
        <f>'Tab. 6B Polit społ i rozwój prz'!E158</f>
        <v>0</v>
      </c>
      <c r="G327" s="4731">
        <f>'Tab. 6B Polit społ i rozwój prz'!F158</f>
        <v>0</v>
      </c>
      <c r="H327" s="4731">
        <f>'Tab. 6B Polit społ i rozwój prz'!G158</f>
        <v>651754</v>
      </c>
      <c r="I327" s="4731">
        <f>'Tab. 6B Polit społ i rozwój prz'!H158</f>
        <v>532526</v>
      </c>
      <c r="J327" s="4731">
        <f>'Tab. 6B Polit społ i rozwój prz'!I158</f>
        <v>0</v>
      </c>
      <c r="K327" s="4731">
        <f>'Tab. 6B Polit społ i rozwój prz'!J158</f>
        <v>0</v>
      </c>
      <c r="L327" s="4731">
        <f>'Tab. 6B Polit społ i rozwój prz'!K158</f>
        <v>0</v>
      </c>
      <c r="M327" s="4731">
        <f>'Tab. 6B Polit społ i rozwój prz'!L158</f>
        <v>0</v>
      </c>
      <c r="N327" s="4731"/>
      <c r="O327" s="4731"/>
      <c r="P327" s="4731"/>
      <c r="Q327" s="4731"/>
      <c r="R327" s="4732"/>
      <c r="S327" s="4733"/>
      <c r="T327" s="4733"/>
      <c r="U327" s="4733"/>
      <c r="V327" s="4733"/>
    </row>
    <row r="328" spans="1:22">
      <c r="A328" s="4759"/>
      <c r="B328" s="4761" t="s">
        <v>320</v>
      </c>
      <c r="C328" s="4929"/>
      <c r="D328" s="4736"/>
      <c r="E328" s="4737">
        <f>+F328+G328+H328+I328+J328+K328+L328+M328</f>
        <v>177642</v>
      </c>
      <c r="F328" s="4738">
        <f>'Tab. 6B Polit społ i rozwój prz'!E159</f>
        <v>0</v>
      </c>
      <c r="G328" s="4738">
        <f>'Tab. 6B Polit społ i rozwój prz'!F159</f>
        <v>0</v>
      </c>
      <c r="H328" s="4738">
        <f>'Tab. 6B Polit społ i rozwój prz'!G159</f>
        <v>97763</v>
      </c>
      <c r="I328" s="4738">
        <f>'Tab. 6B Polit społ i rozwój prz'!H159</f>
        <v>79879</v>
      </c>
      <c r="J328" s="4738">
        <f>'Tab. 6B Polit społ i rozwój prz'!I159</f>
        <v>0</v>
      </c>
      <c r="K328" s="4738">
        <f>'Tab. 6B Polit społ i rozwój prz'!J159</f>
        <v>0</v>
      </c>
      <c r="L328" s="4738">
        <f>'Tab. 6B Polit społ i rozwój prz'!K159</f>
        <v>0</v>
      </c>
      <c r="M328" s="4738">
        <f>'Tab. 6B Polit społ i rozwój prz'!L159</f>
        <v>0</v>
      </c>
      <c r="N328" s="4738"/>
      <c r="O328" s="4738"/>
      <c r="P328" s="4738"/>
      <c r="Q328" s="4738"/>
      <c r="R328" s="4739"/>
      <c r="S328" s="4739"/>
      <c r="T328" s="4739"/>
      <c r="U328" s="4739"/>
      <c r="V328" s="4739"/>
    </row>
    <row r="329" spans="1:22" ht="13.5" customHeight="1" thickBot="1">
      <c r="A329" s="4759"/>
      <c r="B329" s="4762" t="s">
        <v>197</v>
      </c>
      <c r="C329" s="4754">
        <f>E329-E330</f>
        <v>0</v>
      </c>
      <c r="D329" s="4742"/>
      <c r="E329" s="4743">
        <f>+F329+G329+H329+I329+J329+K329+L329+M329</f>
        <v>1006638</v>
      </c>
      <c r="F329" s="4744">
        <f>'Tab. 6B Polit społ i rozwój prz'!E167</f>
        <v>0</v>
      </c>
      <c r="G329" s="4744">
        <f>'Tab. 6B Polit społ i rozwój prz'!F167</f>
        <v>0</v>
      </c>
      <c r="H329" s="4744">
        <f>'Tab. 6B Polit społ i rozwój prz'!G167</f>
        <v>553991</v>
      </c>
      <c r="I329" s="4744">
        <f>'Tab. 6B Polit społ i rozwój prz'!H167</f>
        <v>452647</v>
      </c>
      <c r="J329" s="4744">
        <f>'Tab. 6B Polit społ i rozwój prz'!I167</f>
        <v>0</v>
      </c>
      <c r="K329" s="4744">
        <f>'Tab. 6B Polit społ i rozwój prz'!J167</f>
        <v>0</v>
      </c>
      <c r="L329" s="4744">
        <f>'Tab. 6B Polit społ i rozwój prz'!K167</f>
        <v>0</v>
      </c>
      <c r="M329" s="4744">
        <f>'Tab. 6B Polit społ i rozwój prz'!L167</f>
        <v>0</v>
      </c>
      <c r="N329" s="4744"/>
      <c r="O329" s="4744"/>
      <c r="P329" s="4744"/>
      <c r="Q329" s="4744"/>
      <c r="R329" s="4745"/>
      <c r="S329" s="4746"/>
      <c r="T329" s="4746"/>
      <c r="U329" s="4746"/>
      <c r="V329" s="4746"/>
    </row>
    <row r="330" spans="1:22" ht="16.5" customHeight="1" thickBot="1">
      <c r="A330" s="4763"/>
      <c r="B330" s="4764" t="s">
        <v>317</v>
      </c>
      <c r="C330" s="4930"/>
      <c r="D330" s="4750"/>
      <c r="E330" s="4751">
        <f>F330+G330+H330+I330+J330+K330+L330+M330</f>
        <v>1006638</v>
      </c>
      <c r="F330" s="4752">
        <f>'Tab. 6B Polit społ i rozwój prz'!E173</f>
        <v>0</v>
      </c>
      <c r="G330" s="4752">
        <f>'Tab. 6B Polit społ i rozwój prz'!F173</f>
        <v>0</v>
      </c>
      <c r="H330" s="4752">
        <f>'Tab. 6B Polit społ i rozwój prz'!G173</f>
        <v>553991</v>
      </c>
      <c r="I330" s="4752">
        <f>'Tab. 6B Polit społ i rozwój prz'!H173</f>
        <v>452647</v>
      </c>
      <c r="J330" s="4752">
        <f>'Tab. 6B Polit społ i rozwój prz'!I173</f>
        <v>0</v>
      </c>
      <c r="K330" s="4752">
        <f>'Tab. 6B Polit społ i rozwój prz'!J173</f>
        <v>0</v>
      </c>
      <c r="L330" s="4752">
        <f>'Tab. 6B Polit społ i rozwój prz'!K173</f>
        <v>0</v>
      </c>
      <c r="M330" s="4752">
        <f>'Tab. 6B Polit społ i rozwój prz'!L173</f>
        <v>0</v>
      </c>
      <c r="N330" s="4752"/>
      <c r="O330" s="4752"/>
      <c r="P330" s="4752"/>
      <c r="Q330" s="4752"/>
      <c r="R330" s="4753"/>
      <c r="S330" s="4753"/>
      <c r="T330" s="4753"/>
      <c r="U330" s="4753"/>
      <c r="V330" s="4753"/>
    </row>
    <row r="331" spans="1:22" ht="39.75" customHeight="1">
      <c r="A331" s="4759" t="s">
        <v>532</v>
      </c>
      <c r="B331" s="4927" t="str">
        <f>'Tab. 6B Polit społ i rozwój prz'!B187</f>
        <v>Akademia Rodzica Zastępczego w ramach działania 7.6 RPO WZ (2018-2019)</v>
      </c>
      <c r="C331" s="4834" t="s">
        <v>589</v>
      </c>
      <c r="D331" s="4917">
        <f>E334/E332%</f>
        <v>85.000030186856648</v>
      </c>
      <c r="E331" s="4918"/>
      <c r="F331" s="4919"/>
      <c r="G331" s="4920"/>
      <c r="H331" s="4919"/>
      <c r="I331" s="4919"/>
      <c r="J331" s="4919"/>
      <c r="K331" s="4919"/>
      <c r="L331" s="4919"/>
      <c r="M331" s="4919"/>
      <c r="N331" s="4919"/>
      <c r="O331" s="4919"/>
      <c r="P331" s="4919"/>
      <c r="Q331" s="4919"/>
      <c r="R331" s="4926"/>
      <c r="S331" s="4798"/>
      <c r="T331" s="4798"/>
      <c r="U331" s="4798"/>
      <c r="V331" s="4798"/>
    </row>
    <row r="332" spans="1:22" ht="13.5" customHeight="1">
      <c r="A332" s="4759"/>
      <c r="B332" s="4760" t="s">
        <v>195</v>
      </c>
      <c r="C332" s="4928"/>
      <c r="D332" s="4729"/>
      <c r="E332" s="4730">
        <f>+F332+G332+H332+I332+J332+K332+L332+M332</f>
        <v>828175</v>
      </c>
      <c r="F332" s="4731">
        <f>'Tab. 6B Polit społ i rozwój prz'!E188</f>
        <v>0</v>
      </c>
      <c r="G332" s="4731">
        <f>'Tab. 6B Polit społ i rozwój prz'!F188</f>
        <v>0</v>
      </c>
      <c r="H332" s="4731">
        <f>'Tab. 6B Polit społ i rozwój prz'!G188</f>
        <v>407100</v>
      </c>
      <c r="I332" s="4731">
        <f>'Tab. 6B Polit społ i rozwój prz'!H188</f>
        <v>421075</v>
      </c>
      <c r="J332" s="4731">
        <f>'Tab. 6B Polit społ i rozwój prz'!I188</f>
        <v>0</v>
      </c>
      <c r="K332" s="4731">
        <f>'Tab. 6B Polit społ i rozwój prz'!J188</f>
        <v>0</v>
      </c>
      <c r="L332" s="4731">
        <f>'Tab. 6B Polit społ i rozwój prz'!K188</f>
        <v>0</v>
      </c>
      <c r="M332" s="4731"/>
      <c r="N332" s="4731"/>
      <c r="O332" s="4731"/>
      <c r="P332" s="4731"/>
      <c r="Q332" s="4731"/>
      <c r="R332" s="4732"/>
      <c r="S332" s="4733"/>
      <c r="T332" s="4733"/>
      <c r="U332" s="4733"/>
      <c r="V332" s="4733"/>
    </row>
    <row r="333" spans="1:22">
      <c r="A333" s="4759"/>
      <c r="B333" s="4761" t="s">
        <v>320</v>
      </c>
      <c r="C333" s="4929"/>
      <c r="D333" s="4736"/>
      <c r="E333" s="4737">
        <f>+F333+G333+H333+I333+J333+K333+L333+M333</f>
        <v>124226</v>
      </c>
      <c r="F333" s="4738">
        <f>'Tab. 6B Polit społ i rozwój prz'!E189</f>
        <v>0</v>
      </c>
      <c r="G333" s="4738">
        <f>'Tab. 6B Polit społ i rozwój prz'!F189</f>
        <v>0</v>
      </c>
      <c r="H333" s="4738">
        <f>'Tab. 6B Polit społ i rozwój prz'!G189</f>
        <v>61065</v>
      </c>
      <c r="I333" s="4738">
        <f>'Tab. 6B Polit społ i rozwój prz'!H189</f>
        <v>63161</v>
      </c>
      <c r="J333" s="4738">
        <f>'Tab. 6B Polit społ i rozwój prz'!I189</f>
        <v>0</v>
      </c>
      <c r="K333" s="4738">
        <f>'Tab. 6B Polit społ i rozwój prz'!J189</f>
        <v>0</v>
      </c>
      <c r="L333" s="4738">
        <f>'Tab. 6B Polit społ i rozwój prz'!K189</f>
        <v>0</v>
      </c>
      <c r="M333" s="4738"/>
      <c r="N333" s="4738"/>
      <c r="O333" s="4738"/>
      <c r="P333" s="4738"/>
      <c r="Q333" s="4738"/>
      <c r="R333" s="4739"/>
      <c r="S333" s="4739"/>
      <c r="T333" s="4739"/>
      <c r="U333" s="4739"/>
      <c r="V333" s="4739"/>
    </row>
    <row r="334" spans="1:22" ht="13.5" customHeight="1" thickBot="1">
      <c r="A334" s="4759"/>
      <c r="B334" s="4762" t="s">
        <v>197</v>
      </c>
      <c r="C334" s="4754">
        <f>E334-E335</f>
        <v>0</v>
      </c>
      <c r="D334" s="4742"/>
      <c r="E334" s="4743">
        <f>+F334+G334+H334+I334+J334+K334+L334+M334</f>
        <v>703949</v>
      </c>
      <c r="F334" s="4744">
        <f>'Tab. 6B Polit społ i rozwój prz'!E196</f>
        <v>0</v>
      </c>
      <c r="G334" s="4744">
        <f>'Tab. 6B Polit społ i rozwój prz'!F196</f>
        <v>0</v>
      </c>
      <c r="H334" s="4744">
        <f>'Tab. 6B Polit społ i rozwój prz'!G196</f>
        <v>346035</v>
      </c>
      <c r="I334" s="4744">
        <f>'Tab. 6B Polit społ i rozwój prz'!H196</f>
        <v>357914</v>
      </c>
      <c r="J334" s="4744">
        <f>'Tab. 6B Polit społ i rozwój prz'!I196</f>
        <v>0</v>
      </c>
      <c r="K334" s="4744">
        <f>'Tab. 6B Polit społ i rozwój prz'!J196</f>
        <v>0</v>
      </c>
      <c r="L334" s="4744">
        <f>'Tab. 6B Polit społ i rozwój prz'!K196</f>
        <v>0</v>
      </c>
      <c r="M334" s="4744"/>
      <c r="N334" s="4744"/>
      <c r="O334" s="4744"/>
      <c r="P334" s="4744"/>
      <c r="Q334" s="4744"/>
      <c r="R334" s="4745"/>
      <c r="S334" s="4746"/>
      <c r="T334" s="4746"/>
      <c r="U334" s="4746"/>
      <c r="V334" s="4746"/>
    </row>
    <row r="335" spans="1:22" ht="16.5" customHeight="1" thickBot="1">
      <c r="A335" s="4763"/>
      <c r="B335" s="4764" t="s">
        <v>317</v>
      </c>
      <c r="C335" s="4930"/>
      <c r="D335" s="4750"/>
      <c r="E335" s="4751">
        <f>F335+G335+H335+I335+J335+K335+L335+M335</f>
        <v>703949</v>
      </c>
      <c r="F335" s="4752">
        <f>'Tab. 6B Polit społ i rozwój prz'!E203</f>
        <v>0</v>
      </c>
      <c r="G335" s="4752">
        <f>'Tab. 6B Polit społ i rozwój prz'!F203</f>
        <v>0</v>
      </c>
      <c r="H335" s="4752">
        <f>'Tab. 6B Polit społ i rozwój prz'!G203</f>
        <v>346035</v>
      </c>
      <c r="I335" s="4752">
        <f>'Tab. 6B Polit społ i rozwój prz'!H203</f>
        <v>357914</v>
      </c>
      <c r="J335" s="4752">
        <f>'Tab. 6B Polit społ i rozwój prz'!I203</f>
        <v>0</v>
      </c>
      <c r="K335" s="4752">
        <f>'Tab. 6B Polit społ i rozwój prz'!J203</f>
        <v>0</v>
      </c>
      <c r="L335" s="4752">
        <f>'Tab. 6B Polit społ i rozwój prz'!K203</f>
        <v>0</v>
      </c>
      <c r="M335" s="4752"/>
      <c r="N335" s="4752"/>
      <c r="O335" s="4752"/>
      <c r="P335" s="4752"/>
      <c r="Q335" s="4752"/>
      <c r="R335" s="4753"/>
      <c r="S335" s="4753"/>
      <c r="T335" s="4753"/>
      <c r="U335" s="4753"/>
      <c r="V335" s="4753"/>
    </row>
    <row r="336" spans="1:22" ht="38.25" customHeight="1">
      <c r="A336" s="4759" t="s">
        <v>587</v>
      </c>
      <c r="B336" s="4927" t="str">
        <f>'Tab. 6B Polit społ i rozwój prz'!B205</f>
        <v>Azymut-Samodzielność w ramach, Osi II, działania 2.8 PO WER (2018-2022)</v>
      </c>
      <c r="C336" s="4834" t="s">
        <v>588</v>
      </c>
      <c r="D336" s="4917">
        <f>E339/E337%</f>
        <v>84.280000809753048</v>
      </c>
      <c r="E336" s="4918"/>
      <c r="F336" s="4919"/>
      <c r="G336" s="4920"/>
      <c r="H336" s="4919"/>
      <c r="I336" s="4919"/>
      <c r="J336" s="4919"/>
      <c r="K336" s="4919"/>
      <c r="L336" s="4919"/>
      <c r="M336" s="4919"/>
      <c r="N336" s="4919"/>
      <c r="O336" s="4919"/>
      <c r="P336" s="4919"/>
      <c r="Q336" s="4919"/>
      <c r="R336" s="4926"/>
      <c r="S336" s="4798"/>
      <c r="T336" s="4798"/>
      <c r="U336" s="4798"/>
      <c r="V336" s="4798"/>
    </row>
    <row r="337" spans="1:22" ht="13.5" customHeight="1">
      <c r="A337" s="4759"/>
      <c r="B337" s="4760" t="s">
        <v>195</v>
      </c>
      <c r="C337" s="4928"/>
      <c r="D337" s="4729"/>
      <c r="E337" s="4730">
        <f>+F337+G337+H337+I337+J337+K337+L337+M337</f>
        <v>10175942</v>
      </c>
      <c r="F337" s="4731">
        <f>'Tab. 6B Polit społ i rozwój prz'!E206</f>
        <v>0</v>
      </c>
      <c r="G337" s="4731">
        <f>'Tab. 6B Polit społ i rozwój prz'!F206</f>
        <v>0</v>
      </c>
      <c r="H337" s="4731">
        <f>'Tab. 6B Polit społ i rozwój prz'!G206</f>
        <v>550000</v>
      </c>
      <c r="I337" s="4731">
        <f>'Tab. 6B Polit społ i rozwój prz'!H206</f>
        <v>4122312</v>
      </c>
      <c r="J337" s="4731">
        <f>'Tab. 6B Polit społ i rozwój prz'!I206</f>
        <v>2739330</v>
      </c>
      <c r="K337" s="4731">
        <f>'Tab. 6B Polit społ i rozwój prz'!J206</f>
        <v>2327050</v>
      </c>
      <c r="L337" s="4731">
        <f>'Tab. 6B Polit społ i rozwój prz'!K206</f>
        <v>437250</v>
      </c>
      <c r="M337" s="4731">
        <f>'Tab. 6B Polit społ i rozwój prz'!L206</f>
        <v>0</v>
      </c>
      <c r="N337" s="4731"/>
      <c r="O337" s="4731"/>
      <c r="P337" s="4731"/>
      <c r="Q337" s="4731"/>
      <c r="R337" s="4732"/>
      <c r="S337" s="4733"/>
      <c r="T337" s="4733"/>
      <c r="U337" s="4733"/>
      <c r="V337" s="4733"/>
    </row>
    <row r="338" spans="1:22">
      <c r="A338" s="4759"/>
      <c r="B338" s="4761" t="s">
        <v>320</v>
      </c>
      <c r="C338" s="4929"/>
      <c r="D338" s="4736"/>
      <c r="E338" s="4737">
        <f>+F338+G338+H338+I338+J338+K338+L338+M338</f>
        <v>1599658</v>
      </c>
      <c r="F338" s="4738">
        <f>'Tab. 6B Polit społ i rozwój prz'!E207</f>
        <v>0</v>
      </c>
      <c r="G338" s="4738">
        <f>'Tab. 6B Polit społ i rozwój prz'!F207</f>
        <v>0</v>
      </c>
      <c r="H338" s="4738">
        <f>'Tab. 6B Polit społ i rozwój prz'!G207</f>
        <v>86460</v>
      </c>
      <c r="I338" s="4738">
        <f>'Tab. 6B Polit społ i rozwój prz'!H207</f>
        <v>648027</v>
      </c>
      <c r="J338" s="4738">
        <f>'Tab. 6B Polit społ i rozwój prz'!I207</f>
        <v>430623</v>
      </c>
      <c r="K338" s="4738">
        <f>'Tab. 6B Polit społ i rozwój prz'!J207</f>
        <v>365812</v>
      </c>
      <c r="L338" s="4738">
        <f>'Tab. 6B Polit społ i rozwój prz'!K207</f>
        <v>68736</v>
      </c>
      <c r="M338" s="4738">
        <f>'Tab. 6B Polit społ i rozwój prz'!L207</f>
        <v>0</v>
      </c>
      <c r="N338" s="4738"/>
      <c r="O338" s="4738"/>
      <c r="P338" s="4738"/>
      <c r="Q338" s="4738"/>
      <c r="R338" s="4739"/>
      <c r="S338" s="4739"/>
      <c r="T338" s="4739"/>
      <c r="U338" s="4739"/>
      <c r="V338" s="4739"/>
    </row>
    <row r="339" spans="1:22" ht="13.5" customHeight="1" thickBot="1">
      <c r="A339" s="4759"/>
      <c r="B339" s="4762" t="s">
        <v>197</v>
      </c>
      <c r="C339" s="4754">
        <f>E339-E340</f>
        <v>0</v>
      </c>
      <c r="D339" s="4742"/>
      <c r="E339" s="4743">
        <f>+F339+G339+H339+I339+J339+K339+L339+M339</f>
        <v>8576284</v>
      </c>
      <c r="F339" s="4744">
        <f>'Tab. 6B Polit społ i rozwój prz'!E211</f>
        <v>0</v>
      </c>
      <c r="G339" s="4744">
        <f>'Tab. 6B Polit społ i rozwój prz'!F211</f>
        <v>0</v>
      </c>
      <c r="H339" s="4744">
        <f>'Tab. 6B Polit społ i rozwój prz'!G211</f>
        <v>463540</v>
      </c>
      <c r="I339" s="4744">
        <f>'Tab. 6B Polit społ i rozwój prz'!H211</f>
        <v>3474285</v>
      </c>
      <c r="J339" s="4744">
        <f>'Tab. 6B Polit społ i rozwój prz'!I211</f>
        <v>2308707</v>
      </c>
      <c r="K339" s="4744">
        <f>'Tab. 6B Polit społ i rozwój prz'!J211</f>
        <v>1961238</v>
      </c>
      <c r="L339" s="4744">
        <f>'Tab. 6B Polit społ i rozwój prz'!K211</f>
        <v>368514</v>
      </c>
      <c r="M339" s="4744">
        <f>'Tab. 6B Polit społ i rozwój prz'!L211</f>
        <v>0</v>
      </c>
      <c r="N339" s="4744"/>
      <c r="O339" s="4744"/>
      <c r="P339" s="4744"/>
      <c r="Q339" s="4744"/>
      <c r="R339" s="4745"/>
      <c r="S339" s="4746"/>
      <c r="T339" s="4746"/>
      <c r="U339" s="4746"/>
      <c r="V339" s="4746"/>
    </row>
    <row r="340" spans="1:22" ht="16.5" customHeight="1" thickBot="1">
      <c r="A340" s="4763"/>
      <c r="B340" s="4764" t="s">
        <v>317</v>
      </c>
      <c r="C340" s="4930"/>
      <c r="D340" s="4750"/>
      <c r="E340" s="4751">
        <f>F340+G340+H340+I340+J340+K340+L340+M340</f>
        <v>8576284</v>
      </c>
      <c r="F340" s="4752">
        <f>'Tab. 6B Polit społ i rozwój prz'!E218</f>
        <v>0</v>
      </c>
      <c r="G340" s="4752">
        <f>'Tab. 6B Polit społ i rozwój prz'!F218</f>
        <v>0</v>
      </c>
      <c r="H340" s="4752">
        <f>'Tab. 6B Polit społ i rozwój prz'!G218</f>
        <v>463540</v>
      </c>
      <c r="I340" s="4752">
        <f>'Tab. 6B Polit społ i rozwój prz'!H218</f>
        <v>3474285</v>
      </c>
      <c r="J340" s="4752">
        <f>'Tab. 6B Polit społ i rozwój prz'!I218</f>
        <v>2308707</v>
      </c>
      <c r="K340" s="4752">
        <f>'Tab. 6B Polit społ i rozwój prz'!J218</f>
        <v>1961238</v>
      </c>
      <c r="L340" s="4752">
        <f>'Tab. 6B Polit społ i rozwój prz'!K218</f>
        <v>368514</v>
      </c>
      <c r="M340" s="4752">
        <f>'Tab. 6B Polit społ i rozwój prz'!L218</f>
        <v>0</v>
      </c>
      <c r="N340" s="4752"/>
      <c r="O340" s="4752"/>
      <c r="P340" s="4752"/>
      <c r="Q340" s="4752"/>
      <c r="R340" s="4753"/>
      <c r="S340" s="4753"/>
      <c r="T340" s="4753"/>
      <c r="U340" s="4753"/>
      <c r="V340" s="4753"/>
    </row>
    <row r="341" spans="1:22" ht="30" customHeight="1">
      <c r="A341" s="4759" t="s">
        <v>590</v>
      </c>
      <c r="B341" s="4927" t="str">
        <f>'Tab. 6B Polit społ i rozwój prz'!B220</f>
        <v>Kurs na Rodzinę w ramach działania 7.6 RPO WZ (2018-2020)</v>
      </c>
      <c r="C341" s="4834" t="s">
        <v>591</v>
      </c>
      <c r="D341" s="4917">
        <f>E344/E342%</f>
        <v>85.000008458037698</v>
      </c>
      <c r="E341" s="4918"/>
      <c r="F341" s="4919"/>
      <c r="G341" s="4920"/>
      <c r="H341" s="4919"/>
      <c r="I341" s="4919"/>
      <c r="J341" s="4919"/>
      <c r="K341" s="4919"/>
      <c r="L341" s="4919"/>
      <c r="M341" s="4919"/>
      <c r="N341" s="4919"/>
      <c r="O341" s="4919"/>
      <c r="P341" s="4919"/>
      <c r="Q341" s="4919"/>
      <c r="R341" s="4926"/>
      <c r="S341" s="4798"/>
      <c r="T341" s="4798"/>
      <c r="U341" s="4798"/>
      <c r="V341" s="4798"/>
    </row>
    <row r="342" spans="1:22" ht="13.5" customHeight="1">
      <c r="A342" s="4759"/>
      <c r="B342" s="4760" t="s">
        <v>195</v>
      </c>
      <c r="C342" s="4928"/>
      <c r="D342" s="4729"/>
      <c r="E342" s="4730">
        <f>+F342+G342+H342+I342+J342+K342+L342+M342</f>
        <v>3546922</v>
      </c>
      <c r="F342" s="4731">
        <f>'Tab. 6B Polit społ i rozwój prz'!E221</f>
        <v>0</v>
      </c>
      <c r="G342" s="4731">
        <f>'Tab. 6B Polit społ i rozwój prz'!F221</f>
        <v>0</v>
      </c>
      <c r="H342" s="4731">
        <f>'Tab. 6B Polit społ i rozwój prz'!G221</f>
        <v>1133912</v>
      </c>
      <c r="I342" s="4731">
        <f>'Tab. 6B Polit społ i rozwój prz'!H221</f>
        <v>1207224</v>
      </c>
      <c r="J342" s="4731">
        <f>'Tab. 6B Polit społ i rozwój prz'!I221</f>
        <v>1205786</v>
      </c>
      <c r="K342" s="4731">
        <f>'Tab. 6B Polit społ i rozwój prz'!J221</f>
        <v>0</v>
      </c>
      <c r="L342" s="4731">
        <f>'Tab. 6B Polit społ i rozwój prz'!K221</f>
        <v>0</v>
      </c>
      <c r="M342" s="4731">
        <f>'Tab. 6B Polit społ i rozwój prz'!L221</f>
        <v>0</v>
      </c>
      <c r="N342" s="4731"/>
      <c r="O342" s="4731"/>
      <c r="P342" s="4731"/>
      <c r="Q342" s="4731"/>
      <c r="R342" s="4732"/>
      <c r="S342" s="4733"/>
      <c r="T342" s="4733"/>
      <c r="U342" s="4733"/>
      <c r="V342" s="4733"/>
    </row>
    <row r="343" spans="1:22">
      <c r="A343" s="4759"/>
      <c r="B343" s="4761" t="s">
        <v>320</v>
      </c>
      <c r="C343" s="4929"/>
      <c r="D343" s="4736"/>
      <c r="E343" s="4737">
        <f>+F343+G343+H343+I343+J343+K343+L343+M343</f>
        <v>532038</v>
      </c>
      <c r="F343" s="4738">
        <f>'Tab. 6B Polit społ i rozwój prz'!E222</f>
        <v>0</v>
      </c>
      <c r="G343" s="4738">
        <f>'Tab. 6B Polit społ i rozwój prz'!F222</f>
        <v>0</v>
      </c>
      <c r="H343" s="4738">
        <f>'Tab. 6B Polit społ i rozwój prz'!G222</f>
        <v>170087</v>
      </c>
      <c r="I343" s="4738">
        <f>'Tab. 6B Polit społ i rozwój prz'!H222</f>
        <v>181083</v>
      </c>
      <c r="J343" s="4738">
        <f>'Tab. 6B Polit społ i rozwój prz'!I222</f>
        <v>180868</v>
      </c>
      <c r="K343" s="4738">
        <f>'Tab. 6B Polit społ i rozwój prz'!J222</f>
        <v>0</v>
      </c>
      <c r="L343" s="4738">
        <f>'Tab. 6B Polit społ i rozwój prz'!K222</f>
        <v>0</v>
      </c>
      <c r="M343" s="4738">
        <f>'Tab. 6B Polit społ i rozwój prz'!L222</f>
        <v>0</v>
      </c>
      <c r="N343" s="4738"/>
      <c r="O343" s="4738"/>
      <c r="P343" s="4738"/>
      <c r="Q343" s="4738"/>
      <c r="R343" s="4739"/>
      <c r="S343" s="4739"/>
      <c r="T343" s="4739"/>
      <c r="U343" s="4739"/>
      <c r="V343" s="4739"/>
    </row>
    <row r="344" spans="1:22" ht="13.5" customHeight="1" thickBot="1">
      <c r="A344" s="4759"/>
      <c r="B344" s="4762" t="s">
        <v>197</v>
      </c>
      <c r="C344" s="4754">
        <f>E344-E345</f>
        <v>0</v>
      </c>
      <c r="D344" s="4742"/>
      <c r="E344" s="4743">
        <f>+F344+G344+H344+I344+J344+K344+L344+M344</f>
        <v>3014884</v>
      </c>
      <c r="F344" s="4744">
        <f>'Tab. 6B Polit społ i rozwój prz'!E229</f>
        <v>0</v>
      </c>
      <c r="G344" s="4744">
        <f>'Tab. 6B Polit społ i rozwój prz'!F229</f>
        <v>0</v>
      </c>
      <c r="H344" s="4744">
        <f>'Tab. 6B Polit społ i rozwój prz'!G229</f>
        <v>963825</v>
      </c>
      <c r="I344" s="4744">
        <f>'Tab. 6B Polit społ i rozwój prz'!H229</f>
        <v>1026141</v>
      </c>
      <c r="J344" s="4744">
        <f>'Tab. 6B Polit społ i rozwój prz'!I229</f>
        <v>1024918</v>
      </c>
      <c r="K344" s="4744">
        <f>'Tab. 6B Polit społ i rozwój prz'!J229</f>
        <v>0</v>
      </c>
      <c r="L344" s="4744">
        <f>'Tab. 6B Polit społ i rozwój prz'!K229</f>
        <v>0</v>
      </c>
      <c r="M344" s="4744">
        <f>'Tab. 6B Polit społ i rozwój prz'!L229</f>
        <v>0</v>
      </c>
      <c r="N344" s="4744"/>
      <c r="O344" s="4744"/>
      <c r="P344" s="4744"/>
      <c r="Q344" s="4744"/>
      <c r="R344" s="4745"/>
      <c r="S344" s="4746"/>
      <c r="T344" s="4746"/>
      <c r="U344" s="4746"/>
      <c r="V344" s="4746"/>
    </row>
    <row r="345" spans="1:22" ht="16.5" customHeight="1" thickBot="1">
      <c r="A345" s="4763"/>
      <c r="B345" s="4764" t="s">
        <v>317</v>
      </c>
      <c r="C345" s="4930"/>
      <c r="D345" s="4750"/>
      <c r="E345" s="4751">
        <f>F345+G345+H345+I345+J345+K345+L345+M345</f>
        <v>3014884</v>
      </c>
      <c r="F345" s="4752">
        <f>'Tab. 6B Polit społ i rozwój prz'!E236</f>
        <v>0</v>
      </c>
      <c r="G345" s="4752">
        <f>'Tab. 6B Polit społ i rozwój prz'!F236</f>
        <v>0</v>
      </c>
      <c r="H345" s="4752">
        <f>'Tab. 6B Polit społ i rozwój prz'!G236</f>
        <v>963825</v>
      </c>
      <c r="I345" s="4752">
        <f>'Tab. 6B Polit społ i rozwój prz'!H236</f>
        <v>1026141</v>
      </c>
      <c r="J345" s="4752">
        <f>'Tab. 6B Polit społ i rozwój prz'!I236</f>
        <v>1024918</v>
      </c>
      <c r="K345" s="4752">
        <f>'Tab. 6B Polit społ i rozwój prz'!J236</f>
        <v>0</v>
      </c>
      <c r="L345" s="4752">
        <f>'Tab. 6B Polit społ i rozwój prz'!K236</f>
        <v>0</v>
      </c>
      <c r="M345" s="4752">
        <f>'Tab. 6B Polit społ i rozwój prz'!L236</f>
        <v>0</v>
      </c>
      <c r="N345" s="4752"/>
      <c r="O345" s="4752"/>
      <c r="P345" s="4752"/>
      <c r="Q345" s="4752"/>
      <c r="R345" s="4753"/>
      <c r="S345" s="4753"/>
      <c r="T345" s="4753"/>
      <c r="U345" s="4753"/>
      <c r="V345" s="4753"/>
    </row>
    <row r="346" spans="1:22" ht="30" customHeight="1">
      <c r="A346" s="4759" t="s">
        <v>592</v>
      </c>
      <c r="B346" s="4927" t="str">
        <f>'Tab. 6B Polit społ i rozwój prz'!B238</f>
        <v>Nawigator Samodzielności w ramach działania 7.6 RPO WZ (2018-2020)</v>
      </c>
      <c r="C346" s="4834" t="s">
        <v>591</v>
      </c>
      <c r="D346" s="4917">
        <f>E349/E347%</f>
        <v>97.15313773324317</v>
      </c>
      <c r="E346" s="4918"/>
      <c r="F346" s="4919"/>
      <c r="G346" s="4920"/>
      <c r="H346" s="4919"/>
      <c r="I346" s="4919"/>
      <c r="J346" s="4919"/>
      <c r="K346" s="4919"/>
      <c r="L346" s="4919"/>
      <c r="M346" s="4919"/>
      <c r="N346" s="4919"/>
      <c r="O346" s="4919"/>
      <c r="P346" s="4919"/>
      <c r="Q346" s="4919"/>
      <c r="R346" s="4926"/>
      <c r="S346" s="4798"/>
      <c r="T346" s="4798"/>
      <c r="U346" s="4798"/>
      <c r="V346" s="4798"/>
    </row>
    <row r="347" spans="1:22" ht="13.5" customHeight="1">
      <c r="A347" s="4759"/>
      <c r="B347" s="4760" t="s">
        <v>195</v>
      </c>
      <c r="C347" s="4928"/>
      <c r="D347" s="4729"/>
      <c r="E347" s="4730">
        <f>+F347+G347+H347+I347+J347+K347+L347+M347</f>
        <v>2823073</v>
      </c>
      <c r="F347" s="4731">
        <f>'Tab. 6B Polit społ i rozwój prz'!E239</f>
        <v>0</v>
      </c>
      <c r="G347" s="4731">
        <f>'Tab. 6B Polit społ i rozwój prz'!F239</f>
        <v>0</v>
      </c>
      <c r="H347" s="4731">
        <f>'Tab. 6B Polit społ i rozwój prz'!G239</f>
        <v>981527</v>
      </c>
      <c r="I347" s="4731">
        <f>'Tab. 6B Polit społ i rozwój prz'!H239</f>
        <v>1052185</v>
      </c>
      <c r="J347" s="4731">
        <f>'Tab. 6B Polit społ i rozwój prz'!I239</f>
        <v>789361</v>
      </c>
      <c r="K347" s="4731">
        <f>'Tab. 6B Polit społ i rozwój prz'!J239</f>
        <v>0</v>
      </c>
      <c r="L347" s="4731">
        <f>'Tab. 6B Polit społ i rozwój prz'!K239</f>
        <v>0</v>
      </c>
      <c r="M347" s="4731">
        <f>'Tab. 6B Polit społ i rozwój prz'!L239</f>
        <v>0</v>
      </c>
      <c r="N347" s="4731"/>
      <c r="O347" s="4731"/>
      <c r="P347" s="4731"/>
      <c r="Q347" s="4731"/>
      <c r="R347" s="4732"/>
      <c r="S347" s="4733"/>
      <c r="T347" s="4733"/>
      <c r="U347" s="4733"/>
      <c r="V347" s="4733"/>
    </row>
    <row r="348" spans="1:22">
      <c r="A348" s="4759"/>
      <c r="B348" s="4761" t="s">
        <v>320</v>
      </c>
      <c r="C348" s="4929"/>
      <c r="D348" s="4736"/>
      <c r="E348" s="4737">
        <f>+F348+G348+H348+I348+J348+K348+L348+M348</f>
        <v>80369</v>
      </c>
      <c r="F348" s="4738">
        <f>'Tab. 6B Polit społ i rozwój prz'!E240</f>
        <v>0</v>
      </c>
      <c r="G348" s="4738">
        <f>'Tab. 6B Polit społ i rozwój prz'!F240</f>
        <v>0</v>
      </c>
      <c r="H348" s="4738">
        <f>'Tab. 6B Polit społ i rozwój prz'!G240</f>
        <v>27974</v>
      </c>
      <c r="I348" s="4738">
        <f>'Tab. 6B Polit społ i rozwój prz'!H240</f>
        <v>29987</v>
      </c>
      <c r="J348" s="4738">
        <f>'Tab. 6B Polit społ i rozwój prz'!I240</f>
        <v>22408</v>
      </c>
      <c r="K348" s="4738">
        <f>'Tab. 6B Polit społ i rozwój prz'!J240</f>
        <v>0</v>
      </c>
      <c r="L348" s="4738">
        <f>'Tab. 6B Polit społ i rozwój prz'!K240</f>
        <v>0</v>
      </c>
      <c r="M348" s="4738">
        <f>'Tab. 6B Polit społ i rozwój prz'!L240</f>
        <v>0</v>
      </c>
      <c r="N348" s="4738"/>
      <c r="O348" s="4738"/>
      <c r="P348" s="4738"/>
      <c r="Q348" s="4738"/>
      <c r="R348" s="4739"/>
      <c r="S348" s="4739"/>
      <c r="T348" s="4739"/>
      <c r="U348" s="4739"/>
      <c r="V348" s="4739"/>
    </row>
    <row r="349" spans="1:22" ht="13.5" customHeight="1" thickBot="1">
      <c r="A349" s="4759"/>
      <c r="B349" s="4762" t="s">
        <v>197</v>
      </c>
      <c r="C349" s="4754">
        <f>E349-E350</f>
        <v>0</v>
      </c>
      <c r="D349" s="4742"/>
      <c r="E349" s="4743">
        <f>+F349+G349+H349+I349+J349+K349+L349+M349</f>
        <v>2742704</v>
      </c>
      <c r="F349" s="4744">
        <f>'Tab. 6B Polit społ i rozwój prz'!E244</f>
        <v>0</v>
      </c>
      <c r="G349" s="4744">
        <f>'Tab. 6B Polit społ i rozwój prz'!F244</f>
        <v>0</v>
      </c>
      <c r="H349" s="4744">
        <f>'Tab. 6B Polit społ i rozwój prz'!G244</f>
        <v>953553</v>
      </c>
      <c r="I349" s="4744">
        <f>'Tab. 6B Polit społ i rozwój prz'!H244</f>
        <v>1022198</v>
      </c>
      <c r="J349" s="4744">
        <f>'Tab. 6B Polit społ i rozwój prz'!I244</f>
        <v>766953</v>
      </c>
      <c r="K349" s="4744">
        <f>'Tab. 6B Polit społ i rozwój prz'!J244</f>
        <v>0</v>
      </c>
      <c r="L349" s="4744">
        <f>'Tab. 6B Polit społ i rozwój prz'!K244</f>
        <v>0</v>
      </c>
      <c r="M349" s="4744">
        <f>'Tab. 6B Polit społ i rozwój prz'!L244</f>
        <v>0</v>
      </c>
      <c r="N349" s="4744"/>
      <c r="O349" s="4744"/>
      <c r="P349" s="4744"/>
      <c r="Q349" s="4744"/>
      <c r="R349" s="4745"/>
      <c r="S349" s="4746"/>
      <c r="T349" s="4746"/>
      <c r="U349" s="4746"/>
      <c r="V349" s="4746"/>
    </row>
    <row r="350" spans="1:22" ht="16.5" customHeight="1" thickBot="1">
      <c r="A350" s="4763"/>
      <c r="B350" s="4764" t="s">
        <v>317</v>
      </c>
      <c r="C350" s="4930"/>
      <c r="D350" s="4750"/>
      <c r="E350" s="4751">
        <f>F350+G350+H350+I350+J350+K350+L350+M350</f>
        <v>2742704</v>
      </c>
      <c r="F350" s="4752">
        <f>'Tab. 6B Polit społ i rozwój prz'!E251</f>
        <v>0</v>
      </c>
      <c r="G350" s="4752">
        <f>'Tab. 6B Polit społ i rozwój prz'!F251</f>
        <v>0</v>
      </c>
      <c r="H350" s="4752">
        <f>'Tab. 6B Polit społ i rozwój prz'!G251</f>
        <v>953553</v>
      </c>
      <c r="I350" s="4752">
        <f>'Tab. 6B Polit społ i rozwój prz'!H251</f>
        <v>1022198</v>
      </c>
      <c r="J350" s="4752">
        <f>'Tab. 6B Polit społ i rozwój prz'!I251</f>
        <v>766953</v>
      </c>
      <c r="K350" s="4752">
        <f>'Tab. 6B Polit społ i rozwój prz'!J251</f>
        <v>0</v>
      </c>
      <c r="L350" s="4752">
        <f>'Tab. 6B Polit społ i rozwój prz'!K251</f>
        <v>0</v>
      </c>
      <c r="M350" s="4752">
        <f>'Tab. 6B Polit społ i rozwój prz'!L251</f>
        <v>0</v>
      </c>
      <c r="N350" s="4752"/>
      <c r="O350" s="4752"/>
      <c r="P350" s="4752"/>
      <c r="Q350" s="4752"/>
      <c r="R350" s="4753"/>
      <c r="S350" s="4753"/>
      <c r="T350" s="4753"/>
      <c r="U350" s="4753"/>
      <c r="V350" s="4753"/>
    </row>
    <row r="351" spans="1:22" ht="39.75" customHeight="1">
      <c r="A351" s="4759" t="s">
        <v>600</v>
      </c>
      <c r="B351" s="4927" t="str">
        <f>'Tab. 6H - Kultura fiz. i turyst'!B160</f>
        <v>Fish Markets - dziedzictwo rybołówstwa przybrzeżnego jako potencjał rozwoju turystyki w ramach PW INTERREG Południowy Bałtyk 2014-2020 (2017-2019)</v>
      </c>
      <c r="C351" s="4834" t="s">
        <v>565</v>
      </c>
      <c r="D351" s="4917">
        <f>E354/E352%</f>
        <v>82.790774185728381</v>
      </c>
      <c r="E351" s="4918"/>
      <c r="F351" s="4919"/>
      <c r="G351" s="4920"/>
      <c r="H351" s="4919"/>
      <c r="I351" s="4919"/>
      <c r="J351" s="4919"/>
      <c r="K351" s="4919"/>
      <c r="L351" s="4919"/>
      <c r="M351" s="4919"/>
      <c r="N351" s="4919"/>
      <c r="O351" s="4919"/>
      <c r="P351" s="4919"/>
      <c r="Q351" s="4919"/>
      <c r="R351" s="4926"/>
      <c r="S351" s="4798"/>
      <c r="T351" s="4798"/>
      <c r="U351" s="4798"/>
      <c r="V351" s="4798"/>
    </row>
    <row r="352" spans="1:22" ht="13.5" customHeight="1">
      <c r="A352" s="4759"/>
      <c r="B352" s="4760" t="s">
        <v>195</v>
      </c>
      <c r="C352" s="4928"/>
      <c r="D352" s="4729"/>
      <c r="E352" s="4730">
        <f>+F352+G352+H352+I352+J352+K352+L352+M352</f>
        <v>693012</v>
      </c>
      <c r="F352" s="4731">
        <f>'Tab. 6H - Kultura fiz. i turyst'!E161</f>
        <v>0</v>
      </c>
      <c r="G352" s="4731">
        <f>'Tab. 6H - Kultura fiz. i turyst'!F161</f>
        <v>32378</v>
      </c>
      <c r="H352" s="4731">
        <f>'Tab. 6H - Kultura fiz. i turyst'!G161</f>
        <v>385401</v>
      </c>
      <c r="I352" s="4731">
        <f>'Tab. 6H - Kultura fiz. i turyst'!H161</f>
        <v>275233</v>
      </c>
      <c r="J352" s="4731">
        <f>'Tab. 6H - Kultura fiz. i turyst'!I161</f>
        <v>0</v>
      </c>
      <c r="K352" s="4731">
        <f>'Tab. 6H - Kultura fiz. i turyst'!J161</f>
        <v>0</v>
      </c>
      <c r="L352" s="4731">
        <f>'Tab. 6H - Kultura fiz. i turyst'!K161</f>
        <v>0</v>
      </c>
      <c r="M352" s="4731">
        <f>'Tab. 6H - Kultura fiz. i turyst'!L161</f>
        <v>0</v>
      </c>
      <c r="N352" s="4731"/>
      <c r="O352" s="4731"/>
      <c r="P352" s="4731"/>
      <c r="Q352" s="4731"/>
      <c r="R352" s="4732"/>
      <c r="S352" s="4733"/>
      <c r="T352" s="4733"/>
      <c r="U352" s="4733"/>
      <c r="V352" s="4733"/>
    </row>
    <row r="353" spans="1:22">
      <c r="A353" s="4759"/>
      <c r="B353" s="4761" t="s">
        <v>320</v>
      </c>
      <c r="C353" s="4929"/>
      <c r="D353" s="4736"/>
      <c r="E353" s="4737">
        <f>+F353+G353+H353+I353+J353+K353+L353+M353</f>
        <v>119262</v>
      </c>
      <c r="F353" s="4738">
        <f>'Tab. 6H - Kultura fiz. i turyst'!E162</f>
        <v>0</v>
      </c>
      <c r="G353" s="4738">
        <f>'Tab. 6H - Kultura fiz. i turyst'!F162</f>
        <v>4857</v>
      </c>
      <c r="H353" s="4738">
        <f>'Tab. 6H - Kultura fiz. i turyst'!G162</f>
        <v>73120</v>
      </c>
      <c r="I353" s="4738">
        <f>'Tab. 6H - Kultura fiz. i turyst'!H162</f>
        <v>41285</v>
      </c>
      <c r="J353" s="4738">
        <f>'Tab. 6H - Kultura fiz. i turyst'!I162</f>
        <v>0</v>
      </c>
      <c r="K353" s="4738">
        <f>'Tab. 6H - Kultura fiz. i turyst'!J162</f>
        <v>0</v>
      </c>
      <c r="L353" s="4738">
        <f>'Tab. 6H - Kultura fiz. i turyst'!K162</f>
        <v>0</v>
      </c>
      <c r="M353" s="4738">
        <f>'Tab. 6H - Kultura fiz. i turyst'!L162</f>
        <v>0</v>
      </c>
      <c r="N353" s="4738"/>
      <c r="O353" s="4738"/>
      <c r="P353" s="4738"/>
      <c r="Q353" s="4738"/>
      <c r="R353" s="4739"/>
      <c r="S353" s="4739"/>
      <c r="T353" s="4739"/>
      <c r="U353" s="4739"/>
      <c r="V353" s="4739"/>
    </row>
    <row r="354" spans="1:22" ht="13.5" customHeight="1" thickBot="1">
      <c r="A354" s="4759"/>
      <c r="B354" s="4762" t="s">
        <v>197</v>
      </c>
      <c r="C354" s="4754">
        <f>E354-E355</f>
        <v>0</v>
      </c>
      <c r="D354" s="4742"/>
      <c r="E354" s="4743">
        <f>+F354+G354+H354+I354+J354+K354+L354+M354</f>
        <v>573750</v>
      </c>
      <c r="F354" s="4744">
        <f>'Tab. 6H - Kultura fiz. i turyst'!E166</f>
        <v>0</v>
      </c>
      <c r="G354" s="4744">
        <f>'Tab. 6H - Kultura fiz. i turyst'!F166</f>
        <v>27521</v>
      </c>
      <c r="H354" s="4744">
        <f>'Tab. 6H - Kultura fiz. i turyst'!G166</f>
        <v>312281</v>
      </c>
      <c r="I354" s="4744">
        <f>'Tab. 6H - Kultura fiz. i turyst'!H166</f>
        <v>233948</v>
      </c>
      <c r="J354" s="4744">
        <f>'Tab. 6H - Kultura fiz. i turyst'!I166</f>
        <v>0</v>
      </c>
      <c r="K354" s="4744">
        <f>'Tab. 6H - Kultura fiz. i turyst'!J166</f>
        <v>0</v>
      </c>
      <c r="L354" s="4744">
        <f>'Tab. 6H - Kultura fiz. i turyst'!K166</f>
        <v>0</v>
      </c>
      <c r="M354" s="4744">
        <f>'Tab. 6H - Kultura fiz. i turyst'!L166</f>
        <v>0</v>
      </c>
      <c r="N354" s="4744"/>
      <c r="O354" s="4744"/>
      <c r="P354" s="4744"/>
      <c r="Q354" s="4744"/>
      <c r="R354" s="4745"/>
      <c r="S354" s="4746"/>
      <c r="T354" s="4746"/>
      <c r="U354" s="4746"/>
      <c r="V354" s="4746"/>
    </row>
    <row r="355" spans="1:22" ht="16.5" customHeight="1" thickBot="1">
      <c r="A355" s="4763"/>
      <c r="B355" s="4764" t="s">
        <v>317</v>
      </c>
      <c r="C355" s="4930"/>
      <c r="D355" s="4750"/>
      <c r="E355" s="4751">
        <f>F355+G355+H355+I355+J355+K355+L355+M355</f>
        <v>573750</v>
      </c>
      <c r="F355" s="4752">
        <f>'Tab. 6H - Kultura fiz. i turyst'!E171</f>
        <v>0</v>
      </c>
      <c r="G355" s="4752">
        <f>'Tab. 6H - Kultura fiz. i turyst'!F171</f>
        <v>0</v>
      </c>
      <c r="H355" s="4752">
        <f>'Tab. 6H - Kultura fiz. i turyst'!G171</f>
        <v>178482</v>
      </c>
      <c r="I355" s="4752">
        <f>'Tab. 6H - Kultura fiz. i turyst'!H171</f>
        <v>308586</v>
      </c>
      <c r="J355" s="4752">
        <f>'Tab. 6H - Kultura fiz. i turyst'!I171</f>
        <v>86682</v>
      </c>
      <c r="K355" s="4752">
        <f>'Tab. 6H - Kultura fiz. i turyst'!J171</f>
        <v>0</v>
      </c>
      <c r="L355" s="4752">
        <f>'Tab. 6H - Kultura fiz. i turyst'!K171</f>
        <v>0</v>
      </c>
      <c r="M355" s="4752">
        <f>'Tab. 6H - Kultura fiz. i turyst'!L171</f>
        <v>0</v>
      </c>
      <c r="N355" s="4752"/>
      <c r="O355" s="4752"/>
      <c r="P355" s="4752"/>
      <c r="Q355" s="4752"/>
      <c r="R355" s="4753"/>
      <c r="S355" s="4753"/>
      <c r="T355" s="4753"/>
      <c r="U355" s="4753"/>
      <c r="V355" s="4753"/>
    </row>
    <row r="356" spans="1:22" ht="29.25" customHeight="1">
      <c r="A356" s="4759" t="s">
        <v>600</v>
      </c>
      <c r="B356" s="4927" t="str">
        <f>'Tab. 6A -Drogi'!B449</f>
        <v>TalkNET - Sieć zainteresowanych podmiotów z sektora transportu i logistyki w ramach PW INTERREG VB (2017-2020)</v>
      </c>
      <c r="C356" s="4834" t="s">
        <v>607</v>
      </c>
      <c r="D356" s="4917">
        <f>E359/E357%</f>
        <v>84.653035897624306</v>
      </c>
      <c r="E356" s="4918"/>
      <c r="F356" s="4919"/>
      <c r="G356" s="4920"/>
      <c r="H356" s="4919"/>
      <c r="I356" s="4919"/>
      <c r="J356" s="4919"/>
      <c r="K356" s="4919"/>
      <c r="L356" s="4919"/>
      <c r="M356" s="4919"/>
      <c r="N356" s="4919"/>
      <c r="O356" s="4919"/>
      <c r="P356" s="4919"/>
      <c r="Q356" s="4919"/>
      <c r="R356" s="4926"/>
      <c r="S356" s="4798"/>
      <c r="T356" s="4798"/>
      <c r="U356" s="4798"/>
      <c r="V356" s="4798"/>
    </row>
    <row r="357" spans="1:22" ht="15.75" customHeight="1">
      <c r="A357" s="4759"/>
      <c r="B357" s="4760" t="s">
        <v>195</v>
      </c>
      <c r="C357" s="4928"/>
      <c r="D357" s="4729"/>
      <c r="E357" s="4730">
        <f>+F357+G357+H357+I357+J357+K357+L357+M357</f>
        <v>489921</v>
      </c>
      <c r="F357" s="4731">
        <f>'Tab. 6A -Drogi'!E450</f>
        <v>0</v>
      </c>
      <c r="G357" s="4731">
        <f>'Tab. 6A -Drogi'!F450</f>
        <v>19734</v>
      </c>
      <c r="H357" s="4731">
        <f>'Tab. 6A -Drogi'!G450</f>
        <v>220024</v>
      </c>
      <c r="I357" s="4731">
        <f>'Tab. 6A -Drogi'!H450</f>
        <v>167991</v>
      </c>
      <c r="J357" s="4731">
        <f>'Tab. 6A -Drogi'!I450</f>
        <v>82172</v>
      </c>
      <c r="K357" s="4731">
        <f>'Tab. 6A -Drogi'!J450</f>
        <v>0</v>
      </c>
      <c r="L357" s="4731">
        <f>'Tab. 6A -Drogi'!K450</f>
        <v>0</v>
      </c>
      <c r="M357" s="4731">
        <f>'Tab. 6A -Drogi'!L450</f>
        <v>0</v>
      </c>
      <c r="N357" s="4731"/>
      <c r="O357" s="4731"/>
      <c r="P357" s="4731"/>
      <c r="Q357" s="4731"/>
      <c r="R357" s="4732"/>
      <c r="S357" s="4733"/>
      <c r="T357" s="4733"/>
      <c r="U357" s="4733"/>
      <c r="V357" s="4733"/>
    </row>
    <row r="358" spans="1:22">
      <c r="A358" s="4759"/>
      <c r="B358" s="4761" t="s">
        <v>369</v>
      </c>
      <c r="C358" s="4929"/>
      <c r="D358" s="4736"/>
      <c r="E358" s="4737">
        <f>+F358+G358+H358+I358+J358+K358+L358+M358</f>
        <v>75188</v>
      </c>
      <c r="F358" s="4738">
        <f>'Tab. 6A -Drogi'!E451</f>
        <v>0</v>
      </c>
      <c r="G358" s="4738">
        <f>'Tab. 6A -Drogi'!F451</f>
        <v>2988</v>
      </c>
      <c r="H358" s="4738">
        <f>'Tab. 6A -Drogi'!G451</f>
        <v>33825</v>
      </c>
      <c r="I358" s="4738">
        <f>'Tab. 6A -Drogi'!H451</f>
        <v>25709</v>
      </c>
      <c r="J358" s="4738">
        <f>'Tab. 6A -Drogi'!I451</f>
        <v>12666</v>
      </c>
      <c r="K358" s="4738">
        <f>'Tab. 6A -Drogi'!J451</f>
        <v>0</v>
      </c>
      <c r="L358" s="4738">
        <f>'Tab. 6A -Drogi'!K451</f>
        <v>0</v>
      </c>
      <c r="M358" s="4738">
        <f>'Tab. 6A -Drogi'!L451</f>
        <v>0</v>
      </c>
      <c r="N358" s="4738"/>
      <c r="O358" s="4738"/>
      <c r="P358" s="4738"/>
      <c r="Q358" s="4738"/>
      <c r="R358" s="4739"/>
      <c r="S358" s="4739"/>
      <c r="T358" s="4739"/>
      <c r="U358" s="4739"/>
      <c r="V358" s="4739"/>
    </row>
    <row r="359" spans="1:22" ht="13.5" customHeight="1" thickBot="1">
      <c r="A359" s="4759"/>
      <c r="B359" s="4762" t="s">
        <v>197</v>
      </c>
      <c r="C359" s="4754">
        <f>E359-E360</f>
        <v>0</v>
      </c>
      <c r="D359" s="4742"/>
      <c r="E359" s="4743">
        <f>+F359+G359+H359+I359+J359+K359+L359+M359</f>
        <v>414733</v>
      </c>
      <c r="F359" s="4744">
        <f>'Tab. 6A -Drogi'!E456</f>
        <v>0</v>
      </c>
      <c r="G359" s="4744">
        <f>'Tab. 6A -Drogi'!F456</f>
        <v>16746</v>
      </c>
      <c r="H359" s="4744">
        <f>'Tab. 6A -Drogi'!G456</f>
        <v>186199</v>
      </c>
      <c r="I359" s="4744">
        <f>'Tab. 6A -Drogi'!H456</f>
        <v>142282</v>
      </c>
      <c r="J359" s="4744">
        <f>'Tab. 6A -Drogi'!I456</f>
        <v>69506</v>
      </c>
      <c r="K359" s="4744">
        <f>'Tab. 6A -Drogi'!J456</f>
        <v>0</v>
      </c>
      <c r="L359" s="4744">
        <f>'Tab. 6A -Drogi'!K456</f>
        <v>0</v>
      </c>
      <c r="M359" s="4744">
        <f>'Tab. 6A -Drogi'!L456</f>
        <v>0</v>
      </c>
      <c r="N359" s="4744"/>
      <c r="O359" s="4744"/>
      <c r="P359" s="4744"/>
      <c r="Q359" s="4744"/>
      <c r="R359" s="4745"/>
      <c r="S359" s="4746"/>
      <c r="T359" s="4746"/>
      <c r="U359" s="4746"/>
      <c r="V359" s="4746"/>
    </row>
    <row r="360" spans="1:22" ht="16.5" customHeight="1" thickBot="1">
      <c r="A360" s="4763"/>
      <c r="B360" s="4764" t="s">
        <v>317</v>
      </c>
      <c r="C360" s="4930"/>
      <c r="D360" s="4750"/>
      <c r="E360" s="4751">
        <f>F360+G360+H360+I360+J360+K360+L360+M360</f>
        <v>414733</v>
      </c>
      <c r="F360" s="4752">
        <f>'Tab. 6A -Drogi'!E462</f>
        <v>0</v>
      </c>
      <c r="G360" s="4752">
        <f>'Tab. 6A -Drogi'!F462</f>
        <v>0</v>
      </c>
      <c r="H360" s="4752">
        <f>'Tab. 6A -Drogi'!G462</f>
        <v>94329</v>
      </c>
      <c r="I360" s="4752">
        <f>'Tab. 6A -Drogi'!H462</f>
        <v>167900</v>
      </c>
      <c r="J360" s="4752">
        <f>'Tab. 6A -Drogi'!I462</f>
        <v>152504</v>
      </c>
      <c r="K360" s="4752">
        <f>'Tab. 6A -Drogi'!J462</f>
        <v>0</v>
      </c>
      <c r="L360" s="4752">
        <f>'Tab. 6A -Drogi'!K462</f>
        <v>0</v>
      </c>
      <c r="M360" s="4752">
        <f>'Tab. 6A -Drogi'!L462</f>
        <v>0</v>
      </c>
      <c r="N360" s="4752"/>
      <c r="O360" s="4752"/>
      <c r="P360" s="4752"/>
      <c r="Q360" s="4752"/>
      <c r="R360" s="4753"/>
      <c r="S360" s="4753"/>
      <c r="T360" s="4753"/>
      <c r="U360" s="4753"/>
      <c r="V360" s="4753"/>
    </row>
    <row r="361" spans="1:22" ht="36" customHeight="1">
      <c r="A361" s="4759" t="s">
        <v>601</v>
      </c>
      <c r="B361" s="4927" t="str">
        <f>'Tab. 6B Polit społ i rozwój prz'!B264</f>
        <v>Kooperacja - efektywna i skuteczna w ramach działania 2.5. PO WER (2018-2021)</v>
      </c>
      <c r="C361" s="4834" t="s">
        <v>623</v>
      </c>
      <c r="D361" s="4917">
        <f>E364/E362%</f>
        <v>84.280009164132309</v>
      </c>
      <c r="E361" s="4918"/>
      <c r="F361" s="4919"/>
      <c r="G361" s="4920"/>
      <c r="H361" s="4919"/>
      <c r="I361" s="4919"/>
      <c r="J361" s="4919"/>
      <c r="K361" s="4919"/>
      <c r="L361" s="4919"/>
      <c r="M361" s="4919"/>
      <c r="N361" s="4919"/>
      <c r="O361" s="4919"/>
      <c r="P361" s="4919"/>
      <c r="Q361" s="4919"/>
      <c r="R361" s="4926"/>
      <c r="S361" s="4798"/>
      <c r="T361" s="4798"/>
      <c r="U361" s="4798"/>
      <c r="V361" s="4798"/>
    </row>
    <row r="362" spans="1:22" ht="15.75" customHeight="1">
      <c r="A362" s="4759"/>
      <c r="B362" s="4760" t="s">
        <v>195</v>
      </c>
      <c r="C362" s="4928"/>
      <c r="D362" s="4729"/>
      <c r="E362" s="4730">
        <f>+F362+G362+H362+I362+J362+K362+L362+M362</f>
        <v>1113035</v>
      </c>
      <c r="F362" s="4731">
        <f>'Tab. 6B Polit społ i rozwój prz'!E265</f>
        <v>0</v>
      </c>
      <c r="G362" s="4731">
        <f>'Tab. 6B Polit społ i rozwój prz'!F265</f>
        <v>0</v>
      </c>
      <c r="H362" s="4731">
        <f>'Tab. 6B Polit społ i rozwój prz'!G265</f>
        <v>294044</v>
      </c>
      <c r="I362" s="4731">
        <f>'Tab. 6B Polit społ i rozwój prz'!H265</f>
        <v>392447</v>
      </c>
      <c r="J362" s="4731">
        <f>'Tab. 6B Polit społ i rozwój prz'!I265</f>
        <v>351828</v>
      </c>
      <c r="K362" s="4731">
        <f>'Tab. 6B Polit społ i rozwój prz'!J265</f>
        <v>74716</v>
      </c>
      <c r="L362" s="4731">
        <f>'Tab. 6B Polit społ i rozwój prz'!K265</f>
        <v>0</v>
      </c>
      <c r="M362" s="4731">
        <f>'Tab. 6B Polit społ i rozwój prz'!L265</f>
        <v>0</v>
      </c>
      <c r="N362" s="4731"/>
      <c r="O362" s="4731"/>
      <c r="P362" s="4731"/>
      <c r="Q362" s="4731"/>
      <c r="R362" s="4732"/>
      <c r="S362" s="4733"/>
      <c r="T362" s="4733"/>
      <c r="U362" s="4733"/>
      <c r="V362" s="4733"/>
    </row>
    <row r="363" spans="1:22">
      <c r="A363" s="4759"/>
      <c r="B363" s="4761" t="s">
        <v>369</v>
      </c>
      <c r="C363" s="4929"/>
      <c r="D363" s="4736"/>
      <c r="E363" s="4737">
        <f>+F363+G363+H363+I363+J363+K363+L363+M363</f>
        <v>174969</v>
      </c>
      <c r="F363" s="4738">
        <f>'Tab. 6B Polit społ i rozwój prz'!E266</f>
        <v>0</v>
      </c>
      <c r="G363" s="4738">
        <f>'Tab. 6B Polit społ i rozwój prz'!F266</f>
        <v>0</v>
      </c>
      <c r="H363" s="4738">
        <f>'Tab. 6B Polit społ i rozwój prz'!G266</f>
        <v>46224</v>
      </c>
      <c r="I363" s="4738">
        <f>'Tab. 6B Polit społ i rozwój prz'!H266</f>
        <v>61693</v>
      </c>
      <c r="J363" s="4738">
        <f>'Tab. 6B Polit społ i rozwój prz'!I266</f>
        <v>55307</v>
      </c>
      <c r="K363" s="4738">
        <f>'Tab. 6B Polit społ i rozwój prz'!J266</f>
        <v>11745</v>
      </c>
      <c r="L363" s="4738">
        <f>'Tab. 6B Polit społ i rozwój prz'!K266</f>
        <v>0</v>
      </c>
      <c r="M363" s="4738">
        <f>'Tab. 6B Polit społ i rozwój prz'!L266</f>
        <v>0</v>
      </c>
      <c r="N363" s="4738"/>
      <c r="O363" s="4738"/>
      <c r="P363" s="4738"/>
      <c r="Q363" s="4738"/>
      <c r="R363" s="4739"/>
      <c r="S363" s="4739"/>
      <c r="T363" s="4739"/>
      <c r="U363" s="4739"/>
      <c r="V363" s="4739"/>
    </row>
    <row r="364" spans="1:22" ht="13.5" customHeight="1" thickBot="1">
      <c r="A364" s="4759"/>
      <c r="B364" s="4762" t="s">
        <v>197</v>
      </c>
      <c r="C364" s="4754">
        <f>E364-E365</f>
        <v>0</v>
      </c>
      <c r="D364" s="4742"/>
      <c r="E364" s="4743">
        <f>+F364+G364+H364+I364+J364+K364+L364+M364</f>
        <v>938066</v>
      </c>
      <c r="F364" s="4744">
        <f>'Tab. 6B Polit społ i rozwój prz'!E274</f>
        <v>0</v>
      </c>
      <c r="G364" s="4744">
        <f>'Tab. 6B Polit społ i rozwój prz'!F274</f>
        <v>0</v>
      </c>
      <c r="H364" s="4744">
        <f>'Tab. 6B Polit społ i rozwój prz'!G274</f>
        <v>247820</v>
      </c>
      <c r="I364" s="4744">
        <f>'Tab. 6B Polit społ i rozwój prz'!H274</f>
        <v>330754</v>
      </c>
      <c r="J364" s="4744">
        <f>'Tab. 6B Polit społ i rozwój prz'!I274</f>
        <v>296521</v>
      </c>
      <c r="K364" s="4744">
        <f>'Tab. 6B Polit społ i rozwój prz'!J274</f>
        <v>62971</v>
      </c>
      <c r="L364" s="4744">
        <f>'Tab. 6B Polit społ i rozwój prz'!K274</f>
        <v>0</v>
      </c>
      <c r="M364" s="4744">
        <f>'Tab. 6B Polit społ i rozwój prz'!L274</f>
        <v>0</v>
      </c>
      <c r="N364" s="4744"/>
      <c r="O364" s="4744"/>
      <c r="P364" s="4744"/>
      <c r="Q364" s="4744"/>
      <c r="R364" s="4745"/>
      <c r="S364" s="4746"/>
      <c r="T364" s="4746"/>
      <c r="U364" s="4746"/>
      <c r="V364" s="4746"/>
    </row>
    <row r="365" spans="1:22" ht="16.5" customHeight="1" thickBot="1">
      <c r="A365" s="4763"/>
      <c r="B365" s="4764" t="s">
        <v>317</v>
      </c>
      <c r="C365" s="4930"/>
      <c r="D365" s="4750"/>
      <c r="E365" s="4751">
        <f>F365+G365+H365+I365+J365+K365+L365+M365</f>
        <v>938066</v>
      </c>
      <c r="F365" s="4752">
        <f>'Tab. 6B Polit społ i rozwój prz'!E280</f>
        <v>0</v>
      </c>
      <c r="G365" s="4752">
        <f>'Tab. 6B Polit społ i rozwój prz'!F280</f>
        <v>0</v>
      </c>
      <c r="H365" s="4752">
        <f>'Tab. 6B Polit społ i rozwój prz'!G280</f>
        <v>247820</v>
      </c>
      <c r="I365" s="4752">
        <f>'Tab. 6B Polit społ i rozwój prz'!H280</f>
        <v>330754</v>
      </c>
      <c r="J365" s="4752">
        <f>'Tab. 6B Polit społ i rozwój prz'!I280</f>
        <v>296521</v>
      </c>
      <c r="K365" s="4752">
        <f>'Tab. 6B Polit społ i rozwój prz'!J280</f>
        <v>62971</v>
      </c>
      <c r="L365" s="4752">
        <f>'Tab. 6B Polit społ i rozwój prz'!K280</f>
        <v>0</v>
      </c>
      <c r="M365" s="4752">
        <f>'Tab. 6B Polit społ i rozwój prz'!L280</f>
        <v>0</v>
      </c>
      <c r="N365" s="4752"/>
      <c r="O365" s="4752"/>
      <c r="P365" s="4752"/>
      <c r="Q365" s="4752"/>
      <c r="R365" s="4753"/>
      <c r="S365" s="4753"/>
      <c r="T365" s="4753"/>
      <c r="U365" s="4753"/>
      <c r="V365" s="4753"/>
    </row>
    <row r="366" spans="1:22" ht="49.5" customHeight="1">
      <c r="A366" s="4759" t="s">
        <v>602</v>
      </c>
      <c r="B366" s="4927" t="str">
        <f>'Tab. 6G - Roln i ochrona środ.'!B57</f>
        <v>Pomoc Techniczna Programu Operacyjnego „Rybactwo i Morze 2014-2020” (2016-2023)</v>
      </c>
      <c r="C366" s="4719" t="s">
        <v>632</v>
      </c>
      <c r="D366" s="4917">
        <f>E369/E367%</f>
        <v>74.999991633650254</v>
      </c>
      <c r="E366" s="4918"/>
      <c r="F366" s="4919"/>
      <c r="G366" s="4920"/>
      <c r="H366" s="4919"/>
      <c r="I366" s="4919"/>
      <c r="J366" s="4919"/>
      <c r="K366" s="4919"/>
      <c r="L366" s="4919"/>
      <c r="M366" s="4919"/>
      <c r="N366" s="4919"/>
      <c r="O366" s="4919"/>
      <c r="P366" s="4919"/>
      <c r="Q366" s="4919"/>
      <c r="R366" s="4926"/>
      <c r="S366" s="4798"/>
      <c r="T366" s="4798"/>
      <c r="U366" s="4798"/>
      <c r="V366" s="4798"/>
    </row>
    <row r="367" spans="1:22" ht="15.75" customHeight="1">
      <c r="A367" s="4759"/>
      <c r="B367" s="4760" t="s">
        <v>195</v>
      </c>
      <c r="C367" s="4928"/>
      <c r="D367" s="4729"/>
      <c r="E367" s="4730">
        <f>+F367+G367+H367+I367+J367+K367+L367+M367</f>
        <v>5976322</v>
      </c>
      <c r="F367" s="4731">
        <f>'Tab. 6G - Roln i ochrona środ.'!E58</f>
        <v>1484321</v>
      </c>
      <c r="G367" s="4731">
        <f>'Tab. 6G - Roln i ochrona środ.'!F58</f>
        <v>1170222</v>
      </c>
      <c r="H367" s="4731">
        <f>'Tab. 6G - Roln i ochrona środ.'!G58</f>
        <v>1060000</v>
      </c>
      <c r="I367" s="4731">
        <f>'Tab. 6G - Roln i ochrona środ.'!H58</f>
        <v>1200000</v>
      </c>
      <c r="J367" s="4731">
        <f>'Tab. 6G - Roln i ochrona środ.'!I58</f>
        <v>940000</v>
      </c>
      <c r="K367" s="4731">
        <f>'Tab. 6G - Roln i ochrona środ.'!J58</f>
        <v>50000</v>
      </c>
      <c r="L367" s="4731">
        <f>'Tab. 6G - Roln i ochrona środ.'!K58</f>
        <v>50000</v>
      </c>
      <c r="M367" s="4731">
        <f>'Tab. 6G - Roln i ochrona środ.'!L58</f>
        <v>21779</v>
      </c>
      <c r="N367" s="4731"/>
      <c r="O367" s="4731"/>
      <c r="P367" s="4731"/>
      <c r="Q367" s="4731"/>
      <c r="R367" s="4732"/>
      <c r="S367" s="4733"/>
      <c r="T367" s="4733"/>
      <c r="U367" s="4733"/>
      <c r="V367" s="4733"/>
    </row>
    <row r="368" spans="1:22">
      <c r="A368" s="4759"/>
      <c r="B368" s="4761" t="s">
        <v>369</v>
      </c>
      <c r="C368" s="4929"/>
      <c r="D368" s="4736"/>
      <c r="E368" s="4737">
        <f>+F368+G368+H368+I368+J368+K368+L368+M368</f>
        <v>1494081</v>
      </c>
      <c r="F368" s="4738">
        <f>'Tab. 6G - Roln i ochrona środ.'!E59</f>
        <v>371080</v>
      </c>
      <c r="G368" s="4738">
        <f>'Tab. 6G - Roln i ochrona środ.'!F59</f>
        <v>292555</v>
      </c>
      <c r="H368" s="4738">
        <f>'Tab. 6G - Roln i ochrona środ.'!G59</f>
        <v>265000</v>
      </c>
      <c r="I368" s="4738">
        <f>'Tab. 6G - Roln i ochrona środ.'!H59</f>
        <v>300000</v>
      </c>
      <c r="J368" s="4738">
        <f>'Tab. 6G - Roln i ochrona środ.'!I59</f>
        <v>235000</v>
      </c>
      <c r="K368" s="4738">
        <f>'Tab. 6G - Roln i ochrona środ.'!J59</f>
        <v>12500</v>
      </c>
      <c r="L368" s="4738">
        <f>'Tab. 6G - Roln i ochrona środ.'!K59</f>
        <v>12500</v>
      </c>
      <c r="M368" s="4738">
        <f>'Tab. 6G - Roln i ochrona środ.'!L59</f>
        <v>5446</v>
      </c>
      <c r="N368" s="4738"/>
      <c r="O368" s="4738"/>
      <c r="P368" s="4738"/>
      <c r="Q368" s="4738"/>
      <c r="R368" s="4739"/>
      <c r="S368" s="4739"/>
      <c r="T368" s="4739"/>
      <c r="U368" s="4739"/>
      <c r="V368" s="4739"/>
    </row>
    <row r="369" spans="1:22" ht="13.5" customHeight="1" thickBot="1">
      <c r="A369" s="4759"/>
      <c r="B369" s="4762" t="s">
        <v>197</v>
      </c>
      <c r="C369" s="4754">
        <f>E369-E370</f>
        <v>0</v>
      </c>
      <c r="D369" s="4742"/>
      <c r="E369" s="4743">
        <f>+F369+G369+H369+I369+J369+K369+L369+M369</f>
        <v>4482241</v>
      </c>
      <c r="F369" s="4744">
        <f>'Tab. 6G - Roln i ochrona środ.'!E62</f>
        <v>1113241</v>
      </c>
      <c r="G369" s="4744">
        <f>'Tab. 6G - Roln i ochrona środ.'!F62</f>
        <v>877667</v>
      </c>
      <c r="H369" s="4744">
        <f>'Tab. 6G - Roln i ochrona środ.'!G62</f>
        <v>795000</v>
      </c>
      <c r="I369" s="4744">
        <f>'Tab. 6G - Roln i ochrona środ.'!H62</f>
        <v>900000</v>
      </c>
      <c r="J369" s="4744">
        <f>'Tab. 6G - Roln i ochrona środ.'!I62</f>
        <v>705000</v>
      </c>
      <c r="K369" s="4744">
        <f>'Tab. 6G - Roln i ochrona środ.'!J62</f>
        <v>37500</v>
      </c>
      <c r="L369" s="4744">
        <f>'Tab. 6G - Roln i ochrona środ.'!K62</f>
        <v>37500</v>
      </c>
      <c r="M369" s="4744">
        <f>'Tab. 6G - Roln i ochrona środ.'!L62</f>
        <v>16333</v>
      </c>
      <c r="N369" s="4744"/>
      <c r="O369" s="4744"/>
      <c r="P369" s="4744"/>
      <c r="Q369" s="4744"/>
      <c r="R369" s="4745"/>
      <c r="S369" s="4746"/>
      <c r="T369" s="4746"/>
      <c r="U369" s="4746"/>
      <c r="V369" s="4746"/>
    </row>
    <row r="370" spans="1:22" ht="16.5" customHeight="1" thickBot="1">
      <c r="A370" s="4763"/>
      <c r="B370" s="4764" t="s">
        <v>317</v>
      </c>
      <c r="C370" s="4930"/>
      <c r="D370" s="4750"/>
      <c r="E370" s="4751">
        <f>F370+G370+H370+I370+J370+K370+L370+M370</f>
        <v>4482241</v>
      </c>
      <c r="F370" s="4752">
        <f>'Tab. 6G - Roln i ochrona środ.'!E66</f>
        <v>1113241</v>
      </c>
      <c r="G370" s="4752">
        <f>'Tab. 6G - Roln i ochrona środ.'!F66</f>
        <v>877667</v>
      </c>
      <c r="H370" s="4752">
        <f>'Tab. 6G - Roln i ochrona środ.'!G66</f>
        <v>795000</v>
      </c>
      <c r="I370" s="4752">
        <f>'Tab. 6G - Roln i ochrona środ.'!H66</f>
        <v>900000</v>
      </c>
      <c r="J370" s="4752">
        <f>'Tab. 6G - Roln i ochrona środ.'!I66</f>
        <v>705000</v>
      </c>
      <c r="K370" s="4752">
        <f>'Tab. 6G - Roln i ochrona środ.'!J66</f>
        <v>37500</v>
      </c>
      <c r="L370" s="4752">
        <f>'Tab. 6G - Roln i ochrona środ.'!K66</f>
        <v>37500</v>
      </c>
      <c r="M370" s="4752">
        <f>'Tab. 6G - Roln i ochrona środ.'!L66</f>
        <v>16333</v>
      </c>
      <c r="N370" s="4752"/>
      <c r="O370" s="4752"/>
      <c r="P370" s="4752"/>
      <c r="Q370" s="4752"/>
      <c r="R370" s="4753"/>
      <c r="S370" s="4753"/>
      <c r="T370" s="4753"/>
      <c r="U370" s="4753"/>
      <c r="V370" s="4753"/>
    </row>
    <row r="371" spans="1:22" ht="28.5" customHeight="1">
      <c r="A371" s="4759" t="s">
        <v>633</v>
      </c>
      <c r="B371" s="4927" t="str">
        <f>'Tab. 6G - Roln i ochrona środ.'!B86</f>
        <v xml:space="preserve">Edukacja przyrodnicza w parkach krajobrazowych województwa zachodniopomorskiego w ramach działania 4.5 RPO WZ (2018-2020) </v>
      </c>
      <c r="C371" s="4719" t="s">
        <v>652</v>
      </c>
      <c r="D371" s="4917">
        <f>E374/E372%</f>
        <v>85</v>
      </c>
      <c r="E371" s="4918"/>
      <c r="F371" s="4919"/>
      <c r="G371" s="4920"/>
      <c r="H371" s="4919"/>
      <c r="I371" s="4919"/>
      <c r="J371" s="4919"/>
      <c r="K371" s="4919"/>
      <c r="L371" s="4919"/>
      <c r="M371" s="4919"/>
      <c r="N371" s="4919"/>
      <c r="O371" s="4919"/>
      <c r="P371" s="4919"/>
      <c r="Q371" s="4919"/>
      <c r="R371" s="4926"/>
      <c r="S371" s="4798"/>
      <c r="T371" s="4798"/>
      <c r="U371" s="4798"/>
      <c r="V371" s="4798"/>
    </row>
    <row r="372" spans="1:22" ht="15.75" customHeight="1">
      <c r="A372" s="4759"/>
      <c r="B372" s="4760" t="s">
        <v>195</v>
      </c>
      <c r="C372" s="4928"/>
      <c r="D372" s="4729"/>
      <c r="E372" s="4730">
        <f>+F372+G372+H372+I372+J372+K372+L372+M372</f>
        <v>320000</v>
      </c>
      <c r="F372" s="4731">
        <f>'Tab. 6G - Roln i ochrona środ.'!E87</f>
        <v>0</v>
      </c>
      <c r="G372" s="4731">
        <f>'Tab. 6G - Roln i ochrona środ.'!F87</f>
        <v>0</v>
      </c>
      <c r="H372" s="4731">
        <f>'Tab. 6G - Roln i ochrona środ.'!G87</f>
        <v>183700</v>
      </c>
      <c r="I372" s="4731">
        <f>'Tab. 6G - Roln i ochrona środ.'!H87</f>
        <v>109000</v>
      </c>
      <c r="J372" s="4731">
        <f>'Tab. 6G - Roln i ochrona środ.'!I87</f>
        <v>27300</v>
      </c>
      <c r="K372" s="4731">
        <f>'Tab. 6G - Roln i ochrona środ.'!J87</f>
        <v>0</v>
      </c>
      <c r="L372" s="4731">
        <f>'Tab. 6G - Roln i ochrona środ.'!K87</f>
        <v>0</v>
      </c>
      <c r="M372" s="4731">
        <f>'Tab. 6G - Roln i ochrona środ.'!L87</f>
        <v>0</v>
      </c>
      <c r="N372" s="4731"/>
      <c r="O372" s="4731"/>
      <c r="P372" s="4731"/>
      <c r="Q372" s="4731"/>
      <c r="R372" s="4732"/>
      <c r="S372" s="4733"/>
      <c r="T372" s="4733"/>
      <c r="U372" s="4733"/>
      <c r="V372" s="4733"/>
    </row>
    <row r="373" spans="1:22">
      <c r="A373" s="4759"/>
      <c r="B373" s="4761" t="s">
        <v>369</v>
      </c>
      <c r="C373" s="4929"/>
      <c r="D373" s="4736"/>
      <c r="E373" s="4737">
        <f>+F373+G373+H373+I373+J373+K373+L373+M373</f>
        <v>48000</v>
      </c>
      <c r="F373" s="4738">
        <f>'Tab. 6G - Roln i ochrona środ.'!E88</f>
        <v>0</v>
      </c>
      <c r="G373" s="4738">
        <f>'Tab. 6G - Roln i ochrona środ.'!F88</f>
        <v>0</v>
      </c>
      <c r="H373" s="4738">
        <f>'Tab. 6G - Roln i ochrona środ.'!G88</f>
        <v>27555</v>
      </c>
      <c r="I373" s="4738">
        <f>'Tab. 6G - Roln i ochrona środ.'!H88</f>
        <v>16350</v>
      </c>
      <c r="J373" s="4738">
        <f>'Tab. 6G - Roln i ochrona środ.'!I88</f>
        <v>4095</v>
      </c>
      <c r="K373" s="4738">
        <f>'Tab. 6G - Roln i ochrona środ.'!J88</f>
        <v>0</v>
      </c>
      <c r="L373" s="4738">
        <f>'Tab. 6G - Roln i ochrona środ.'!K88</f>
        <v>0</v>
      </c>
      <c r="M373" s="4738">
        <f>'Tab. 6G - Roln i ochrona środ.'!L88</f>
        <v>0</v>
      </c>
      <c r="N373" s="4738"/>
      <c r="O373" s="4738"/>
      <c r="P373" s="4738"/>
      <c r="Q373" s="4738"/>
      <c r="R373" s="4739"/>
      <c r="S373" s="4739"/>
      <c r="T373" s="4739"/>
      <c r="U373" s="4739"/>
      <c r="V373" s="4739"/>
    </row>
    <row r="374" spans="1:22" ht="13.5" customHeight="1" thickBot="1">
      <c r="A374" s="4759"/>
      <c r="B374" s="4762" t="s">
        <v>197</v>
      </c>
      <c r="C374" s="4754">
        <f>E374-E375</f>
        <v>0</v>
      </c>
      <c r="D374" s="4742"/>
      <c r="E374" s="4743">
        <f>+F374+G374+H374+I374+J374+K374+L374+M374</f>
        <v>272000</v>
      </c>
      <c r="F374" s="4744">
        <f>'Tab. 6G - Roln i ochrona środ.'!E91</f>
        <v>0</v>
      </c>
      <c r="G374" s="4744">
        <f>'Tab. 6G - Roln i ochrona środ.'!F91</f>
        <v>0</v>
      </c>
      <c r="H374" s="4744">
        <f>'Tab. 6G - Roln i ochrona środ.'!G91</f>
        <v>156145</v>
      </c>
      <c r="I374" s="4744">
        <f>'Tab. 6G - Roln i ochrona środ.'!H91</f>
        <v>92650</v>
      </c>
      <c r="J374" s="4744">
        <f>'Tab. 6G - Roln i ochrona środ.'!I91</f>
        <v>23205</v>
      </c>
      <c r="K374" s="4744">
        <f>'Tab. 6G - Roln i ochrona środ.'!J91</f>
        <v>0</v>
      </c>
      <c r="L374" s="4744">
        <f>'Tab. 6G - Roln i ochrona środ.'!K91</f>
        <v>0</v>
      </c>
      <c r="M374" s="4744">
        <f>'Tab. 6G - Roln i ochrona środ.'!L91</f>
        <v>0</v>
      </c>
      <c r="N374" s="4744"/>
      <c r="O374" s="4744"/>
      <c r="P374" s="4744"/>
      <c r="Q374" s="4744"/>
      <c r="R374" s="4745"/>
      <c r="S374" s="4746"/>
      <c r="T374" s="4746"/>
      <c r="U374" s="4746"/>
      <c r="V374" s="4746"/>
    </row>
    <row r="375" spans="1:22" ht="16.5" customHeight="1" thickBot="1">
      <c r="A375" s="4763"/>
      <c r="B375" s="4764" t="s">
        <v>317</v>
      </c>
      <c r="C375" s="4930"/>
      <c r="D375" s="4750"/>
      <c r="E375" s="4751">
        <f>F375+G375+H375+I375+J375+K375+L375+M375</f>
        <v>272000</v>
      </c>
      <c r="F375" s="4752">
        <f>'Tab. 6G - Roln i ochrona środ.'!E94</f>
        <v>0</v>
      </c>
      <c r="G375" s="4752">
        <f>'Tab. 6G - Roln i ochrona środ.'!F94</f>
        <v>0</v>
      </c>
      <c r="H375" s="4752">
        <f>'Tab. 6G - Roln i ochrona środ.'!G94</f>
        <v>156145</v>
      </c>
      <c r="I375" s="4752">
        <f>'Tab. 6G - Roln i ochrona środ.'!H94</f>
        <v>92650</v>
      </c>
      <c r="J375" s="4752">
        <f>'Tab. 6G - Roln i ochrona środ.'!I94</f>
        <v>23205</v>
      </c>
      <c r="K375" s="4752">
        <f>'Tab. 6G - Roln i ochrona środ.'!J94</f>
        <v>0</v>
      </c>
      <c r="L375" s="4752">
        <f>'Tab. 6G - Roln i ochrona środ.'!K94</f>
        <v>0</v>
      </c>
      <c r="M375" s="4752">
        <f>'Tab. 6G - Roln i ochrona środ.'!L94</f>
        <v>0</v>
      </c>
      <c r="N375" s="4752"/>
      <c r="O375" s="4752"/>
      <c r="P375" s="4752"/>
      <c r="Q375" s="4752"/>
      <c r="R375" s="4753"/>
      <c r="S375" s="4753"/>
      <c r="T375" s="4753"/>
      <c r="U375" s="4753"/>
      <c r="V375" s="4753"/>
    </row>
    <row r="376" spans="1:22" ht="27.75" customHeight="1">
      <c r="A376" s="4757" t="s">
        <v>654</v>
      </c>
      <c r="B376" s="4931" t="str">
        <f>'Tab. 6D - Oświata'!B76</f>
        <v>Sieć współpracy Skuteczna edukacja w ramach PO WER 2014-2020 (2018-2019)</v>
      </c>
      <c r="C376" s="4719" t="s">
        <v>794</v>
      </c>
      <c r="D376" s="4720">
        <f>E379/E377%</f>
        <v>84.28</v>
      </c>
      <c r="E376" s="4721"/>
      <c r="F376" s="4722"/>
      <c r="G376" s="4723"/>
      <c r="H376" s="4722"/>
      <c r="I376" s="4722"/>
      <c r="J376" s="4722"/>
      <c r="K376" s="4723"/>
      <c r="L376" s="4723"/>
      <c r="M376" s="4722"/>
      <c r="N376" s="4722"/>
      <c r="O376" s="4722"/>
      <c r="P376" s="4722"/>
      <c r="Q376" s="4722"/>
      <c r="R376" s="4724"/>
      <c r="S376" s="4725"/>
      <c r="T376" s="4725"/>
      <c r="U376" s="4725"/>
      <c r="V376" s="4725"/>
    </row>
    <row r="377" spans="1:22" ht="13.5" customHeight="1">
      <c r="A377" s="4759"/>
      <c r="B377" s="4727" t="s">
        <v>195</v>
      </c>
      <c r="C377" s="4932"/>
      <c r="D377" s="4729"/>
      <c r="E377" s="4730">
        <f>+F377+G377+H377+I377+J377+K377+L377+M377</f>
        <v>250000</v>
      </c>
      <c r="F377" s="4731">
        <f>'Tab. 6D - Oświata'!E77</f>
        <v>0</v>
      </c>
      <c r="G377" s="4731">
        <f>'Tab. 6D - Oświata'!F77</f>
        <v>0</v>
      </c>
      <c r="H377" s="4731">
        <f>'Tab. 6D - Oświata'!G77</f>
        <v>224590</v>
      </c>
      <c r="I377" s="4731">
        <f>'Tab. 6D - Oświata'!H77</f>
        <v>25410</v>
      </c>
      <c r="J377" s="4731">
        <f>'Tab. 6D - Oświata'!I77</f>
        <v>0</v>
      </c>
      <c r="K377" s="4731">
        <f>'Tab. 6D - Oświata'!J77</f>
        <v>0</v>
      </c>
      <c r="L377" s="4731"/>
      <c r="M377" s="4731"/>
      <c r="N377" s="4731"/>
      <c r="O377" s="4731"/>
      <c r="P377" s="4731"/>
      <c r="Q377" s="4731"/>
      <c r="R377" s="4732"/>
      <c r="S377" s="4733"/>
      <c r="T377" s="4733"/>
      <c r="U377" s="4733"/>
      <c r="V377" s="4733"/>
    </row>
    <row r="378" spans="1:22" ht="18" customHeight="1">
      <c r="A378" s="4759"/>
      <c r="B378" s="4734" t="s">
        <v>369</v>
      </c>
      <c r="C378" s="4792"/>
      <c r="D378" s="4736"/>
      <c r="E378" s="4737">
        <f>+F378+G378+H378+I378+J378+K378+L378+M378</f>
        <v>39300</v>
      </c>
      <c r="F378" s="4738">
        <f>'Tab. 6D - Oświata'!E78</f>
        <v>0</v>
      </c>
      <c r="G378" s="4738">
        <f>'Tab. 6D - Oświata'!F78</f>
        <v>0</v>
      </c>
      <c r="H378" s="4738">
        <f>'Tab. 6D - Oświata'!G78</f>
        <v>35306</v>
      </c>
      <c r="I378" s="4738">
        <f>'Tab. 6D - Oświata'!H78</f>
        <v>3994</v>
      </c>
      <c r="J378" s="4738">
        <f>'Tab. 6D - Oświata'!I78</f>
        <v>0</v>
      </c>
      <c r="K378" s="4738">
        <f>'Tab. 6D - Oświata'!J78</f>
        <v>0</v>
      </c>
      <c r="L378" s="4738"/>
      <c r="M378" s="4738"/>
      <c r="N378" s="4738"/>
      <c r="O378" s="4738"/>
      <c r="P378" s="4738"/>
      <c r="Q378" s="4738"/>
      <c r="R378" s="4739"/>
      <c r="S378" s="4739"/>
      <c r="T378" s="4739"/>
      <c r="U378" s="4739"/>
      <c r="V378" s="4739"/>
    </row>
    <row r="379" spans="1:22" ht="13.5" customHeight="1" thickBot="1">
      <c r="A379" s="4759"/>
      <c r="B379" s="4740" t="s">
        <v>197</v>
      </c>
      <c r="C379" s="4754">
        <f>E379-E380</f>
        <v>0</v>
      </c>
      <c r="D379" s="4742"/>
      <c r="E379" s="4743">
        <f>+F379+G379+H379+I379+J379+K379+L379+M379</f>
        <v>210700</v>
      </c>
      <c r="F379" s="4744">
        <f>'Tab. 6D - Oświata'!E81</f>
        <v>0</v>
      </c>
      <c r="G379" s="4744">
        <f>'Tab. 6D - Oświata'!F81</f>
        <v>0</v>
      </c>
      <c r="H379" s="4744">
        <f>'Tab. 6D - Oświata'!G81</f>
        <v>189284</v>
      </c>
      <c r="I379" s="4744">
        <f>'Tab. 6D - Oświata'!H81</f>
        <v>21416</v>
      </c>
      <c r="J379" s="4744">
        <f>'Tab. 6D - Oświata'!I81</f>
        <v>0</v>
      </c>
      <c r="K379" s="4744">
        <f>'Tab. 6D - Oświata'!J81</f>
        <v>0</v>
      </c>
      <c r="L379" s="4744"/>
      <c r="M379" s="4744"/>
      <c r="N379" s="4744"/>
      <c r="O379" s="4744"/>
      <c r="P379" s="4744"/>
      <c r="Q379" s="4744"/>
      <c r="R379" s="4745"/>
      <c r="S379" s="4746"/>
      <c r="T379" s="4746"/>
      <c r="U379" s="4746"/>
      <c r="V379" s="4746"/>
    </row>
    <row r="380" spans="1:22" ht="15" customHeight="1" thickBot="1">
      <c r="A380" s="4763"/>
      <c r="B380" s="4748" t="s">
        <v>317</v>
      </c>
      <c r="C380" s="4749"/>
      <c r="D380" s="4750"/>
      <c r="E380" s="4751">
        <f>F380+G380+H380+I380+J380+K380+L380+M380</f>
        <v>210700</v>
      </c>
      <c r="F380" s="4752">
        <f>'Tab. 6D - Oświata'!E85</f>
        <v>0</v>
      </c>
      <c r="G380" s="4752">
        <f>'Tab. 6D - Oświata'!F85</f>
        <v>0</v>
      </c>
      <c r="H380" s="4752">
        <f>'Tab. 6D - Oświata'!G85</f>
        <v>189284</v>
      </c>
      <c r="I380" s="4752">
        <f>'Tab. 6D - Oświata'!H85</f>
        <v>21416</v>
      </c>
      <c r="J380" s="4752">
        <f>'Tab. 6D - Oświata'!I85</f>
        <v>0</v>
      </c>
      <c r="K380" s="4752">
        <f>'Tab. 6D - Oświata'!J85</f>
        <v>0</v>
      </c>
      <c r="L380" s="4752"/>
      <c r="M380" s="4752"/>
      <c r="N380" s="4752"/>
      <c r="O380" s="4752"/>
      <c r="P380" s="4752"/>
      <c r="Q380" s="4752"/>
      <c r="R380" s="4753"/>
      <c r="S380" s="4753"/>
      <c r="T380" s="4753"/>
      <c r="U380" s="4753"/>
      <c r="V380" s="4753"/>
    </row>
    <row r="381" spans="1:22" ht="27.75" customHeight="1">
      <c r="A381" s="4757" t="s">
        <v>655</v>
      </c>
      <c r="B381" s="4931" t="str">
        <f>'Tab. 6B Polit społ i rozwój prz'!B109</f>
        <v>"Zachodniopomorskie Małe Skarby" w ramach działania 6.6 RPO WZ 2014-2020 (2018-2020)</v>
      </c>
      <c r="C381" s="4719" t="s">
        <v>795</v>
      </c>
      <c r="D381" s="4720">
        <f>E384/E382%</f>
        <v>89.047619047619051</v>
      </c>
      <c r="E381" s="4721"/>
      <c r="F381" s="4722"/>
      <c r="G381" s="4723"/>
      <c r="H381" s="4722"/>
      <c r="I381" s="4722"/>
      <c r="J381" s="4722"/>
      <c r="K381" s="4723"/>
      <c r="L381" s="4723"/>
      <c r="M381" s="4722"/>
      <c r="N381" s="4722"/>
      <c r="O381" s="4722"/>
      <c r="P381" s="4722"/>
      <c r="Q381" s="4722"/>
      <c r="R381" s="4724"/>
      <c r="S381" s="4725"/>
      <c r="T381" s="4725"/>
      <c r="U381" s="4725"/>
      <c r="V381" s="4725"/>
    </row>
    <row r="382" spans="1:22" ht="13.5" customHeight="1">
      <c r="A382" s="4759"/>
      <c r="B382" s="4727" t="s">
        <v>195</v>
      </c>
      <c r="C382" s="4932"/>
      <c r="D382" s="4729"/>
      <c r="E382" s="4813">
        <f>+F382+G382+H382+I382+J382+K382+L382+M382</f>
        <v>13356000</v>
      </c>
      <c r="F382" s="4814">
        <f>'Tab. 6B Polit społ i rozwój prz'!E110-'Tab. 6B Polit społ i rozwój prz'!E114</f>
        <v>0</v>
      </c>
      <c r="G382" s="4814">
        <f>'Tab. 6B Polit społ i rozwój prz'!F110-'Tab. 6B Polit społ i rozwój prz'!F114</f>
        <v>0</v>
      </c>
      <c r="H382" s="4814">
        <f>'Tab. 6B Polit społ i rozwój prz'!G110-'Tab. 6B Polit społ i rozwój prz'!G114</f>
        <v>1463600</v>
      </c>
      <c r="I382" s="4814">
        <f>'Tab. 6B Polit społ i rozwój prz'!H110-'Tab. 6B Polit społ i rozwój prz'!H114</f>
        <v>6500000</v>
      </c>
      <c r="J382" s="4814">
        <f>'Tab. 6B Polit społ i rozwój prz'!I110-'Tab. 6B Polit społ i rozwój prz'!I114</f>
        <v>5392400</v>
      </c>
      <c r="K382" s="4814">
        <f>'Tab. 6B Polit społ i rozwój prz'!J110-'Tab. 6B Polit społ i rozwój prz'!J114</f>
        <v>0</v>
      </c>
      <c r="L382" s="4814">
        <f>'Tab. 6B Polit społ i rozwój prz'!K110-'Tab. 6B Polit społ i rozwój prz'!K114</f>
        <v>0</v>
      </c>
      <c r="M382" s="4814"/>
      <c r="N382" s="4731"/>
      <c r="O382" s="4731"/>
      <c r="P382" s="4731"/>
      <c r="Q382" s="4731"/>
      <c r="R382" s="4732"/>
      <c r="S382" s="4733"/>
      <c r="T382" s="4733"/>
      <c r="U382" s="4733"/>
      <c r="V382" s="4733"/>
    </row>
    <row r="383" spans="1:22" ht="18" customHeight="1">
      <c r="A383" s="4759"/>
      <c r="B383" s="4734" t="s">
        <v>369</v>
      </c>
      <c r="C383" s="4792"/>
      <c r="D383" s="4736"/>
      <c r="E383" s="4816">
        <f>+F383+G383+H383+I383+J383+K383+L383+M383</f>
        <v>1462800</v>
      </c>
      <c r="F383" s="4817">
        <f>'Tab. 6B Polit społ i rozwój prz'!E111-'Tab. 6B Polit społ i rozwój prz'!E114</f>
        <v>0</v>
      </c>
      <c r="G383" s="4817">
        <f>'Tab. 6B Polit społ i rozwój prz'!F111-'Tab. 6B Polit społ i rozwój prz'!F114</f>
        <v>0</v>
      </c>
      <c r="H383" s="4817">
        <f>'Tab. 6B Polit społ i rozwój prz'!G111-'Tab. 6B Polit społ i rozwój prz'!G114</f>
        <v>211020</v>
      </c>
      <c r="I383" s="4817">
        <f>'Tab. 6B Polit społ i rozwój prz'!H111-'Tab. 6B Polit społ i rozwój prz'!H114</f>
        <v>684450</v>
      </c>
      <c r="J383" s="4817">
        <f>'Tab. 6B Polit społ i rozwój prz'!I111-'Tab. 6B Polit społ i rozwój prz'!I114</f>
        <v>567330</v>
      </c>
      <c r="K383" s="4817">
        <f>'Tab. 6B Polit społ i rozwój prz'!J111-'Tab. 6B Polit społ i rozwój prz'!J114</f>
        <v>0</v>
      </c>
      <c r="L383" s="4817">
        <f>'Tab. 6B Polit społ i rozwój prz'!K111-'Tab. 6B Polit społ i rozwój prz'!K114</f>
        <v>0</v>
      </c>
      <c r="M383" s="4817"/>
      <c r="N383" s="4738"/>
      <c r="O383" s="4738"/>
      <c r="P383" s="4738"/>
      <c r="Q383" s="4738"/>
      <c r="R383" s="4739"/>
      <c r="S383" s="4739"/>
      <c r="T383" s="4739"/>
      <c r="U383" s="4739"/>
      <c r="V383" s="4739"/>
    </row>
    <row r="384" spans="1:22" ht="13.5" customHeight="1" thickBot="1">
      <c r="A384" s="4759"/>
      <c r="B384" s="4740" t="s">
        <v>197</v>
      </c>
      <c r="C384" s="4754">
        <f>E384-E385</f>
        <v>0</v>
      </c>
      <c r="D384" s="4742"/>
      <c r="E384" s="4819">
        <f>+F384+G384+H384+I384+J384+K384+L384+M384</f>
        <v>11893200</v>
      </c>
      <c r="F384" s="4820">
        <f>'Tab. 6B Polit społ i rozwój prz'!E116</f>
        <v>0</v>
      </c>
      <c r="G384" s="4820">
        <f>'Tab. 6B Polit społ i rozwój prz'!F116</f>
        <v>0</v>
      </c>
      <c r="H384" s="4820">
        <f>'Tab. 6B Polit społ i rozwój prz'!G116</f>
        <v>1252580</v>
      </c>
      <c r="I384" s="4820">
        <f>'Tab. 6B Polit społ i rozwój prz'!H116</f>
        <v>5815550</v>
      </c>
      <c r="J384" s="4820">
        <f>'Tab. 6B Polit społ i rozwój prz'!I116</f>
        <v>4825070</v>
      </c>
      <c r="K384" s="4820">
        <f>'Tab. 6B Polit społ i rozwój prz'!J116</f>
        <v>0</v>
      </c>
      <c r="L384" s="4820">
        <f>'Tab. 6B Polit społ i rozwój prz'!K116</f>
        <v>0</v>
      </c>
      <c r="M384" s="4820"/>
      <c r="N384" s="4744"/>
      <c r="O384" s="4744"/>
      <c r="P384" s="4744"/>
      <c r="Q384" s="4744"/>
      <c r="R384" s="4745"/>
      <c r="S384" s="4746"/>
      <c r="T384" s="4746"/>
      <c r="U384" s="4746"/>
      <c r="V384" s="4746"/>
    </row>
    <row r="385" spans="1:22" ht="15" customHeight="1" thickBot="1">
      <c r="A385" s="4763"/>
      <c r="B385" s="4748" t="s">
        <v>317</v>
      </c>
      <c r="C385" s="4749"/>
      <c r="D385" s="4750"/>
      <c r="E385" s="4821">
        <f>F385+G385+H385+I385+J385+K385+L385+M385</f>
        <v>11893200</v>
      </c>
      <c r="F385" s="4822">
        <f>'Tab. 6B Polit społ i rozwój prz'!E120</f>
        <v>0</v>
      </c>
      <c r="G385" s="4822">
        <f>'Tab. 6B Polit społ i rozwój prz'!F120</f>
        <v>0</v>
      </c>
      <c r="H385" s="4822">
        <f>'Tab. 6B Polit społ i rozwój prz'!G120</f>
        <v>1252580</v>
      </c>
      <c r="I385" s="4822">
        <f>'Tab. 6B Polit społ i rozwój prz'!H120</f>
        <v>5815550</v>
      </c>
      <c r="J385" s="4822">
        <f>'Tab. 6B Polit społ i rozwój prz'!I120</f>
        <v>4825070</v>
      </c>
      <c r="K385" s="4822">
        <f>'Tab. 6B Polit społ i rozwój prz'!J120</f>
        <v>0</v>
      </c>
      <c r="L385" s="4822">
        <f>'Tab. 6B Polit społ i rozwój prz'!K120</f>
        <v>0</v>
      </c>
      <c r="M385" s="4822"/>
      <c r="N385" s="4752"/>
      <c r="O385" s="4752"/>
      <c r="P385" s="4752"/>
      <c r="Q385" s="4752"/>
      <c r="R385" s="4753"/>
      <c r="S385" s="4753"/>
      <c r="T385" s="4753"/>
      <c r="U385" s="4753"/>
      <c r="V385" s="4753"/>
    </row>
    <row r="386" spans="1:22" ht="36">
      <c r="A386" s="4757" t="s">
        <v>656</v>
      </c>
      <c r="B386" s="4931" t="str">
        <f>'Tab. 6G - Roln i ochrona środ.'!B95</f>
        <v>Opracowanie projektów planów ochrony 5 parków krajobrazowych oraz aktualizacja planów ochrony 2 parków krajobrazowych w ramach działania 4.8 RPO WZ (2019-2023)</v>
      </c>
      <c r="C386" s="4719" t="s">
        <v>703</v>
      </c>
      <c r="D386" s="4720">
        <f>E389/E387%</f>
        <v>85.000000000000014</v>
      </c>
      <c r="E386" s="4721"/>
      <c r="F386" s="4722"/>
      <c r="G386" s="4723"/>
      <c r="H386" s="4722"/>
      <c r="I386" s="4722"/>
      <c r="J386" s="4722"/>
      <c r="K386" s="4723"/>
      <c r="L386" s="4723"/>
      <c r="M386" s="4722"/>
      <c r="N386" s="4722"/>
      <c r="O386" s="4722"/>
      <c r="P386" s="4722"/>
      <c r="Q386" s="4722"/>
      <c r="R386" s="4724"/>
      <c r="S386" s="4725"/>
      <c r="T386" s="4725"/>
      <c r="U386" s="4725"/>
      <c r="V386" s="4725"/>
    </row>
    <row r="387" spans="1:22" ht="13.5" customHeight="1">
      <c r="A387" s="4759"/>
      <c r="B387" s="4727" t="s">
        <v>195</v>
      </c>
      <c r="C387" s="4932"/>
      <c r="D387" s="4729"/>
      <c r="E387" s="4813">
        <f>+F387+G387+H387+I387+J387+K387+L387+M387</f>
        <v>3446020</v>
      </c>
      <c r="F387" s="4814">
        <f>'Tab. 6G - Roln i ochrona środ.'!E96</f>
        <v>0</v>
      </c>
      <c r="G387" s="4814">
        <f>'Tab. 6G - Roln i ochrona środ.'!F96</f>
        <v>0</v>
      </c>
      <c r="H387" s="4814">
        <f>'Tab. 6G - Roln i ochrona środ.'!G96</f>
        <v>0</v>
      </c>
      <c r="I387" s="4814">
        <f>'Tab. 6G - Roln i ochrona środ.'!H96</f>
        <v>298278</v>
      </c>
      <c r="J387" s="4814">
        <f>'Tab. 6G - Roln i ochrona środ.'!I96</f>
        <v>1324061</v>
      </c>
      <c r="K387" s="4814">
        <f>'Tab. 6G - Roln i ochrona środ.'!J96</f>
        <v>735528</v>
      </c>
      <c r="L387" s="4814">
        <f>'Tab. 6G - Roln i ochrona środ.'!K96</f>
        <v>944889</v>
      </c>
      <c r="M387" s="4814">
        <f>'Tab. 6G - Roln i ochrona środ.'!L96</f>
        <v>143264</v>
      </c>
      <c r="N387" s="4731"/>
      <c r="O387" s="4731"/>
      <c r="P387" s="4731"/>
      <c r="Q387" s="4731"/>
      <c r="R387" s="4732"/>
      <c r="S387" s="4733"/>
      <c r="T387" s="4733"/>
      <c r="U387" s="4733"/>
      <c r="V387" s="4733"/>
    </row>
    <row r="388" spans="1:22" ht="18" customHeight="1">
      <c r="A388" s="4759"/>
      <c r="B388" s="4734" t="s">
        <v>369</v>
      </c>
      <c r="C388" s="4792"/>
      <c r="D388" s="4736"/>
      <c r="E388" s="4816">
        <f>+F388+G388+H388+I388+J388+K388+L388+M388</f>
        <v>516903</v>
      </c>
      <c r="F388" s="4817">
        <f>'Tab. 6G - Roln i ochrona środ.'!E98</f>
        <v>0</v>
      </c>
      <c r="G388" s="4817">
        <f>'Tab. 6G - Roln i ochrona środ.'!F98</f>
        <v>0</v>
      </c>
      <c r="H388" s="4817">
        <f>'Tab. 6G - Roln i ochrona środ.'!G98</f>
        <v>0</v>
      </c>
      <c r="I388" s="4817">
        <f>'Tab. 6G - Roln i ochrona środ.'!H98</f>
        <v>44742</v>
      </c>
      <c r="J388" s="4817">
        <f>'Tab. 6G - Roln i ochrona środ.'!I98</f>
        <v>198609</v>
      </c>
      <c r="K388" s="4817">
        <f>'Tab. 6G - Roln i ochrona środ.'!J98</f>
        <v>110329</v>
      </c>
      <c r="L388" s="4817">
        <f>'Tab. 6G - Roln i ochrona środ.'!K98</f>
        <v>141733</v>
      </c>
      <c r="M388" s="4817">
        <f>'Tab. 6G - Roln i ochrona środ.'!L98</f>
        <v>21490</v>
      </c>
      <c r="N388" s="4738"/>
      <c r="O388" s="4738"/>
      <c r="P388" s="4738"/>
      <c r="Q388" s="4738"/>
      <c r="R388" s="4739"/>
      <c r="S388" s="4739"/>
      <c r="T388" s="4739"/>
      <c r="U388" s="4739"/>
      <c r="V388" s="4739"/>
    </row>
    <row r="389" spans="1:22" ht="13.5" customHeight="1" thickBot="1">
      <c r="A389" s="4759"/>
      <c r="B389" s="4740" t="s">
        <v>197</v>
      </c>
      <c r="C389" s="4754">
        <f>E389-E390</f>
        <v>0</v>
      </c>
      <c r="D389" s="4742"/>
      <c r="E389" s="4819">
        <f>+F389+G389+H389+I389+J389+K389+L389+M389</f>
        <v>2929117</v>
      </c>
      <c r="F389" s="4820">
        <f>'Tab. 6G - Roln i ochrona środ.'!E100</f>
        <v>0</v>
      </c>
      <c r="G389" s="4820">
        <f>'Tab. 6G - Roln i ochrona środ.'!F100</f>
        <v>0</v>
      </c>
      <c r="H389" s="4820">
        <f>'Tab. 6G - Roln i ochrona środ.'!G100</f>
        <v>0</v>
      </c>
      <c r="I389" s="4820">
        <f>'Tab. 6G - Roln i ochrona środ.'!H100</f>
        <v>253536</v>
      </c>
      <c r="J389" s="4820">
        <f>'Tab. 6G - Roln i ochrona środ.'!I100</f>
        <v>1125452</v>
      </c>
      <c r="K389" s="4820">
        <f>'Tab. 6G - Roln i ochrona środ.'!J100</f>
        <v>625199</v>
      </c>
      <c r="L389" s="4820">
        <f>'Tab. 6G - Roln i ochrona środ.'!K100</f>
        <v>803156</v>
      </c>
      <c r="M389" s="4820">
        <f>'Tab. 6G - Roln i ochrona środ.'!L100</f>
        <v>121774</v>
      </c>
      <c r="N389" s="4744"/>
      <c r="O389" s="4744"/>
      <c r="P389" s="4744"/>
      <c r="Q389" s="4744"/>
      <c r="R389" s="4745"/>
      <c r="S389" s="4746"/>
      <c r="T389" s="4746"/>
      <c r="U389" s="4746"/>
      <c r="V389" s="4746"/>
    </row>
    <row r="390" spans="1:22" ht="15" customHeight="1" thickBot="1">
      <c r="A390" s="4763"/>
      <c r="B390" s="4748" t="s">
        <v>317</v>
      </c>
      <c r="C390" s="4749"/>
      <c r="D390" s="4750"/>
      <c r="E390" s="4821">
        <f>F390+G390+H390+I390+J390+K390+L390+M390</f>
        <v>2929117</v>
      </c>
      <c r="F390" s="4822">
        <f>'Tab. 6G - Roln i ochrona środ.'!E102</f>
        <v>0</v>
      </c>
      <c r="G390" s="4822">
        <f>'Tab. 6G - Roln i ochrona środ.'!F102</f>
        <v>0</v>
      </c>
      <c r="H390" s="4822">
        <f>'Tab. 6G - Roln i ochrona środ.'!G102</f>
        <v>0</v>
      </c>
      <c r="I390" s="4822">
        <f>'Tab. 6G - Roln i ochrona środ.'!H102</f>
        <v>253536</v>
      </c>
      <c r="J390" s="4822">
        <f>'Tab. 6G - Roln i ochrona środ.'!I102</f>
        <v>1125452</v>
      </c>
      <c r="K390" s="4822">
        <f>'Tab. 6G - Roln i ochrona środ.'!J102</f>
        <v>625199</v>
      </c>
      <c r="L390" s="4822">
        <f>'Tab. 6G - Roln i ochrona środ.'!K102</f>
        <v>803156</v>
      </c>
      <c r="M390" s="4822">
        <f>'Tab. 6G - Roln i ochrona środ.'!L102</f>
        <v>121774</v>
      </c>
      <c r="N390" s="4752"/>
      <c r="O390" s="4752"/>
      <c r="P390" s="4752"/>
      <c r="Q390" s="4752"/>
      <c r="R390" s="4753"/>
      <c r="S390" s="4753"/>
      <c r="T390" s="4753"/>
      <c r="U390" s="4753"/>
      <c r="V390" s="4753"/>
    </row>
    <row r="391" spans="1:22" ht="43.5" customHeight="1">
      <c r="A391" s="4757" t="s">
        <v>756</v>
      </c>
      <c r="B391" s="4931" t="str">
        <f>'Tab. 6H - Kultura fiz. i turyst'!B108</f>
        <v>Bieżąca obsługa projektów dla tras rowerowych na wałach przeciwpowodziowych w ramach RPO WZ (2018-2019)</v>
      </c>
      <c r="C391" s="4719" t="s">
        <v>714</v>
      </c>
      <c r="D391" s="4720">
        <f>E394/E392%</f>
        <v>84.999822938114335</v>
      </c>
      <c r="E391" s="4721"/>
      <c r="F391" s="4722"/>
      <c r="G391" s="4723"/>
      <c r="H391" s="4722"/>
      <c r="I391" s="4722"/>
      <c r="J391" s="4722"/>
      <c r="K391" s="4723"/>
      <c r="L391" s="4723"/>
      <c r="M391" s="4722"/>
      <c r="N391" s="4722"/>
      <c r="O391" s="4722"/>
      <c r="P391" s="4722"/>
      <c r="Q391" s="4722"/>
      <c r="R391" s="4724"/>
      <c r="S391" s="4725"/>
      <c r="T391" s="4725"/>
      <c r="U391" s="4725"/>
      <c r="V391" s="4725"/>
    </row>
    <row r="392" spans="1:22" ht="13.5" customHeight="1">
      <c r="A392" s="4759"/>
      <c r="B392" s="4727" t="s">
        <v>195</v>
      </c>
      <c r="C392" s="4932"/>
      <c r="D392" s="4729"/>
      <c r="E392" s="4813">
        <f>+F392+G392+H392+I392+J392+K392+L392+M392</f>
        <v>197671</v>
      </c>
      <c r="F392" s="4814">
        <f>'Tab. 6H - Kultura fiz. i turyst'!E109</f>
        <v>0</v>
      </c>
      <c r="G392" s="4814">
        <f>'Tab. 6H - Kultura fiz. i turyst'!F109</f>
        <v>0</v>
      </c>
      <c r="H392" s="4814">
        <f>'Tab. 6H - Kultura fiz. i turyst'!G109</f>
        <v>77408</v>
      </c>
      <c r="I392" s="4814">
        <f>'Tab. 6H - Kultura fiz. i turyst'!H109</f>
        <v>120263</v>
      </c>
      <c r="J392" s="4814">
        <f>'Tab. 6H - Kultura fiz. i turyst'!I109</f>
        <v>0</v>
      </c>
      <c r="K392" s="4814">
        <f>'Tab. 6H - Kultura fiz. i turyst'!J109</f>
        <v>0</v>
      </c>
      <c r="L392" s="4814">
        <f>'Tab. 6H - Kultura fiz. i turyst'!K109</f>
        <v>0</v>
      </c>
      <c r="M392" s="4814">
        <f>'Tab. 6H - Kultura fiz. i turyst'!L109</f>
        <v>0</v>
      </c>
      <c r="N392" s="4731"/>
      <c r="O392" s="4731"/>
      <c r="P392" s="4731"/>
      <c r="Q392" s="4731"/>
      <c r="R392" s="4732"/>
      <c r="S392" s="4733"/>
      <c r="T392" s="4733"/>
      <c r="U392" s="4733"/>
      <c r="V392" s="4733"/>
    </row>
    <row r="393" spans="1:22" ht="18" customHeight="1">
      <c r="A393" s="4759"/>
      <c r="B393" s="4734" t="s">
        <v>369</v>
      </c>
      <c r="C393" s="4792"/>
      <c r="D393" s="4736"/>
      <c r="E393" s="4816">
        <f>+F393+G393+H393+I393+J393+K393+L393+M393</f>
        <v>29651</v>
      </c>
      <c r="F393" s="4817">
        <f>'Tab. 6H - Kultura fiz. i turyst'!E110</f>
        <v>0</v>
      </c>
      <c r="G393" s="4817">
        <f>'Tab. 6H - Kultura fiz. i turyst'!F110</f>
        <v>0</v>
      </c>
      <c r="H393" s="4817">
        <f>'Tab. 6H - Kultura fiz. i turyst'!G110</f>
        <v>11611</v>
      </c>
      <c r="I393" s="4817">
        <f>'Tab. 6H - Kultura fiz. i turyst'!H110</f>
        <v>18040</v>
      </c>
      <c r="J393" s="4817">
        <f>'Tab. 6H - Kultura fiz. i turyst'!I110</f>
        <v>0</v>
      </c>
      <c r="K393" s="4817">
        <f>'Tab. 6H - Kultura fiz. i turyst'!J110</f>
        <v>0</v>
      </c>
      <c r="L393" s="4817">
        <f>'Tab. 6H - Kultura fiz. i turyst'!K110</f>
        <v>0</v>
      </c>
      <c r="M393" s="4817">
        <f>'Tab. 6H - Kultura fiz. i turyst'!L110</f>
        <v>0</v>
      </c>
      <c r="N393" s="4738"/>
      <c r="O393" s="4738"/>
      <c r="P393" s="4738"/>
      <c r="Q393" s="4738"/>
      <c r="R393" s="4739"/>
      <c r="S393" s="4739"/>
      <c r="T393" s="4739"/>
      <c r="U393" s="4739"/>
      <c r="V393" s="4739"/>
    </row>
    <row r="394" spans="1:22" ht="13.5" customHeight="1" thickBot="1">
      <c r="A394" s="4759"/>
      <c r="B394" s="4740" t="s">
        <v>197</v>
      </c>
      <c r="C394" s="4754">
        <f>E394-E395</f>
        <v>0</v>
      </c>
      <c r="D394" s="4742"/>
      <c r="E394" s="4819">
        <f>+F394+G394+H394+I394+J394+K394+L394+M394</f>
        <v>168020</v>
      </c>
      <c r="F394" s="4820">
        <f>'Tab. 6H - Kultura fiz. i turyst'!E112</f>
        <v>0</v>
      </c>
      <c r="G394" s="4820">
        <f>'Tab. 6H - Kultura fiz. i turyst'!F112</f>
        <v>0</v>
      </c>
      <c r="H394" s="4820">
        <f>'Tab. 6H - Kultura fiz. i turyst'!G112</f>
        <v>65797</v>
      </c>
      <c r="I394" s="4820">
        <f>'Tab. 6H - Kultura fiz. i turyst'!H112</f>
        <v>102223</v>
      </c>
      <c r="J394" s="4820">
        <f>'Tab. 6H - Kultura fiz. i turyst'!I112</f>
        <v>0</v>
      </c>
      <c r="K394" s="4820">
        <f>'Tab. 6H - Kultura fiz. i turyst'!J112</f>
        <v>0</v>
      </c>
      <c r="L394" s="4820">
        <f>'Tab. 6H - Kultura fiz. i turyst'!K112</f>
        <v>0</v>
      </c>
      <c r="M394" s="4820">
        <f>'Tab. 6H - Kultura fiz. i turyst'!L112</f>
        <v>0</v>
      </c>
      <c r="N394" s="4744"/>
      <c r="O394" s="4744"/>
      <c r="P394" s="4744"/>
      <c r="Q394" s="4744"/>
      <c r="R394" s="4745"/>
      <c r="S394" s="4746"/>
      <c r="T394" s="4746"/>
      <c r="U394" s="4746"/>
      <c r="V394" s="4746"/>
    </row>
    <row r="395" spans="1:22" ht="15" customHeight="1" thickBot="1">
      <c r="A395" s="4763"/>
      <c r="B395" s="4748" t="s">
        <v>317</v>
      </c>
      <c r="C395" s="4749"/>
      <c r="D395" s="4750"/>
      <c r="E395" s="4821">
        <f>F395+G395+H395+I395+J395+K395+L395+M395</f>
        <v>168020</v>
      </c>
      <c r="F395" s="4822">
        <f>'Tab. 6H - Kultura fiz. i turyst'!E115</f>
        <v>0</v>
      </c>
      <c r="G395" s="4822">
        <f>'Tab. 6H - Kultura fiz. i turyst'!F115</f>
        <v>0</v>
      </c>
      <c r="H395" s="4822">
        <f>'Tab. 6H - Kultura fiz. i turyst'!G115</f>
        <v>0</v>
      </c>
      <c r="I395" s="4822">
        <f>'Tab. 6H - Kultura fiz. i turyst'!H115</f>
        <v>168020</v>
      </c>
      <c r="J395" s="4822">
        <f>'Tab. 6H - Kultura fiz. i turyst'!I115</f>
        <v>0</v>
      </c>
      <c r="K395" s="4822">
        <f>'Tab. 6H - Kultura fiz. i turyst'!J115</f>
        <v>0</v>
      </c>
      <c r="L395" s="4822">
        <f>'Tab. 6H - Kultura fiz. i turyst'!K115</f>
        <v>0</v>
      </c>
      <c r="M395" s="4822">
        <f>'Tab. 6H - Kultura fiz. i turyst'!L115</f>
        <v>0</v>
      </c>
      <c r="N395" s="4752"/>
      <c r="O395" s="4752"/>
      <c r="P395" s="4752"/>
      <c r="Q395" s="4752"/>
      <c r="R395" s="4753"/>
      <c r="S395" s="4753"/>
      <c r="T395" s="4753"/>
      <c r="U395" s="4753"/>
      <c r="V395" s="4753"/>
    </row>
    <row r="396" spans="1:22" s="4708" customFormat="1" ht="13.5" customHeight="1">
      <c r="A396" s="4810"/>
      <c r="B396" s="4837"/>
      <c r="C396" s="4838"/>
      <c r="D396" s="4839"/>
      <c r="E396" s="4878"/>
      <c r="F396" s="4879"/>
      <c r="G396" s="4843"/>
      <c r="H396" s="4878"/>
      <c r="I396" s="4879"/>
      <c r="J396" s="4879"/>
      <c r="K396" s="4843"/>
      <c r="L396" s="4843"/>
      <c r="M396" s="4879"/>
      <c r="N396" s="4879"/>
      <c r="O396" s="4879"/>
      <c r="P396" s="4879"/>
      <c r="Q396" s="4879"/>
      <c r="R396" s="4844"/>
      <c r="S396" s="4844"/>
      <c r="T396" s="4844"/>
      <c r="U396" s="4844"/>
      <c r="V396" s="4844"/>
    </row>
    <row r="397" spans="1:22" s="4708" customFormat="1" ht="32.25" customHeight="1">
      <c r="A397" s="4845"/>
      <c r="B397" s="4846" t="s">
        <v>345</v>
      </c>
      <c r="C397" s="4847"/>
      <c r="D397" s="4848"/>
      <c r="E397" s="4849"/>
      <c r="F397" s="4850"/>
      <c r="G397" s="4853"/>
      <c r="H397" s="4849"/>
      <c r="I397" s="4850"/>
      <c r="J397" s="4850"/>
      <c r="K397" s="4853"/>
      <c r="L397" s="4853"/>
      <c r="M397" s="4850"/>
      <c r="N397" s="4850"/>
      <c r="O397" s="4850"/>
      <c r="P397" s="4850"/>
      <c r="Q397" s="4850"/>
      <c r="R397" s="4854"/>
      <c r="S397" s="4854"/>
      <c r="T397" s="4854"/>
      <c r="U397" s="4854"/>
      <c r="V397" s="4854"/>
    </row>
    <row r="398" spans="1:22" s="4708" customFormat="1" ht="8.25" customHeight="1" thickBot="1">
      <c r="A398" s="4810"/>
      <c r="B398" s="4933"/>
      <c r="C398" s="4838"/>
      <c r="D398" s="4839"/>
      <c r="E398" s="4878"/>
      <c r="F398" s="4879"/>
      <c r="G398" s="4843"/>
      <c r="H398" s="4934"/>
      <c r="I398" s="4879"/>
      <c r="J398" s="4879"/>
      <c r="K398" s="4843"/>
      <c r="L398" s="4843"/>
      <c r="M398" s="4879"/>
      <c r="N398" s="4879"/>
      <c r="O398" s="4879"/>
      <c r="P398" s="4879"/>
      <c r="Q398" s="4879"/>
      <c r="R398" s="4844"/>
      <c r="S398" s="4844"/>
      <c r="T398" s="4844"/>
      <c r="U398" s="4844"/>
      <c r="V398" s="4844"/>
    </row>
    <row r="399" spans="1:22" ht="49.5" customHeight="1">
      <c r="A399" s="4717" t="s">
        <v>756</v>
      </c>
      <c r="B399" s="4718" t="str">
        <f>'Tab. 6D - Oświata'!B37</f>
        <v>Prowadzenie Punktu Informacji Europejskiej Europe Direct - Szczecin w ramach środków Komisji Europejskiej (2013-2020)</v>
      </c>
      <c r="C399" s="4719" t="s">
        <v>739</v>
      </c>
      <c r="D399" s="4866">
        <f>E402/E400%</f>
        <v>52.057152397658982</v>
      </c>
      <c r="E399" s="4721"/>
      <c r="F399" s="4722"/>
      <c r="G399" s="4723"/>
      <c r="H399" s="4722"/>
      <c r="I399" s="4722"/>
      <c r="J399" s="4722"/>
      <c r="K399" s="4723"/>
      <c r="L399" s="4723"/>
      <c r="M399" s="4722"/>
      <c r="N399" s="4722"/>
      <c r="O399" s="4722"/>
      <c r="P399" s="4722"/>
      <c r="Q399" s="4722"/>
      <c r="R399" s="4724"/>
      <c r="S399" s="4725"/>
      <c r="T399" s="4725"/>
      <c r="U399" s="4725"/>
      <c r="V399" s="4725"/>
    </row>
    <row r="400" spans="1:22" ht="13.5" customHeight="1">
      <c r="A400" s="4726"/>
      <c r="B400" s="4727" t="s">
        <v>195</v>
      </c>
      <c r="C400" s="4728"/>
      <c r="D400" s="4729"/>
      <c r="E400" s="4730">
        <f>+F400+G400+H400+I400+J400+K400+L400+M400</f>
        <v>1335657</v>
      </c>
      <c r="F400" s="4731">
        <f>'Tab. 6D - Oświata'!E38</f>
        <v>593887</v>
      </c>
      <c r="G400" s="4731">
        <f>'Tab. 6D - Oświata'!F38</f>
        <v>144526</v>
      </c>
      <c r="H400" s="4731">
        <f>'Tab. 6D - Oświata'!G38</f>
        <v>199080</v>
      </c>
      <c r="I400" s="4731">
        <f>'Tab. 6D - Oświata'!H38</f>
        <v>199084</v>
      </c>
      <c r="J400" s="4731">
        <f>'Tab. 6D - Oświata'!I38</f>
        <v>199080</v>
      </c>
      <c r="K400" s="4731">
        <f>'Tab. 6D - Oświata'!J38</f>
        <v>0</v>
      </c>
      <c r="L400" s="4731">
        <f>'Tab. 6D - Oświata'!K38</f>
        <v>0</v>
      </c>
      <c r="M400" s="4731">
        <f>'Tab. 6D - Oświata'!L38</f>
        <v>0</v>
      </c>
      <c r="N400" s="4731"/>
      <c r="O400" s="4731"/>
      <c r="P400" s="4731"/>
      <c r="Q400" s="4731"/>
      <c r="R400" s="4732"/>
      <c r="S400" s="4733"/>
      <c r="T400" s="4733"/>
      <c r="U400" s="4733"/>
      <c r="V400" s="4733"/>
    </row>
    <row r="401" spans="1:22" ht="13.5" customHeight="1">
      <c r="A401" s="4726"/>
      <c r="B401" s="4734" t="s">
        <v>320</v>
      </c>
      <c r="C401" s="4735"/>
      <c r="D401" s="4736"/>
      <c r="E401" s="4737">
        <f>+F401+G401+H401+I401+J401+K401+L401+M401</f>
        <v>640352</v>
      </c>
      <c r="F401" s="4738">
        <f>'Tab. 6D - Oświata'!E39</f>
        <v>274500</v>
      </c>
      <c r="G401" s="4738">
        <f>'Tab. 6D - Oświata'!F39</f>
        <v>67232</v>
      </c>
      <c r="H401" s="4738">
        <f>'Tab. 6D - Oświata'!G39</f>
        <v>99540</v>
      </c>
      <c r="I401" s="4738">
        <f>'Tab. 6D - Oświata'!H39</f>
        <v>99540</v>
      </c>
      <c r="J401" s="4738">
        <f>'Tab. 6D - Oświata'!I39</f>
        <v>99540</v>
      </c>
      <c r="K401" s="4738">
        <f>'Tab. 6D - Oświata'!J39</f>
        <v>0</v>
      </c>
      <c r="L401" s="4738">
        <f>'Tab. 6D - Oświata'!K39</f>
        <v>0</v>
      </c>
      <c r="M401" s="4738">
        <f>'Tab. 6D - Oświata'!L39</f>
        <v>0</v>
      </c>
      <c r="N401" s="4738"/>
      <c r="O401" s="4738"/>
      <c r="P401" s="4738"/>
      <c r="Q401" s="4738"/>
      <c r="R401" s="4739"/>
      <c r="S401" s="4739"/>
      <c r="T401" s="4739"/>
      <c r="U401" s="4739"/>
      <c r="V401" s="4739"/>
    </row>
    <row r="402" spans="1:22" ht="13.5" customHeight="1" thickBot="1">
      <c r="A402" s="4726"/>
      <c r="B402" s="4740" t="s">
        <v>197</v>
      </c>
      <c r="C402" s="4754">
        <f>E402-E403</f>
        <v>0</v>
      </c>
      <c r="D402" s="4742"/>
      <c r="E402" s="4743">
        <f>+F402+G402+H402+I402+J402+K402+L402+M402</f>
        <v>695305</v>
      </c>
      <c r="F402" s="4744">
        <f>'Tab. 6D - Oświata'!E42</f>
        <v>319387</v>
      </c>
      <c r="G402" s="4744">
        <f>'Tab. 6D - Oświata'!F42</f>
        <v>77294</v>
      </c>
      <c r="H402" s="4744">
        <f>'Tab. 6D - Oświata'!G42</f>
        <v>99540</v>
      </c>
      <c r="I402" s="4744">
        <f>'Tab. 6D - Oświata'!H42</f>
        <v>99544</v>
      </c>
      <c r="J402" s="4744">
        <f>'Tab. 6D - Oświata'!I42</f>
        <v>99540</v>
      </c>
      <c r="K402" s="4744">
        <f>'Tab. 6D - Oświata'!J42</f>
        <v>0</v>
      </c>
      <c r="L402" s="4744">
        <f>'Tab. 6D - Oświata'!K42</f>
        <v>0</v>
      </c>
      <c r="M402" s="4744">
        <f>'Tab. 6D - Oświata'!L42</f>
        <v>0</v>
      </c>
      <c r="N402" s="4744"/>
      <c r="O402" s="4744"/>
      <c r="P402" s="4744"/>
      <c r="Q402" s="4744"/>
      <c r="R402" s="4745"/>
      <c r="S402" s="4746"/>
      <c r="T402" s="4746"/>
      <c r="U402" s="4746"/>
      <c r="V402" s="4746"/>
    </row>
    <row r="403" spans="1:22" ht="15.75" customHeight="1" thickBot="1">
      <c r="A403" s="4747"/>
      <c r="B403" s="4748" t="s">
        <v>317</v>
      </c>
      <c r="C403" s="4749"/>
      <c r="D403" s="4750"/>
      <c r="E403" s="4751">
        <f>F403+G403+H403+I403+J403+K403+L403+M403</f>
        <v>695305</v>
      </c>
      <c r="F403" s="4752">
        <f>'Tab. 6D - Oświata'!E47</f>
        <v>291312</v>
      </c>
      <c r="G403" s="4752">
        <f>'Tab. 6D - Oświata'!F47</f>
        <v>79154</v>
      </c>
      <c r="H403" s="4752">
        <f>'Tab. 6D - Oświata'!G47</f>
        <v>95897</v>
      </c>
      <c r="I403" s="4752">
        <f>'Tab. 6D - Oświata'!H47</f>
        <v>99540</v>
      </c>
      <c r="J403" s="4752">
        <f>'Tab. 6D - Oświata'!I47</f>
        <v>99540</v>
      </c>
      <c r="K403" s="4752">
        <f>'Tab. 6D - Oświata'!J47</f>
        <v>29862</v>
      </c>
      <c r="L403" s="4752">
        <f>'Tab. 6D - Oświata'!K47</f>
        <v>0</v>
      </c>
      <c r="M403" s="4752">
        <f>'Tab. 6D - Oświata'!L47</f>
        <v>0</v>
      </c>
      <c r="N403" s="4752"/>
      <c r="O403" s="4752"/>
      <c r="P403" s="4752"/>
      <c r="Q403" s="4752"/>
      <c r="R403" s="4753"/>
      <c r="S403" s="4753"/>
      <c r="T403" s="4753"/>
      <c r="U403" s="4753"/>
      <c r="V403" s="4753"/>
    </row>
    <row r="404" spans="1:22" s="4708" customFormat="1" ht="8.25" customHeight="1">
      <c r="A404" s="4810"/>
      <c r="B404" s="4933"/>
      <c r="C404" s="4838"/>
      <c r="D404" s="4839"/>
      <c r="E404" s="4878"/>
      <c r="F404" s="4879"/>
      <c r="G404" s="4843"/>
      <c r="H404" s="4879"/>
      <c r="I404" s="4879"/>
      <c r="J404" s="4879"/>
      <c r="K404" s="4843"/>
      <c r="L404" s="4843"/>
      <c r="M404" s="4879"/>
      <c r="N404" s="4879"/>
      <c r="O404" s="4879"/>
      <c r="P404" s="4879"/>
      <c r="Q404" s="4879"/>
      <c r="R404" s="4844"/>
      <c r="S404" s="4844"/>
      <c r="T404" s="4844"/>
      <c r="U404" s="4844"/>
      <c r="V404" s="4844"/>
    </row>
    <row r="405" spans="1:22" s="4708" customFormat="1" ht="20.25" customHeight="1" thickBot="1">
      <c r="A405" s="4845"/>
      <c r="B405" s="4867" t="s">
        <v>342</v>
      </c>
      <c r="C405" s="4847"/>
      <c r="D405" s="4848"/>
      <c r="E405" s="4849"/>
      <c r="F405" s="4850"/>
      <c r="G405" s="4853"/>
      <c r="H405" s="4850"/>
      <c r="I405" s="4850"/>
      <c r="J405" s="4850"/>
      <c r="K405" s="4853"/>
      <c r="L405" s="4853"/>
      <c r="M405" s="4850"/>
      <c r="N405" s="4850"/>
      <c r="O405" s="4850"/>
      <c r="P405" s="4850"/>
      <c r="Q405" s="4850"/>
      <c r="R405" s="4854"/>
      <c r="S405" s="4854"/>
      <c r="T405" s="4854"/>
      <c r="U405" s="4854"/>
      <c r="V405" s="4854"/>
    </row>
    <row r="406" spans="1:22" ht="14.25">
      <c r="A406" s="4717"/>
      <c r="B406" s="4935"/>
      <c r="C406" s="4719"/>
      <c r="D406" s="4720" t="e">
        <f>E409/E407%</f>
        <v>#DIV/0!</v>
      </c>
      <c r="E406" s="4721"/>
      <c r="F406" s="4722"/>
      <c r="G406" s="4723"/>
      <c r="H406" s="4722"/>
      <c r="I406" s="4722"/>
      <c r="J406" s="4722"/>
      <c r="K406" s="4723"/>
      <c r="L406" s="4723"/>
      <c r="M406" s="4722"/>
      <c r="N406" s="4722"/>
      <c r="O406" s="4722"/>
      <c r="P406" s="4722"/>
      <c r="Q406" s="4722"/>
      <c r="R406" s="4724"/>
      <c r="S406" s="4725"/>
      <c r="T406" s="4725"/>
      <c r="U406" s="4725"/>
      <c r="V406" s="4725"/>
    </row>
    <row r="407" spans="1:22" ht="16.5" customHeight="1">
      <c r="A407" s="4726"/>
      <c r="B407" s="4727" t="s">
        <v>195</v>
      </c>
      <c r="C407" s="4728"/>
      <c r="D407" s="4729"/>
      <c r="E407" s="4730">
        <f>+F407+G407+H407+I407+J407+K407+L407+M407</f>
        <v>0</v>
      </c>
      <c r="F407" s="4731"/>
      <c r="G407" s="4814"/>
      <c r="H407" s="4731"/>
      <c r="I407" s="4731"/>
      <c r="J407" s="4731"/>
      <c r="K407" s="4731"/>
      <c r="L407" s="4731"/>
      <c r="M407" s="4731"/>
      <c r="N407" s="4731"/>
      <c r="O407" s="4731"/>
      <c r="P407" s="4731"/>
      <c r="Q407" s="4731"/>
      <c r="R407" s="4732"/>
      <c r="S407" s="4733"/>
      <c r="T407" s="4733"/>
      <c r="U407" s="4733"/>
      <c r="V407" s="4733"/>
    </row>
    <row r="408" spans="1:22" ht="25.5" customHeight="1">
      <c r="A408" s="4726"/>
      <c r="B408" s="4734" t="s">
        <v>349</v>
      </c>
      <c r="C408" s="4735"/>
      <c r="D408" s="4736"/>
      <c r="E408" s="4737">
        <f>+F408+G408+H408+I408+J408+K408+L408+M408</f>
        <v>0</v>
      </c>
      <c r="F408" s="4738"/>
      <c r="G408" s="4817"/>
      <c r="H408" s="4738"/>
      <c r="I408" s="4738"/>
      <c r="J408" s="4738"/>
      <c r="K408" s="4738"/>
      <c r="L408" s="4738"/>
      <c r="M408" s="4738"/>
      <c r="N408" s="4738"/>
      <c r="O408" s="4738"/>
      <c r="P408" s="4738"/>
      <c r="Q408" s="4738"/>
      <c r="R408" s="4739"/>
      <c r="S408" s="4739"/>
      <c r="T408" s="4739"/>
      <c r="U408" s="4739"/>
      <c r="V408" s="4739"/>
    </row>
    <row r="409" spans="1:22" ht="13.5" customHeight="1" thickBot="1">
      <c r="A409" s="4726"/>
      <c r="B409" s="4740" t="s">
        <v>197</v>
      </c>
      <c r="C409" s="4754">
        <f>E409-E410</f>
        <v>0</v>
      </c>
      <c r="D409" s="4742"/>
      <c r="E409" s="4743">
        <f>+F409+G409+H409+I409+J409+K409+L409+M409</f>
        <v>0</v>
      </c>
      <c r="F409" s="4744"/>
      <c r="G409" s="4820"/>
      <c r="H409" s="4744"/>
      <c r="I409" s="4744"/>
      <c r="J409" s="4744"/>
      <c r="K409" s="4744"/>
      <c r="L409" s="4744"/>
      <c r="M409" s="4744"/>
      <c r="N409" s="4744"/>
      <c r="O409" s="4744"/>
      <c r="P409" s="4744"/>
      <c r="Q409" s="4744"/>
      <c r="R409" s="4745"/>
      <c r="S409" s="4746"/>
      <c r="T409" s="4746"/>
      <c r="U409" s="4746"/>
      <c r="V409" s="4746"/>
    </row>
    <row r="410" spans="1:22" ht="13.5" thickBot="1">
      <c r="A410" s="4747"/>
      <c r="B410" s="4748" t="s">
        <v>317</v>
      </c>
      <c r="C410" s="4749"/>
      <c r="D410" s="4750"/>
      <c r="E410" s="4751">
        <f>F410+G410+H410+I410+J410+K410+L410+M410</f>
        <v>0</v>
      </c>
      <c r="F410" s="4752"/>
      <c r="G410" s="4822"/>
      <c r="H410" s="4752"/>
      <c r="I410" s="4752"/>
      <c r="J410" s="4752"/>
      <c r="K410" s="4752"/>
      <c r="L410" s="4752"/>
      <c r="M410" s="4752"/>
      <c r="N410" s="4752"/>
      <c r="O410" s="4752"/>
      <c r="P410" s="4752"/>
      <c r="Q410" s="4752"/>
      <c r="R410" s="4753"/>
      <c r="S410" s="4753"/>
      <c r="T410" s="4753"/>
      <c r="U410" s="4753"/>
      <c r="V410" s="4753"/>
    </row>
    <row r="411" spans="1:22" ht="13.5" thickBot="1"/>
    <row r="412" spans="1:22" s="4943" customFormat="1" ht="40.5" customHeight="1" thickBot="1">
      <c r="A412" s="4936" t="s">
        <v>322</v>
      </c>
      <c r="B412" s="4937" t="s">
        <v>629</v>
      </c>
      <c r="C412" s="4938"/>
      <c r="D412" s="4939"/>
      <c r="E412" s="4940"/>
      <c r="F412" s="4940"/>
      <c r="G412" s="4940"/>
      <c r="H412" s="4940"/>
      <c r="I412" s="4940"/>
      <c r="J412" s="4940"/>
      <c r="K412" s="4940"/>
      <c r="L412" s="4940"/>
      <c r="M412" s="4940"/>
      <c r="N412" s="4940"/>
      <c r="O412" s="4940"/>
      <c r="P412" s="4940"/>
      <c r="Q412" s="4940"/>
      <c r="R412" s="4941"/>
      <c r="S412" s="4942"/>
      <c r="T412" s="4942"/>
      <c r="U412" s="4942"/>
      <c r="V412" s="4942"/>
    </row>
    <row r="413" spans="1:22" s="4686" customFormat="1" ht="22.5" customHeight="1" thickBot="1">
      <c r="A413" s="4884"/>
      <c r="B413" s="4944" t="s">
        <v>481</v>
      </c>
      <c r="C413" s="4945"/>
      <c r="D413" s="4946"/>
      <c r="E413" s="4890"/>
      <c r="F413" s="4890"/>
      <c r="G413" s="4890"/>
      <c r="H413" s="4890"/>
      <c r="I413" s="4890"/>
      <c r="J413" s="4890"/>
      <c r="K413" s="4890"/>
      <c r="L413" s="4890"/>
      <c r="M413" s="4890"/>
      <c r="N413" s="4890"/>
      <c r="O413" s="4890"/>
      <c r="P413" s="4947"/>
      <c r="Q413" s="4947"/>
      <c r="R413" s="4948"/>
      <c r="S413" s="4947"/>
      <c r="T413" s="4947"/>
      <c r="U413" s="4947"/>
      <c r="V413" s="4947"/>
    </row>
    <row r="414" spans="1:22" s="4955" customFormat="1" ht="19.5" customHeight="1" thickBot="1">
      <c r="A414" s="4949" t="s">
        <v>385</v>
      </c>
      <c r="B414" s="4950" t="s">
        <v>395</v>
      </c>
      <c r="C414" s="4951"/>
      <c r="D414" s="4952"/>
      <c r="E414" s="4953">
        <f>E492+E417+E422+E497+E502+E427+E518+E432+E437+E442+E447+E452+E457+E513+E462+E507+E467+E472+E477+E523+E482+E487</f>
        <v>329433943</v>
      </c>
      <c r="F414" s="4953">
        <f t="shared" ref="F414:L414" si="7">F492+F417+F422+F497+F502+F427+F518+F432+F437+F442+F447+F452+F457+F513+F462+F507+F467+F472+F477+F523+F482+F487</f>
        <v>1350687</v>
      </c>
      <c r="G414" s="4953">
        <f>G492+G417+G422+G497+G502+G427+G518+G432+G437+G442+G447+G452+G457+G513+G462+G507+G467+G472+G477+G523+G482+G487</f>
        <v>1059059</v>
      </c>
      <c r="H414" s="4953">
        <f>H492+H417+H422+H497+H502+H427+H518+H432+H437+H442+H447+H452+H457+H513+H462+H507+H467+H472+H477+H523+H482+H487</f>
        <v>14379361</v>
      </c>
      <c r="I414" s="4953">
        <f>I492+I417+I422+I497+I502+I427+I518+I432+I437+I442+I447+I452+I457+I513+I462+I507+I467+I472+I477+I523+I482+I487</f>
        <v>133836020</v>
      </c>
      <c r="J414" s="4953">
        <f t="shared" si="7"/>
        <v>131808816</v>
      </c>
      <c r="K414" s="4953">
        <f t="shared" si="7"/>
        <v>47000000</v>
      </c>
      <c r="L414" s="4953">
        <f t="shared" si="7"/>
        <v>0</v>
      </c>
      <c r="M414" s="4953">
        <f>M492+M417+M422+M497+M502+M427+M518+M432+M437+M442+M447+M452+M457+M513+M462+M507+M467+M472+M477+M523+M482+M487</f>
        <v>0</v>
      </c>
      <c r="N414" s="4953"/>
      <c r="O414" s="4953"/>
      <c r="P414" s="4953"/>
      <c r="Q414" s="4953"/>
      <c r="R414" s="4954"/>
      <c r="S414" s="4714"/>
      <c r="T414" s="4714"/>
      <c r="U414" s="4714"/>
      <c r="V414" s="4714"/>
    </row>
    <row r="415" spans="1:22" s="4955" customFormat="1" ht="19.5" customHeight="1" thickBot="1">
      <c r="A415" s="4956" t="s">
        <v>386</v>
      </c>
      <c r="B415" s="4957" t="s">
        <v>396</v>
      </c>
      <c r="C415" s="4958"/>
      <c r="D415" s="4959"/>
      <c r="E415" s="4960">
        <f>E495+E420+E425+E500+E505+E430+E521+E435+E440+E445+E450+E455+E460+E516+E465+E510+E470+E475+E526+E480+E485+E490</f>
        <v>261943201</v>
      </c>
      <c r="F415" s="4960">
        <f>F495+F420+F425+F500+F505+F430+F521+F435+F440+F445+F450+F455+F460+F516+F465+F510+F470+F475+F526+F480+F485+F490</f>
        <v>0</v>
      </c>
      <c r="G415" s="4960">
        <f>G495+G420+G425+G500+G505+G430+G521+G435+G440+G445+G450+G455+G460+G516+G465+G510+G470+G475+G526+G480+G485+G490</f>
        <v>0</v>
      </c>
      <c r="H415" s="4960">
        <f>H495+H420+H425+H500+H505+H430+H521+H435+H440+H445+H450+H455+H460+H516+H465+H510+H470+H475+H526+H480+H485+H490</f>
        <v>4746881</v>
      </c>
      <c r="I415" s="4960">
        <f t="shared" ref="I415:L415" si="8">I495+I420+I425+I500+I505+I430+I521+I435+I440+I445+I450+I455+I460+I516+I465+I510+I470+I475+I526+I480+I485+I490</f>
        <v>94821054</v>
      </c>
      <c r="J415" s="4960">
        <f t="shared" si="8"/>
        <v>97983873</v>
      </c>
      <c r="K415" s="4960">
        <f t="shared" si="8"/>
        <v>64391393</v>
      </c>
      <c r="L415" s="4960">
        <f t="shared" si="8"/>
        <v>0</v>
      </c>
      <c r="M415" s="4960">
        <f>M495+M420+M425+M500+M505+M430+M521+M435+M440+M445+M450+M455+M460+M516+M465+M510+M470+M475+M526+M480+M485+M490</f>
        <v>0</v>
      </c>
      <c r="N415" s="4960"/>
      <c r="O415" s="4960"/>
      <c r="P415" s="4960"/>
      <c r="Q415" s="4960"/>
      <c r="R415" s="4961"/>
      <c r="S415" s="4714"/>
      <c r="T415" s="4714"/>
      <c r="U415" s="4714"/>
      <c r="V415" s="4714"/>
    </row>
    <row r="416" spans="1:22" ht="30.75" customHeight="1">
      <c r="A416" s="4757" t="s">
        <v>55</v>
      </c>
      <c r="B416" s="4758" t="str">
        <f>'Tab. 6H - Kultura fiz. i turyst'!B61</f>
        <v>Budowa sieci tras rowerowych Pomorza Zachodniego - Trasa Nadmorska odc. Pleśna - Mielno w ramach Osi IV RPO WZ (2018-2019)</v>
      </c>
      <c r="C416" s="4719" t="s">
        <v>318</v>
      </c>
      <c r="D416" s="4720">
        <f>E419/E417%</f>
        <v>85</v>
      </c>
      <c r="E416" s="4721"/>
      <c r="F416" s="4722"/>
      <c r="G416" s="4723"/>
      <c r="H416" s="4722"/>
      <c r="I416" s="4722"/>
      <c r="J416" s="4722"/>
      <c r="K416" s="4722"/>
      <c r="L416" s="4722"/>
      <c r="M416" s="4722"/>
      <c r="N416" s="4722"/>
      <c r="O416" s="4722"/>
      <c r="P416" s="4722"/>
      <c r="Q416" s="4722"/>
      <c r="R416" s="4724"/>
      <c r="S416" s="4725"/>
      <c r="T416" s="4725"/>
      <c r="U416" s="4725"/>
      <c r="V416" s="4725"/>
    </row>
    <row r="417" spans="1:22" ht="16.5" customHeight="1">
      <c r="A417" s="4759"/>
      <c r="B417" s="4727" t="s">
        <v>195</v>
      </c>
      <c r="C417" s="4728"/>
      <c r="D417" s="4729"/>
      <c r="E417" s="4730">
        <f>+F417+G417+H417+I417+J417+K417+L417+M417</f>
        <v>8223000</v>
      </c>
      <c r="F417" s="4731">
        <f>'Tab. 6H - Kultura fiz. i turyst'!E62</f>
        <v>0</v>
      </c>
      <c r="G417" s="4731">
        <f>'Tab. 6H - Kultura fiz. i turyst'!F62</f>
        <v>0</v>
      </c>
      <c r="H417" s="4731">
        <f>'Tab. 6H - Kultura fiz. i turyst'!G62</f>
        <v>123000</v>
      </c>
      <c r="I417" s="4731">
        <f>'Tab. 6H - Kultura fiz. i turyst'!H62</f>
        <v>8100000</v>
      </c>
      <c r="J417" s="4731">
        <f>'Tab. 6H - Kultura fiz. i turyst'!I62</f>
        <v>0</v>
      </c>
      <c r="K417" s="4731">
        <f>'Tab. 6H - Kultura fiz. i turyst'!J62</f>
        <v>0</v>
      </c>
      <c r="L417" s="4731">
        <f>'Tab. 6H - Kultura fiz. i turyst'!K62</f>
        <v>0</v>
      </c>
      <c r="M417" s="4731">
        <f>'Tab. 6H - Kultura fiz. i turyst'!L62</f>
        <v>0</v>
      </c>
      <c r="N417" s="4731"/>
      <c r="O417" s="4731"/>
      <c r="P417" s="4731"/>
      <c r="Q417" s="4731"/>
      <c r="R417" s="4732"/>
      <c r="S417" s="4733"/>
      <c r="T417" s="4733"/>
      <c r="U417" s="4733"/>
      <c r="V417" s="4733"/>
    </row>
    <row r="418" spans="1:22" ht="15" customHeight="1">
      <c r="A418" s="4759"/>
      <c r="B418" s="4734" t="s">
        <v>320</v>
      </c>
      <c r="C418" s="4735"/>
      <c r="D418" s="4736"/>
      <c r="E418" s="4737">
        <f>+F418+G418+H418+I418+J418+K418+L418+M418</f>
        <v>1233450</v>
      </c>
      <c r="F418" s="4738">
        <f>'Tab. 6H - Kultura fiz. i turyst'!E63</f>
        <v>0</v>
      </c>
      <c r="G418" s="4738">
        <f>'Tab. 6H - Kultura fiz. i turyst'!F63</f>
        <v>0</v>
      </c>
      <c r="H418" s="4738">
        <f>'Tab. 6H - Kultura fiz. i turyst'!G63</f>
        <v>18450</v>
      </c>
      <c r="I418" s="4738">
        <f>'Tab. 6H - Kultura fiz. i turyst'!H63</f>
        <v>1215000</v>
      </c>
      <c r="J418" s="4738">
        <f>'Tab. 6H - Kultura fiz. i turyst'!I63</f>
        <v>0</v>
      </c>
      <c r="K418" s="4738">
        <f>'Tab. 6H - Kultura fiz. i turyst'!J63</f>
        <v>0</v>
      </c>
      <c r="L418" s="4738">
        <f>'Tab. 6H - Kultura fiz. i turyst'!K63</f>
        <v>0</v>
      </c>
      <c r="M418" s="4738">
        <f>'Tab. 6H - Kultura fiz. i turyst'!L63</f>
        <v>0</v>
      </c>
      <c r="N418" s="4738"/>
      <c r="O418" s="4738"/>
      <c r="P418" s="4738"/>
      <c r="Q418" s="4738"/>
      <c r="R418" s="4739"/>
      <c r="S418" s="4739"/>
      <c r="T418" s="4739"/>
      <c r="U418" s="4739"/>
      <c r="V418" s="4739"/>
    </row>
    <row r="419" spans="1:22" ht="13.5" customHeight="1" thickBot="1">
      <c r="A419" s="4759"/>
      <c r="B419" s="4740" t="s">
        <v>197</v>
      </c>
      <c r="C419" s="4754">
        <f>E419-E420</f>
        <v>0</v>
      </c>
      <c r="D419" s="4742"/>
      <c r="E419" s="4743">
        <f>+F419+G419+H419+I419+J419+K419+L419+M419</f>
        <v>6989550</v>
      </c>
      <c r="F419" s="4744">
        <f>'Tab. 6H - Kultura fiz. i turyst'!E67</f>
        <v>0</v>
      </c>
      <c r="G419" s="4744">
        <f>'Tab. 6H - Kultura fiz. i turyst'!F67</f>
        <v>0</v>
      </c>
      <c r="H419" s="4744">
        <f>'Tab. 6H - Kultura fiz. i turyst'!G67</f>
        <v>104550</v>
      </c>
      <c r="I419" s="4744">
        <f>'Tab. 6H - Kultura fiz. i turyst'!H67</f>
        <v>6885000</v>
      </c>
      <c r="J419" s="4744">
        <f>'Tab. 6H - Kultura fiz. i turyst'!I67</f>
        <v>0</v>
      </c>
      <c r="K419" s="4744">
        <f>'Tab. 6H - Kultura fiz. i turyst'!J67</f>
        <v>0</v>
      </c>
      <c r="L419" s="4744">
        <f>'Tab. 6H - Kultura fiz. i turyst'!K67</f>
        <v>0</v>
      </c>
      <c r="M419" s="4744">
        <f>'Tab. 6H - Kultura fiz. i turyst'!L67</f>
        <v>0</v>
      </c>
      <c r="N419" s="4744"/>
      <c r="O419" s="4744"/>
      <c r="P419" s="4744"/>
      <c r="Q419" s="4744"/>
      <c r="R419" s="4745"/>
      <c r="S419" s="4746"/>
      <c r="T419" s="4746"/>
      <c r="U419" s="4746"/>
      <c r="V419" s="4746"/>
    </row>
    <row r="420" spans="1:22" ht="15.75" customHeight="1" thickBot="1">
      <c r="A420" s="4763"/>
      <c r="B420" s="4748" t="s">
        <v>317</v>
      </c>
      <c r="C420" s="4749"/>
      <c r="D420" s="4750"/>
      <c r="E420" s="4751">
        <f>F420+G420+H420+I420+J420+K420+L420+M420</f>
        <v>6989550</v>
      </c>
      <c r="F420" s="4752">
        <f>'Tab. 6H - Kultura fiz. i turyst'!E71</f>
        <v>0</v>
      </c>
      <c r="G420" s="4752">
        <f>'Tab. 6H - Kultura fiz. i turyst'!F71</f>
        <v>0</v>
      </c>
      <c r="H420" s="4752">
        <f>'Tab. 6H - Kultura fiz. i turyst'!G71</f>
        <v>0</v>
      </c>
      <c r="I420" s="4752">
        <f>'Tab. 6H - Kultura fiz. i turyst'!H71</f>
        <v>6989550</v>
      </c>
      <c r="J420" s="4752">
        <f>'Tab. 6H - Kultura fiz. i turyst'!I71</f>
        <v>0</v>
      </c>
      <c r="K420" s="4752">
        <f>'Tab. 6H - Kultura fiz. i turyst'!J71</f>
        <v>0</v>
      </c>
      <c r="L420" s="4752">
        <f>'Tab. 6H - Kultura fiz. i turyst'!K71</f>
        <v>0</v>
      </c>
      <c r="M420" s="4752">
        <f>'Tab. 6H - Kultura fiz. i turyst'!L71</f>
        <v>0</v>
      </c>
      <c r="N420" s="4752"/>
      <c r="O420" s="4752"/>
      <c r="P420" s="4752"/>
      <c r="Q420" s="4752"/>
      <c r="R420" s="4753"/>
      <c r="S420" s="4753"/>
      <c r="T420" s="4753"/>
      <c r="U420" s="4753"/>
      <c r="V420" s="4753"/>
    </row>
    <row r="421" spans="1:22" ht="14.25" hidden="1">
      <c r="A421" s="4922">
        <v>2</v>
      </c>
      <c r="B421" s="4923"/>
      <c r="C421" s="4719" t="s">
        <v>318</v>
      </c>
      <c r="D421" s="4720" t="e">
        <f>E424/E422%</f>
        <v>#DIV/0!</v>
      </c>
      <c r="E421" s="4721"/>
      <c r="F421" s="4722"/>
      <c r="G421" s="4723"/>
      <c r="H421" s="4722"/>
      <c r="I421" s="4722"/>
      <c r="J421" s="4722"/>
      <c r="K421" s="4722"/>
      <c r="L421" s="4722"/>
      <c r="M421" s="4722"/>
      <c r="N421" s="4722"/>
      <c r="O421" s="4722"/>
      <c r="P421" s="4722"/>
      <c r="Q421" s="4722"/>
      <c r="R421" s="4724"/>
      <c r="S421" s="4725"/>
      <c r="T421" s="4725"/>
      <c r="U421" s="4725"/>
      <c r="V421" s="4725"/>
    </row>
    <row r="422" spans="1:22" ht="14.25" hidden="1" customHeight="1">
      <c r="A422" s="4924"/>
      <c r="B422" s="4727" t="s">
        <v>195</v>
      </c>
      <c r="C422" s="4728"/>
      <c r="D422" s="4729"/>
      <c r="E422" s="4730">
        <f>+F422+G422+H422+I422+J422+K422+L422+M422</f>
        <v>0</v>
      </c>
      <c r="F422" s="4731"/>
      <c r="G422" s="4731"/>
      <c r="H422" s="4731"/>
      <c r="I422" s="4731"/>
      <c r="J422" s="4731"/>
      <c r="K422" s="4731"/>
      <c r="L422" s="4731"/>
      <c r="M422" s="4731"/>
      <c r="N422" s="4731"/>
      <c r="O422" s="4731"/>
      <c r="P422" s="4731"/>
      <c r="Q422" s="4731"/>
      <c r="R422" s="4732"/>
      <c r="S422" s="4733"/>
      <c r="T422" s="4733"/>
      <c r="U422" s="4733"/>
      <c r="V422" s="4733"/>
    </row>
    <row r="423" spans="1:22" ht="13.5" hidden="1" customHeight="1">
      <c r="A423" s="4924"/>
      <c r="B423" s="4734" t="s">
        <v>320</v>
      </c>
      <c r="C423" s="4735"/>
      <c r="D423" s="4736"/>
      <c r="E423" s="4737">
        <f>+F423+G423+H423+I423+J423+K423+L423+M423</f>
        <v>0</v>
      </c>
      <c r="F423" s="4738"/>
      <c r="G423" s="4738"/>
      <c r="H423" s="4738"/>
      <c r="I423" s="4738"/>
      <c r="J423" s="4738"/>
      <c r="K423" s="4738"/>
      <c r="L423" s="4738"/>
      <c r="M423" s="4738"/>
      <c r="N423" s="4738"/>
      <c r="O423" s="4738"/>
      <c r="P423" s="4738"/>
      <c r="Q423" s="4738"/>
      <c r="R423" s="4739"/>
      <c r="S423" s="4739"/>
      <c r="T423" s="4739"/>
      <c r="U423" s="4739"/>
      <c r="V423" s="4739"/>
    </row>
    <row r="424" spans="1:22" ht="13.5" hidden="1" customHeight="1" thickBot="1">
      <c r="A424" s="4924"/>
      <c r="B424" s="4740" t="s">
        <v>197</v>
      </c>
      <c r="C424" s="4754">
        <f>E424-E425</f>
        <v>0</v>
      </c>
      <c r="D424" s="4742"/>
      <c r="E424" s="4743">
        <f>+F424+G424+H424+I424+J424+K424+L424+M424</f>
        <v>0</v>
      </c>
      <c r="F424" s="4744"/>
      <c r="G424" s="4744"/>
      <c r="H424" s="4744"/>
      <c r="I424" s="4744"/>
      <c r="J424" s="4744"/>
      <c r="K424" s="4744"/>
      <c r="L424" s="4744"/>
      <c r="M424" s="4744"/>
      <c r="N424" s="4744"/>
      <c r="O424" s="4744"/>
      <c r="P424" s="4744"/>
      <c r="Q424" s="4744"/>
      <c r="R424" s="4745"/>
      <c r="S424" s="4746"/>
      <c r="T424" s="4746"/>
      <c r="U424" s="4746"/>
      <c r="V424" s="4746"/>
    </row>
    <row r="425" spans="1:22" ht="13.5" hidden="1" customHeight="1" thickBot="1">
      <c r="A425" s="4925"/>
      <c r="B425" s="4748" t="s">
        <v>317</v>
      </c>
      <c r="C425" s="4749"/>
      <c r="D425" s="4750"/>
      <c r="E425" s="4751">
        <f>F425+G425+H425+I425+J425+K425+L425+M425</f>
        <v>0</v>
      </c>
      <c r="F425" s="4752"/>
      <c r="G425" s="4752"/>
      <c r="H425" s="4752"/>
      <c r="I425" s="4752"/>
      <c r="J425" s="4752"/>
      <c r="K425" s="4752"/>
      <c r="L425" s="4752"/>
      <c r="M425" s="4752"/>
      <c r="N425" s="4752"/>
      <c r="O425" s="4752"/>
      <c r="P425" s="4752"/>
      <c r="Q425" s="4752"/>
      <c r="R425" s="4753"/>
      <c r="S425" s="4753"/>
      <c r="T425" s="4753"/>
      <c r="U425" s="4753"/>
      <c r="V425" s="4753"/>
    </row>
    <row r="426" spans="1:22" ht="27" customHeight="1">
      <c r="A426" s="4717" t="s">
        <v>56</v>
      </c>
      <c r="B426" s="4718" t="str">
        <f>'Tab. 6A -Drogi'!B312</f>
        <v>Dokumentacje techniczne na drogowe zadania inwestycyjne w ramach Osi V RPO (2017-2020)</v>
      </c>
      <c r="C426" s="4719" t="s">
        <v>318</v>
      </c>
      <c r="D426" s="4962">
        <f>E429/E427%</f>
        <v>3.2012312337930204</v>
      </c>
      <c r="E426" s="4721"/>
      <c r="F426" s="4722"/>
      <c r="G426" s="4723"/>
      <c r="H426" s="4722"/>
      <c r="I426" s="4722"/>
      <c r="J426" s="4722"/>
      <c r="K426" s="4722"/>
      <c r="L426" s="4722"/>
      <c r="M426" s="4722"/>
      <c r="N426" s="4722"/>
      <c r="O426" s="4722"/>
      <c r="P426" s="4722"/>
      <c r="Q426" s="4722"/>
      <c r="R426" s="4724"/>
      <c r="S426" s="4725"/>
      <c r="T426" s="4725"/>
      <c r="U426" s="4725"/>
      <c r="V426" s="4725"/>
    </row>
    <row r="427" spans="1:22" ht="15.75" customHeight="1">
      <c r="A427" s="4726"/>
      <c r="B427" s="4727" t="s">
        <v>195</v>
      </c>
      <c r="C427" s="4728"/>
      <c r="D427" s="4729"/>
      <c r="E427" s="4730">
        <f>+F427+G427+H427+I427+J427+K427+L427+M427</f>
        <v>8557270</v>
      </c>
      <c r="F427" s="4731">
        <f>'Tab. 6A -Drogi'!E313</f>
        <v>0</v>
      </c>
      <c r="G427" s="4731">
        <f>'Tab. 6A -Drogi'!F313</f>
        <v>322280</v>
      </c>
      <c r="H427" s="4731">
        <f>'Tab. 6A -Drogi'!G313</f>
        <v>0</v>
      </c>
      <c r="I427" s="4731">
        <f>'Tab. 6A -Drogi'!H313</f>
        <v>7814990</v>
      </c>
      <c r="J427" s="4731">
        <f>'Tab. 6A -Drogi'!I313</f>
        <v>420000</v>
      </c>
      <c r="K427" s="4731"/>
      <c r="L427" s="4731"/>
      <c r="M427" s="4731"/>
      <c r="N427" s="4731"/>
      <c r="O427" s="4731"/>
      <c r="P427" s="4731"/>
      <c r="Q427" s="4731"/>
      <c r="R427" s="4732"/>
      <c r="S427" s="4733"/>
      <c r="T427" s="4733"/>
      <c r="U427" s="4733"/>
      <c r="V427" s="4733"/>
    </row>
    <row r="428" spans="1:22" ht="13.5" customHeight="1">
      <c r="A428" s="4726"/>
      <c r="B428" s="4734" t="s">
        <v>320</v>
      </c>
      <c r="C428" s="4735"/>
      <c r="D428" s="4736"/>
      <c r="E428" s="4737">
        <f>+F428+G428+H428+I428+J428+K428+L428+M428</f>
        <v>8283332</v>
      </c>
      <c r="F428" s="4738">
        <f>'Tab. 6A -Drogi'!E314</f>
        <v>0</v>
      </c>
      <c r="G428" s="4738">
        <f>'Tab. 6A -Drogi'!F314</f>
        <v>48342</v>
      </c>
      <c r="H428" s="4738">
        <f>'Tab. 6A -Drogi'!G314</f>
        <v>0</v>
      </c>
      <c r="I428" s="4738">
        <f>'Tab. 6A -Drogi'!H314</f>
        <v>7814990</v>
      </c>
      <c r="J428" s="4738">
        <f>'Tab. 6A -Drogi'!I314</f>
        <v>420000</v>
      </c>
      <c r="K428" s="4738"/>
      <c r="L428" s="4738"/>
      <c r="M428" s="4738"/>
      <c r="N428" s="4738"/>
      <c r="O428" s="4738"/>
      <c r="P428" s="4738"/>
      <c r="Q428" s="4738"/>
      <c r="R428" s="4739"/>
      <c r="S428" s="4739"/>
      <c r="T428" s="4739"/>
      <c r="U428" s="4739"/>
      <c r="V428" s="4739"/>
    </row>
    <row r="429" spans="1:22" ht="13.5" customHeight="1" thickBot="1">
      <c r="A429" s="4726"/>
      <c r="B429" s="4740" t="s">
        <v>197</v>
      </c>
      <c r="C429" s="4754">
        <f>E429-E430</f>
        <v>0</v>
      </c>
      <c r="D429" s="4742"/>
      <c r="E429" s="4743">
        <f>+F429+G429+H429+I429+J429+K429+L429+M429</f>
        <v>273938</v>
      </c>
      <c r="F429" s="4744">
        <f>'Tab. 6A -Drogi'!E318</f>
        <v>0</v>
      </c>
      <c r="G429" s="4744">
        <f>'Tab. 6A -Drogi'!F318</f>
        <v>273938</v>
      </c>
      <c r="H429" s="4744">
        <f>'Tab. 6A -Drogi'!G318</f>
        <v>0</v>
      </c>
      <c r="I429" s="4744">
        <f>'Tab. 6A -Drogi'!H318</f>
        <v>0</v>
      </c>
      <c r="J429" s="4744">
        <f>'Tab. 6A -Drogi'!I318</f>
        <v>0</v>
      </c>
      <c r="K429" s="4744"/>
      <c r="L429" s="4744"/>
      <c r="M429" s="4744"/>
      <c r="N429" s="4744"/>
      <c r="O429" s="4744"/>
      <c r="P429" s="4744"/>
      <c r="Q429" s="4744"/>
      <c r="R429" s="4745"/>
      <c r="S429" s="4746"/>
      <c r="T429" s="4746"/>
      <c r="U429" s="4746"/>
      <c r="V429" s="4746"/>
    </row>
    <row r="430" spans="1:22" ht="15.75" customHeight="1" thickBot="1">
      <c r="A430" s="4747"/>
      <c r="B430" s="4748" t="s">
        <v>317</v>
      </c>
      <c r="C430" s="4749"/>
      <c r="D430" s="4750"/>
      <c r="E430" s="4751">
        <f>F430+G430+H430+I430+J430+K430+L430+M430</f>
        <v>273938</v>
      </c>
      <c r="F430" s="4752">
        <f>'Tab. 6A -Drogi'!E322</f>
        <v>0</v>
      </c>
      <c r="G430" s="4752">
        <f>'Tab. 6A -Drogi'!F322</f>
        <v>0</v>
      </c>
      <c r="H430" s="4752">
        <f>'Tab. 6A -Drogi'!G322</f>
        <v>0</v>
      </c>
      <c r="I430" s="4752">
        <f>'Tab. 6A -Drogi'!H322</f>
        <v>273938</v>
      </c>
      <c r="J430" s="4752">
        <f>'Tab. 6A -Drogi'!I322</f>
        <v>0</v>
      </c>
      <c r="K430" s="4752"/>
      <c r="L430" s="4752"/>
      <c r="M430" s="4752"/>
      <c r="N430" s="4752"/>
      <c r="O430" s="4752"/>
      <c r="P430" s="4752"/>
      <c r="Q430" s="4752"/>
      <c r="R430" s="4753"/>
      <c r="S430" s="4753"/>
      <c r="T430" s="4753"/>
      <c r="U430" s="4753"/>
      <c r="V430" s="4753"/>
    </row>
    <row r="431" spans="1:22" s="4113" customFormat="1" ht="29.25" customHeight="1">
      <c r="A431" s="4963" t="s">
        <v>57</v>
      </c>
      <c r="B431" s="4964" t="str">
        <f>'Tab. 6A -Drogi'!B288</f>
        <v>Budowa obejścia Gryfic - połączenie dróg woj. nr 110 (ul. Niechorska) i nr 105 (ul. Piastów) w ramach Osi V RPO WZ (2019-2021)</v>
      </c>
      <c r="C431" s="4965" t="s">
        <v>318</v>
      </c>
      <c r="D431" s="4966">
        <f>E434/E432%</f>
        <v>85</v>
      </c>
      <c r="E431" s="4967"/>
      <c r="F431" s="4968"/>
      <c r="G431" s="4969"/>
      <c r="H431" s="4968"/>
      <c r="I431" s="4968"/>
      <c r="J431" s="4968"/>
      <c r="K431" s="4968"/>
      <c r="L431" s="4968"/>
      <c r="M431" s="4968"/>
      <c r="N431" s="4968"/>
      <c r="O431" s="4968"/>
      <c r="P431" s="4968"/>
      <c r="Q431" s="4968"/>
      <c r="R431" s="4970"/>
      <c r="S431" s="4971"/>
      <c r="T431" s="4971"/>
      <c r="U431" s="4971"/>
      <c r="V431" s="4971"/>
    </row>
    <row r="432" spans="1:22" s="4113" customFormat="1" ht="13.5" customHeight="1">
      <c r="A432" s="4972"/>
      <c r="B432" s="4973" t="s">
        <v>195</v>
      </c>
      <c r="C432" s="4974"/>
      <c r="D432" s="4975"/>
      <c r="E432" s="4976">
        <f>+F432+G432+H432+I432+J432+K432+L432+M432</f>
        <v>55000000</v>
      </c>
      <c r="F432" s="4977">
        <f>'Tab. 6A -Drogi'!E289</f>
        <v>0</v>
      </c>
      <c r="G432" s="4977">
        <f>'Tab. 6A -Drogi'!F289</f>
        <v>0</v>
      </c>
      <c r="H432" s="4977">
        <f>'Tab. 6A -Drogi'!G289</f>
        <v>0</v>
      </c>
      <c r="I432" s="4977">
        <f>'Tab. 6A -Drogi'!H289</f>
        <v>7000000</v>
      </c>
      <c r="J432" s="4977">
        <f>'Tab. 6A -Drogi'!I289</f>
        <v>31000000</v>
      </c>
      <c r="K432" s="4977">
        <f>'Tab. 6A -Drogi'!J289</f>
        <v>17000000</v>
      </c>
      <c r="L432" s="4977">
        <f>'Tab. 6A -Drogi'!K289</f>
        <v>0</v>
      </c>
      <c r="M432" s="4977">
        <f>'Tab. 6A -Drogi'!L289</f>
        <v>0</v>
      </c>
      <c r="N432" s="4977"/>
      <c r="O432" s="4977"/>
      <c r="P432" s="4977"/>
      <c r="Q432" s="4977"/>
      <c r="R432" s="4978"/>
      <c r="S432" s="4979"/>
      <c r="T432" s="4979"/>
      <c r="U432" s="4979"/>
      <c r="V432" s="4979"/>
    </row>
    <row r="433" spans="1:22" s="4113" customFormat="1" ht="16.5" customHeight="1">
      <c r="A433" s="4972"/>
      <c r="B433" s="4980" t="s">
        <v>321</v>
      </c>
      <c r="C433" s="4981"/>
      <c r="D433" s="4982"/>
      <c r="E433" s="4983">
        <f>+F433+G433+H433+I433+J433+K433+L433+M433</f>
        <v>8250000</v>
      </c>
      <c r="F433" s="4984">
        <f>'Tab. 6A -Drogi'!E290</f>
        <v>0</v>
      </c>
      <c r="G433" s="4984">
        <f>'Tab. 6A -Drogi'!F290</f>
        <v>0</v>
      </c>
      <c r="H433" s="4984">
        <f>'Tab. 6A -Drogi'!G290</f>
        <v>0</v>
      </c>
      <c r="I433" s="4984">
        <f>'Tab. 6A -Drogi'!H290</f>
        <v>1050000</v>
      </c>
      <c r="J433" s="4984">
        <f>'Tab. 6A -Drogi'!I290</f>
        <v>4650000</v>
      </c>
      <c r="K433" s="4984">
        <f>'Tab. 6A -Drogi'!J290</f>
        <v>2550000</v>
      </c>
      <c r="L433" s="4984">
        <f>'Tab. 6A -Drogi'!K290</f>
        <v>0</v>
      </c>
      <c r="M433" s="4984">
        <f>'Tab. 6A -Drogi'!L290</f>
        <v>0</v>
      </c>
      <c r="N433" s="4984"/>
      <c r="O433" s="4984"/>
      <c r="P433" s="4984"/>
      <c r="Q433" s="4984"/>
      <c r="R433" s="4985"/>
      <c r="S433" s="4985"/>
      <c r="T433" s="4985"/>
      <c r="U433" s="4985"/>
      <c r="V433" s="4985"/>
    </row>
    <row r="434" spans="1:22" s="4113" customFormat="1" ht="13.5" customHeight="1" thickBot="1">
      <c r="A434" s="4972"/>
      <c r="B434" s="4986" t="s">
        <v>197</v>
      </c>
      <c r="C434" s="4987">
        <f>E434-E435</f>
        <v>0</v>
      </c>
      <c r="D434" s="4988"/>
      <c r="E434" s="4989">
        <f>+F434+G434+H434+I434+J434+K434+L434+M434</f>
        <v>46750000</v>
      </c>
      <c r="F434" s="4990">
        <f>'Tab. 6A -Drogi'!E294</f>
        <v>0</v>
      </c>
      <c r="G434" s="4990">
        <f>'Tab. 6A -Drogi'!F294</f>
        <v>0</v>
      </c>
      <c r="H434" s="4990">
        <f>'Tab. 6A -Drogi'!G294</f>
        <v>0</v>
      </c>
      <c r="I434" s="4990">
        <f>'Tab. 6A -Drogi'!H294</f>
        <v>5950000</v>
      </c>
      <c r="J434" s="4990">
        <f>'Tab. 6A -Drogi'!I294</f>
        <v>26350000</v>
      </c>
      <c r="K434" s="4990">
        <f>'Tab. 6A -Drogi'!J294</f>
        <v>14450000</v>
      </c>
      <c r="L434" s="4990">
        <f>'Tab. 6A -Drogi'!K294</f>
        <v>0</v>
      </c>
      <c r="M434" s="4990">
        <f>'Tab. 6A -Drogi'!L294</f>
        <v>0</v>
      </c>
      <c r="N434" s="4990"/>
      <c r="O434" s="4990"/>
      <c r="P434" s="4990"/>
      <c r="Q434" s="4990"/>
      <c r="R434" s="4991"/>
      <c r="S434" s="4992"/>
      <c r="T434" s="4992"/>
      <c r="U434" s="4992"/>
      <c r="V434" s="4992"/>
    </row>
    <row r="435" spans="1:22" s="4113" customFormat="1" ht="15" customHeight="1" thickBot="1">
      <c r="A435" s="4993"/>
      <c r="B435" s="4994" t="s">
        <v>317</v>
      </c>
      <c r="C435" s="4995"/>
      <c r="D435" s="4996"/>
      <c r="E435" s="4997">
        <f>F435+G435+H435+I435+J435+K435+L435+M435</f>
        <v>46750000</v>
      </c>
      <c r="F435" s="4998">
        <f>'Tab. 6A -Drogi'!E298</f>
        <v>0</v>
      </c>
      <c r="G435" s="4998">
        <f>'Tab. 6A -Drogi'!F298</f>
        <v>0</v>
      </c>
      <c r="H435" s="4998">
        <f>'Tab. 6A -Drogi'!G298</f>
        <v>0</v>
      </c>
      <c r="I435" s="4998">
        <f>'Tab. 6A -Drogi'!H298</f>
        <v>2950000</v>
      </c>
      <c r="J435" s="4998">
        <f>'Tab. 6A -Drogi'!I298</f>
        <v>16350000</v>
      </c>
      <c r="K435" s="4998">
        <f>'Tab. 6A -Drogi'!J298</f>
        <v>27450000</v>
      </c>
      <c r="L435" s="4998">
        <f>'Tab. 6A -Drogi'!K298</f>
        <v>0</v>
      </c>
      <c r="M435" s="4998">
        <f>'Tab. 6A -Drogi'!L298</f>
        <v>0</v>
      </c>
      <c r="N435" s="4998"/>
      <c r="O435" s="4998"/>
      <c r="P435" s="4998"/>
      <c r="Q435" s="4998"/>
      <c r="R435" s="4999"/>
      <c r="S435" s="4999"/>
      <c r="T435" s="4999"/>
      <c r="U435" s="4999"/>
      <c r="V435" s="4999"/>
    </row>
    <row r="436" spans="1:22" ht="27.75" customHeight="1">
      <c r="A436" s="4963" t="s">
        <v>58</v>
      </c>
      <c r="B436" s="4964" t="str">
        <f>'Tab. 6A -Drogi'!B300</f>
        <v>Budowa obejścia m. Trzebiatów - połączenie drogi woj. nr 103 i nr 102 w ramach Osi V RPO WZ (2019-2020)</v>
      </c>
      <c r="C436" s="4965" t="s">
        <v>318</v>
      </c>
      <c r="D436" s="5000">
        <f>E439/E437%</f>
        <v>85</v>
      </c>
      <c r="E436" s="4967"/>
      <c r="F436" s="4968"/>
      <c r="G436" s="4969"/>
      <c r="H436" s="4968"/>
      <c r="I436" s="4968"/>
      <c r="J436" s="4968"/>
      <c r="K436" s="4968"/>
      <c r="L436" s="4968"/>
      <c r="M436" s="4968"/>
      <c r="N436" s="4722"/>
      <c r="O436" s="4722"/>
      <c r="P436" s="4722"/>
      <c r="Q436" s="4722"/>
      <c r="R436" s="4724"/>
      <c r="S436" s="4725"/>
      <c r="T436" s="4725"/>
      <c r="U436" s="4725"/>
      <c r="V436" s="4725"/>
    </row>
    <row r="437" spans="1:22" ht="13.5" customHeight="1">
      <c r="A437" s="4972"/>
      <c r="B437" s="4973" t="s">
        <v>195</v>
      </c>
      <c r="C437" s="4974"/>
      <c r="D437" s="4975"/>
      <c r="E437" s="4976">
        <f>+F437+G437+H437+I437+J437+K437+L437+M437</f>
        <v>25000000</v>
      </c>
      <c r="F437" s="4977">
        <f>'Tab. 6A -Drogi'!E301</f>
        <v>0</v>
      </c>
      <c r="G437" s="4977">
        <f>'Tab. 6A -Drogi'!F301</f>
        <v>0</v>
      </c>
      <c r="H437" s="4977">
        <f>'Tab. 6A -Drogi'!G301</f>
        <v>0</v>
      </c>
      <c r="I437" s="4977">
        <f>'Tab. 6A -Drogi'!H301</f>
        <v>6000000</v>
      </c>
      <c r="J437" s="4977">
        <f>'Tab. 6A -Drogi'!I301</f>
        <v>19000000</v>
      </c>
      <c r="K437" s="4977">
        <f>'Tab. 6A -Drogi'!J301</f>
        <v>0</v>
      </c>
      <c r="L437" s="4977">
        <f>'Tab. 6A -Drogi'!K301</f>
        <v>0</v>
      </c>
      <c r="M437" s="4977">
        <f>'Tab. 6A -Drogi'!L301</f>
        <v>0</v>
      </c>
      <c r="N437" s="4731"/>
      <c r="O437" s="4731"/>
      <c r="P437" s="4731"/>
      <c r="Q437" s="4731"/>
      <c r="R437" s="4732"/>
      <c r="S437" s="4733"/>
      <c r="T437" s="4733"/>
      <c r="U437" s="4733"/>
      <c r="V437" s="4733"/>
    </row>
    <row r="438" spans="1:22" ht="13.5" customHeight="1">
      <c r="A438" s="4972"/>
      <c r="B438" s="4980" t="s">
        <v>321</v>
      </c>
      <c r="C438" s="4981"/>
      <c r="D438" s="4982"/>
      <c r="E438" s="4983">
        <f>+F438+G438+H438+I438+J438+K438+L438+M438</f>
        <v>3750000</v>
      </c>
      <c r="F438" s="4984">
        <f>'Tab. 6A -Drogi'!E302</f>
        <v>0</v>
      </c>
      <c r="G438" s="4984">
        <f>'Tab. 6A -Drogi'!F302</f>
        <v>0</v>
      </c>
      <c r="H438" s="4984">
        <f>'Tab. 6A -Drogi'!G302</f>
        <v>0</v>
      </c>
      <c r="I438" s="4984">
        <f>'Tab. 6A -Drogi'!H302</f>
        <v>900000</v>
      </c>
      <c r="J438" s="4984">
        <f>'Tab. 6A -Drogi'!I302</f>
        <v>2850000</v>
      </c>
      <c r="K438" s="4984">
        <f>'Tab. 6A -Drogi'!J302</f>
        <v>0</v>
      </c>
      <c r="L438" s="4984">
        <f>'Tab. 6A -Drogi'!K302</f>
        <v>0</v>
      </c>
      <c r="M438" s="4984">
        <f>'Tab. 6A -Drogi'!L302</f>
        <v>0</v>
      </c>
      <c r="N438" s="4738"/>
      <c r="O438" s="4738"/>
      <c r="P438" s="4738"/>
      <c r="Q438" s="4738"/>
      <c r="R438" s="4739"/>
      <c r="S438" s="4739"/>
      <c r="T438" s="4739"/>
      <c r="U438" s="4739"/>
      <c r="V438" s="4739"/>
    </row>
    <row r="439" spans="1:22" ht="13.5" customHeight="1" thickBot="1">
      <c r="A439" s="4972"/>
      <c r="B439" s="4986" t="s">
        <v>197</v>
      </c>
      <c r="C439" s="4987">
        <f>E439-E440</f>
        <v>0</v>
      </c>
      <c r="D439" s="4988"/>
      <c r="E439" s="4989">
        <f>+F439+G439+H439+I439+J439+K439+L439+M439</f>
        <v>21250000</v>
      </c>
      <c r="F439" s="4990">
        <f>'Tab. 6A -Drogi'!E306</f>
        <v>0</v>
      </c>
      <c r="G439" s="4990">
        <f>'Tab. 6A -Drogi'!F306</f>
        <v>0</v>
      </c>
      <c r="H439" s="4990">
        <f>'Tab. 6A -Drogi'!G306</f>
        <v>0</v>
      </c>
      <c r="I439" s="4990">
        <f>'Tab. 6A -Drogi'!H306</f>
        <v>5100000</v>
      </c>
      <c r="J439" s="4990">
        <f>'Tab. 6A -Drogi'!I306</f>
        <v>16150000</v>
      </c>
      <c r="K439" s="4990">
        <f>'Tab. 6A -Drogi'!J306</f>
        <v>0</v>
      </c>
      <c r="L439" s="4990">
        <f>'Tab. 6A -Drogi'!K306</f>
        <v>0</v>
      </c>
      <c r="M439" s="4990">
        <f>'Tab. 6A -Drogi'!L306</f>
        <v>0</v>
      </c>
      <c r="N439" s="4744"/>
      <c r="O439" s="4744"/>
      <c r="P439" s="4744"/>
      <c r="Q439" s="4744"/>
      <c r="R439" s="4745"/>
      <c r="S439" s="4746"/>
      <c r="T439" s="4746"/>
      <c r="U439" s="4746"/>
      <c r="V439" s="4746"/>
    </row>
    <row r="440" spans="1:22" ht="15" customHeight="1" thickBot="1">
      <c r="A440" s="4993"/>
      <c r="B440" s="4994" t="s">
        <v>317</v>
      </c>
      <c r="C440" s="4995"/>
      <c r="D440" s="4996"/>
      <c r="E440" s="4997">
        <f>F440+G440+H440+I440+J440+K440+L440+M440</f>
        <v>21250000</v>
      </c>
      <c r="F440" s="4998">
        <f>'Tab. 6A -Drogi'!E310</f>
        <v>0</v>
      </c>
      <c r="G440" s="4998">
        <f>'Tab. 6A -Drogi'!F310</f>
        <v>0</v>
      </c>
      <c r="H440" s="4998">
        <f>'Tab. 6A -Drogi'!G310</f>
        <v>0</v>
      </c>
      <c r="I440" s="4998">
        <f>'Tab. 6A -Drogi'!H310</f>
        <v>3500000</v>
      </c>
      <c r="J440" s="4998">
        <f>'Tab. 6A -Drogi'!I310</f>
        <v>11250000</v>
      </c>
      <c r="K440" s="4998">
        <f>'Tab. 6A -Drogi'!J310</f>
        <v>6500000</v>
      </c>
      <c r="L440" s="4998">
        <f>'Tab. 6A -Drogi'!K310</f>
        <v>0</v>
      </c>
      <c r="M440" s="4998">
        <f>'Tab. 6A -Drogi'!L310</f>
        <v>0</v>
      </c>
      <c r="N440" s="4752"/>
      <c r="O440" s="4752"/>
      <c r="P440" s="4752"/>
      <c r="Q440" s="4752"/>
      <c r="R440" s="4753"/>
      <c r="S440" s="4753"/>
      <c r="T440" s="4753"/>
      <c r="U440" s="4753"/>
      <c r="V440" s="4753"/>
    </row>
    <row r="441" spans="1:22" ht="27.75" customHeight="1">
      <c r="A441" s="4717" t="s">
        <v>59</v>
      </c>
      <c r="B441" s="4758" t="str">
        <f>'Tab. 6A -Drogi'!B192</f>
        <v>Rozbudowa drogi wojewódzkiej nr 111 na odcinku Recław - Stepnica w ramach Osi V RPO WZ (2018-2021)</v>
      </c>
      <c r="C441" s="4719" t="s">
        <v>318</v>
      </c>
      <c r="D441" s="4720">
        <f>E444/E442%</f>
        <v>84.884090909090915</v>
      </c>
      <c r="E441" s="4721"/>
      <c r="F441" s="4722"/>
      <c r="G441" s="4723"/>
      <c r="H441" s="4722"/>
      <c r="I441" s="4722"/>
      <c r="J441" s="4722"/>
      <c r="K441" s="4722"/>
      <c r="L441" s="4722"/>
      <c r="M441" s="4722"/>
      <c r="N441" s="4722"/>
      <c r="O441" s="4722"/>
      <c r="P441" s="4722"/>
      <c r="Q441" s="4722"/>
      <c r="R441" s="4724"/>
      <c r="S441" s="4725"/>
      <c r="T441" s="4725"/>
      <c r="U441" s="4725"/>
      <c r="V441" s="4725"/>
    </row>
    <row r="442" spans="1:22" ht="15" customHeight="1">
      <c r="A442" s="4726"/>
      <c r="B442" s="4727" t="s">
        <v>195</v>
      </c>
      <c r="C442" s="4728"/>
      <c r="D442" s="4729"/>
      <c r="E442" s="4730">
        <f>+F442+G442+H442+I442+J442+K442+L442+M442</f>
        <v>110000000</v>
      </c>
      <c r="F442" s="4731">
        <f>'Tab. 6A -Drogi'!E193</f>
        <v>0</v>
      </c>
      <c r="G442" s="4731">
        <f>'Tab. 6A -Drogi'!F193</f>
        <v>0</v>
      </c>
      <c r="H442" s="4731">
        <f>'Tab. 6A -Drogi'!G193</f>
        <v>0</v>
      </c>
      <c r="I442" s="4731">
        <f>'Tab. 6A -Drogi'!H193</f>
        <v>39650000</v>
      </c>
      <c r="J442" s="4731">
        <f>'Tab. 6A -Drogi'!I193</f>
        <v>40350000</v>
      </c>
      <c r="K442" s="4731">
        <f>'Tab. 6A -Drogi'!J193</f>
        <v>30000000</v>
      </c>
      <c r="L442" s="4731">
        <f>'Tab. 6A -Drogi'!K193</f>
        <v>0</v>
      </c>
      <c r="M442" s="4731">
        <f>'Tab. 6A -Drogi'!L193</f>
        <v>0</v>
      </c>
      <c r="N442" s="4731"/>
      <c r="O442" s="4731"/>
      <c r="P442" s="4731"/>
      <c r="Q442" s="4731"/>
      <c r="R442" s="4732"/>
      <c r="S442" s="4733"/>
      <c r="T442" s="4733"/>
      <c r="U442" s="4733"/>
      <c r="V442" s="4733"/>
    </row>
    <row r="443" spans="1:22" ht="15" customHeight="1">
      <c r="A443" s="4726"/>
      <c r="B443" s="4734" t="s">
        <v>321</v>
      </c>
      <c r="C443" s="4735"/>
      <c r="D443" s="4736"/>
      <c r="E443" s="4737">
        <f>+F443+G443+H443+I443+J443+K443+L443+M443</f>
        <v>16627500</v>
      </c>
      <c r="F443" s="4738">
        <f>'Tab. 6A -Drogi'!E194</f>
        <v>0</v>
      </c>
      <c r="G443" s="4738">
        <f>'Tab. 6A -Drogi'!F194</f>
        <v>0</v>
      </c>
      <c r="H443" s="4738">
        <f>'Tab. 6A -Drogi'!G194</f>
        <v>0</v>
      </c>
      <c r="I443" s="4738">
        <f>'Tab. 6A -Drogi'!H194</f>
        <v>6075000</v>
      </c>
      <c r="J443" s="4738">
        <f>'Tab. 6A -Drogi'!I194</f>
        <v>6052500</v>
      </c>
      <c r="K443" s="4738">
        <f>'Tab. 6A -Drogi'!J194</f>
        <v>4500000</v>
      </c>
      <c r="L443" s="4738">
        <f>'Tab. 6A -Drogi'!K194</f>
        <v>0</v>
      </c>
      <c r="M443" s="4738">
        <f>'Tab. 6A -Drogi'!L194</f>
        <v>0</v>
      </c>
      <c r="N443" s="4738"/>
      <c r="O443" s="4738"/>
      <c r="P443" s="4738"/>
      <c r="Q443" s="4738"/>
      <c r="R443" s="4739"/>
      <c r="S443" s="4739"/>
      <c r="T443" s="4739"/>
      <c r="U443" s="4739"/>
      <c r="V443" s="4739"/>
    </row>
    <row r="444" spans="1:22" ht="15" customHeight="1" thickBot="1">
      <c r="A444" s="4726"/>
      <c r="B444" s="4740" t="s">
        <v>197</v>
      </c>
      <c r="C444" s="4754">
        <f>E444-E445</f>
        <v>0</v>
      </c>
      <c r="D444" s="4742"/>
      <c r="E444" s="4743">
        <f>+F444+G444+H444+I444+J444+K444+L444+M444</f>
        <v>93372500</v>
      </c>
      <c r="F444" s="4744">
        <f>'Tab. 6A -Drogi'!E198</f>
        <v>0</v>
      </c>
      <c r="G444" s="4744">
        <f>'Tab. 6A -Drogi'!F198</f>
        <v>0</v>
      </c>
      <c r="H444" s="4744">
        <f>'Tab. 6A -Drogi'!G198</f>
        <v>0</v>
      </c>
      <c r="I444" s="4744">
        <f>'Tab. 6A -Drogi'!H198</f>
        <v>33575000</v>
      </c>
      <c r="J444" s="4744">
        <f>'Tab. 6A -Drogi'!I198</f>
        <v>34297500</v>
      </c>
      <c r="K444" s="4744">
        <f>'Tab. 6A -Drogi'!J198</f>
        <v>25500000</v>
      </c>
      <c r="L444" s="4744">
        <f>'Tab. 6A -Drogi'!K198</f>
        <v>0</v>
      </c>
      <c r="M444" s="4744">
        <f>'Tab. 6A -Drogi'!L198</f>
        <v>0</v>
      </c>
      <c r="N444" s="4744"/>
      <c r="O444" s="4744"/>
      <c r="P444" s="4744"/>
      <c r="Q444" s="4744"/>
      <c r="R444" s="4745"/>
      <c r="S444" s="4746"/>
      <c r="T444" s="4746"/>
      <c r="U444" s="4746"/>
      <c r="V444" s="4746"/>
    </row>
    <row r="445" spans="1:22" ht="15" customHeight="1" thickBot="1">
      <c r="A445" s="4747"/>
      <c r="B445" s="4748" t="s">
        <v>317</v>
      </c>
      <c r="C445" s="4749"/>
      <c r="D445" s="4750"/>
      <c r="E445" s="4751">
        <f>F445+G445+H445+I445+J445+K445+L445+M445</f>
        <v>93372500</v>
      </c>
      <c r="F445" s="4752">
        <f>'Tab. 6A -Drogi'!E203</f>
        <v>0</v>
      </c>
      <c r="G445" s="4752">
        <f>'Tab. 6A -Drogi'!F203</f>
        <v>0</v>
      </c>
      <c r="H445" s="4752">
        <f>'Tab. 6A -Drogi'!G203</f>
        <v>0</v>
      </c>
      <c r="I445" s="4752">
        <f>'Tab. 6A -Drogi'!H203</f>
        <v>33575000</v>
      </c>
      <c r="J445" s="4752">
        <f>'Tab. 6A -Drogi'!I203</f>
        <v>34297500</v>
      </c>
      <c r="K445" s="4752">
        <f>'Tab. 6A -Drogi'!J203</f>
        <v>25500000</v>
      </c>
      <c r="L445" s="4752">
        <f>'Tab. 6A -Drogi'!K203</f>
        <v>0</v>
      </c>
      <c r="M445" s="4752">
        <f>'Tab. 6A -Drogi'!L203</f>
        <v>0</v>
      </c>
      <c r="N445" s="4752"/>
      <c r="O445" s="4752"/>
      <c r="P445" s="4752"/>
      <c r="Q445" s="4752"/>
      <c r="R445" s="4753"/>
      <c r="S445" s="4753"/>
      <c r="T445" s="4753"/>
      <c r="U445" s="4753"/>
      <c r="V445" s="4753"/>
    </row>
    <row r="446" spans="1:22" ht="25.5" hidden="1" customHeight="1">
      <c r="A446" s="4922">
        <v>7</v>
      </c>
      <c r="B446" s="4923"/>
      <c r="C446" s="4719" t="s">
        <v>318</v>
      </c>
      <c r="D446" s="4720" t="e">
        <f>E449/E447%</f>
        <v>#DIV/0!</v>
      </c>
      <c r="E446" s="4721"/>
      <c r="F446" s="4722"/>
      <c r="G446" s="4723"/>
      <c r="H446" s="4722"/>
      <c r="I446" s="4722"/>
      <c r="J446" s="4722"/>
      <c r="K446" s="4722"/>
      <c r="L446" s="4722"/>
      <c r="M446" s="4722"/>
      <c r="N446" s="4722"/>
      <c r="O446" s="4722"/>
      <c r="P446" s="4722"/>
      <c r="Q446" s="4722"/>
      <c r="R446" s="4724"/>
      <c r="S446" s="4725"/>
      <c r="T446" s="4725"/>
      <c r="U446" s="4725"/>
      <c r="V446" s="4725"/>
    </row>
    <row r="447" spans="1:22" ht="15" hidden="1" customHeight="1">
      <c r="A447" s="4924"/>
      <c r="B447" s="4727" t="s">
        <v>195</v>
      </c>
      <c r="C447" s="4728"/>
      <c r="D447" s="4729"/>
      <c r="E447" s="4730">
        <f>+F447+G447+H447+I447+J447+K447+L447+M447</f>
        <v>0</v>
      </c>
      <c r="F447" s="4731"/>
      <c r="G447" s="4731"/>
      <c r="H447" s="4731"/>
      <c r="I447" s="4731"/>
      <c r="J447" s="4731"/>
      <c r="K447" s="4731"/>
      <c r="L447" s="4731"/>
      <c r="M447" s="4731"/>
      <c r="N447" s="4731"/>
      <c r="O447" s="4731"/>
      <c r="P447" s="4731"/>
      <c r="Q447" s="4731"/>
      <c r="R447" s="4732"/>
      <c r="S447" s="4733"/>
      <c r="T447" s="4733"/>
      <c r="U447" s="4733"/>
      <c r="V447" s="4733"/>
    </row>
    <row r="448" spans="1:22" ht="15" hidden="1" customHeight="1">
      <c r="A448" s="4924"/>
      <c r="B448" s="4734" t="s">
        <v>321</v>
      </c>
      <c r="C448" s="4735"/>
      <c r="D448" s="4736"/>
      <c r="E448" s="4737">
        <f>+F448+G448+H448+I448+J448+K448+L448+M448</f>
        <v>0</v>
      </c>
      <c r="F448" s="4738"/>
      <c r="G448" s="4738"/>
      <c r="H448" s="4738"/>
      <c r="I448" s="4738"/>
      <c r="J448" s="4738"/>
      <c r="K448" s="4738"/>
      <c r="L448" s="4738"/>
      <c r="M448" s="4738"/>
      <c r="N448" s="4738"/>
      <c r="O448" s="4738"/>
      <c r="P448" s="4738"/>
      <c r="Q448" s="4738"/>
      <c r="R448" s="4739"/>
      <c r="S448" s="4739"/>
      <c r="T448" s="4739"/>
      <c r="U448" s="4739"/>
      <c r="V448" s="4739"/>
    </row>
    <row r="449" spans="1:22" ht="15" hidden="1" customHeight="1" thickBot="1">
      <c r="A449" s="4924"/>
      <c r="B449" s="4740" t="s">
        <v>197</v>
      </c>
      <c r="C449" s="4754">
        <f>E449-E450</f>
        <v>0</v>
      </c>
      <c r="D449" s="4742"/>
      <c r="E449" s="4743">
        <f>+F449+G449+H449+I449+J449+K449+L449+M449</f>
        <v>0</v>
      </c>
      <c r="F449" s="4744"/>
      <c r="G449" s="4744"/>
      <c r="H449" s="4744"/>
      <c r="I449" s="4744"/>
      <c r="J449" s="4744"/>
      <c r="K449" s="4744"/>
      <c r="L449" s="4744"/>
      <c r="M449" s="4744"/>
      <c r="N449" s="4744"/>
      <c r="O449" s="4744"/>
      <c r="P449" s="4744"/>
      <c r="Q449" s="4744"/>
      <c r="R449" s="4745"/>
      <c r="S449" s="4746"/>
      <c r="T449" s="4746"/>
      <c r="U449" s="4746"/>
      <c r="V449" s="4746"/>
    </row>
    <row r="450" spans="1:22" ht="15" hidden="1" customHeight="1" thickBot="1">
      <c r="A450" s="4925"/>
      <c r="B450" s="4748" t="s">
        <v>317</v>
      </c>
      <c r="C450" s="4749"/>
      <c r="D450" s="4750"/>
      <c r="E450" s="4751">
        <f>F450+G450+H450+I450+J450+K450+L450+M450</f>
        <v>0</v>
      </c>
      <c r="F450" s="4752"/>
      <c r="G450" s="4752"/>
      <c r="H450" s="4752"/>
      <c r="I450" s="4752"/>
      <c r="J450" s="4752"/>
      <c r="K450" s="4752"/>
      <c r="L450" s="4752"/>
      <c r="M450" s="4752"/>
      <c r="N450" s="4752"/>
      <c r="O450" s="4752"/>
      <c r="P450" s="4752"/>
      <c r="Q450" s="4752"/>
      <c r="R450" s="4753"/>
      <c r="S450" s="4753"/>
      <c r="T450" s="4753"/>
      <c r="U450" s="4753"/>
      <c r="V450" s="4753"/>
    </row>
    <row r="451" spans="1:22" ht="26.25" customHeight="1">
      <c r="A451" s="4717" t="s">
        <v>107</v>
      </c>
      <c r="B451" s="4718" t="str">
        <f>'Tab. 6A -Drogi'!B416</f>
        <v>Przebudowa i rozbudowa przejścia drogi woj. nr 122 przez m. Krzywin (etap II) w ramach PW INTERREG V A (2019-2020)</v>
      </c>
      <c r="C451" s="4719" t="s">
        <v>318</v>
      </c>
      <c r="D451" s="5001">
        <f>E454/E452%</f>
        <v>47.695434518323594</v>
      </c>
      <c r="E451" s="4721"/>
      <c r="F451" s="4722"/>
      <c r="G451" s="4723"/>
      <c r="H451" s="4722"/>
      <c r="I451" s="4722"/>
      <c r="J451" s="4722"/>
      <c r="K451" s="4722"/>
      <c r="L451" s="4722"/>
      <c r="M451" s="4722"/>
      <c r="N451" s="4722"/>
      <c r="O451" s="4722"/>
      <c r="P451" s="4722"/>
      <c r="Q451" s="4722"/>
      <c r="R451" s="4724"/>
      <c r="S451" s="4725"/>
      <c r="T451" s="4725"/>
      <c r="U451" s="4725"/>
      <c r="V451" s="4725"/>
    </row>
    <row r="452" spans="1:22" ht="15" customHeight="1">
      <c r="A452" s="4726"/>
      <c r="B452" s="4727" t="s">
        <v>195</v>
      </c>
      <c r="C452" s="4728"/>
      <c r="D452" s="4729"/>
      <c r="E452" s="4730">
        <f>+F452+G452+H452+I452+J452+K452+L452+M452</f>
        <v>11037981</v>
      </c>
      <c r="F452" s="4731">
        <f>'Tab. 6A -Drogi'!E417</f>
        <v>0</v>
      </c>
      <c r="G452" s="4731">
        <f>'Tab. 6A -Drogi'!F417</f>
        <v>0</v>
      </c>
      <c r="H452" s="4731">
        <f>'Tab. 6A -Drogi'!G417</f>
        <v>0</v>
      </c>
      <c r="I452" s="4731">
        <f>'Tab. 6A -Drogi'!H417</f>
        <v>6622789</v>
      </c>
      <c r="J452" s="4731">
        <f>'Tab. 6A -Drogi'!I417</f>
        <v>4415192</v>
      </c>
      <c r="K452" s="4731">
        <f>'Tab. 6A -Drogi'!J417</f>
        <v>0</v>
      </c>
      <c r="L452" s="4731">
        <f>'Tab. 6A -Drogi'!K417</f>
        <v>0</v>
      </c>
      <c r="M452" s="4731">
        <f>'Tab. 6A -Drogi'!L417</f>
        <v>0</v>
      </c>
      <c r="N452" s="4731"/>
      <c r="O452" s="4731"/>
      <c r="P452" s="4731"/>
      <c r="Q452" s="4731"/>
      <c r="R452" s="4732"/>
      <c r="S452" s="4733"/>
      <c r="T452" s="4733"/>
      <c r="U452" s="4733"/>
      <c r="V452" s="4733"/>
    </row>
    <row r="453" spans="1:22" ht="15" customHeight="1">
      <c r="A453" s="4726"/>
      <c r="B453" s="4734" t="s">
        <v>321</v>
      </c>
      <c r="C453" s="4735"/>
      <c r="D453" s="4736"/>
      <c r="E453" s="4737">
        <f>+F453+G453+H453+I453+J453+K453+L453+M453</f>
        <v>5773368</v>
      </c>
      <c r="F453" s="4738">
        <f>'Tab. 6A -Drogi'!E418</f>
        <v>0</v>
      </c>
      <c r="G453" s="4738">
        <f>'Tab. 6A -Drogi'!F418</f>
        <v>0</v>
      </c>
      <c r="H453" s="4738">
        <f>'Tab. 6A -Drogi'!G418</f>
        <v>0</v>
      </c>
      <c r="I453" s="4738">
        <f>'Tab. 6A -Drogi'!H418</f>
        <v>3311394</v>
      </c>
      <c r="J453" s="4738">
        <f>'Tab. 6A -Drogi'!I418</f>
        <v>2461974</v>
      </c>
      <c r="K453" s="4738">
        <f>'Tab. 6A -Drogi'!J418</f>
        <v>0</v>
      </c>
      <c r="L453" s="4738">
        <f>'Tab. 6A -Drogi'!K418</f>
        <v>0</v>
      </c>
      <c r="M453" s="4738">
        <f>'Tab. 6A -Drogi'!L418</f>
        <v>0</v>
      </c>
      <c r="N453" s="4738"/>
      <c r="O453" s="4738"/>
      <c r="P453" s="4738"/>
      <c r="Q453" s="4738"/>
      <c r="R453" s="4739"/>
      <c r="S453" s="4739"/>
      <c r="T453" s="4739"/>
      <c r="U453" s="4739"/>
      <c r="V453" s="4739"/>
    </row>
    <row r="454" spans="1:22" ht="15" customHeight="1" thickBot="1">
      <c r="A454" s="4726"/>
      <c r="B454" s="4740" t="s">
        <v>197</v>
      </c>
      <c r="C454" s="4754">
        <f>E454-E455</f>
        <v>0</v>
      </c>
      <c r="D454" s="4742"/>
      <c r="E454" s="4743">
        <f>+F454+G454+H454+I454+J454+K454+L454+M454</f>
        <v>5264613</v>
      </c>
      <c r="F454" s="4744">
        <f>'Tab. 6A -Drogi'!E420</f>
        <v>0</v>
      </c>
      <c r="G454" s="4744">
        <f>'Tab. 6A -Drogi'!F420</f>
        <v>0</v>
      </c>
      <c r="H454" s="4744">
        <f>'Tab. 6A -Drogi'!G420</f>
        <v>0</v>
      </c>
      <c r="I454" s="4744">
        <f>'Tab. 6A -Drogi'!H420</f>
        <v>3311395</v>
      </c>
      <c r="J454" s="4744">
        <f>'Tab. 6A -Drogi'!I420</f>
        <v>1953218</v>
      </c>
      <c r="K454" s="4744">
        <f>'Tab. 6A -Drogi'!J420</f>
        <v>0</v>
      </c>
      <c r="L454" s="4744">
        <f>'Tab. 6A -Drogi'!K420</f>
        <v>0</v>
      </c>
      <c r="M454" s="4744">
        <f>'Tab. 6A -Drogi'!L420</f>
        <v>0</v>
      </c>
      <c r="N454" s="4744"/>
      <c r="O454" s="4744"/>
      <c r="P454" s="4744"/>
      <c r="Q454" s="4744"/>
      <c r="R454" s="4745"/>
      <c r="S454" s="4746"/>
      <c r="T454" s="4746"/>
      <c r="U454" s="4746"/>
      <c r="V454" s="4746"/>
    </row>
    <row r="455" spans="1:22" ht="15" customHeight="1" thickBot="1">
      <c r="A455" s="4747"/>
      <c r="B455" s="4748" t="s">
        <v>317</v>
      </c>
      <c r="C455" s="4749"/>
      <c r="D455" s="4750"/>
      <c r="E455" s="4751">
        <f>F455+G455+H455+I455+J455+K455+L455+M455</f>
        <v>5264613</v>
      </c>
      <c r="F455" s="4752">
        <f>'Tab. 6A -Drogi'!E423</f>
        <v>0</v>
      </c>
      <c r="G455" s="4752">
        <f>'Tab. 6A -Drogi'!F423</f>
        <v>0</v>
      </c>
      <c r="H455" s="4752">
        <f>'Tab. 6A -Drogi'!G423</f>
        <v>0</v>
      </c>
      <c r="I455" s="4752">
        <f>'Tab. 6A -Drogi'!H423</f>
        <v>1052923</v>
      </c>
      <c r="J455" s="4752">
        <f>'Tab. 6A -Drogi'!I423</f>
        <v>3158768</v>
      </c>
      <c r="K455" s="4752">
        <f>'Tab. 6A -Drogi'!J423</f>
        <v>1052922</v>
      </c>
      <c r="L455" s="4752">
        <f>'Tab. 6A -Drogi'!K423</f>
        <v>0</v>
      </c>
      <c r="M455" s="4752">
        <f>'Tab. 6A -Drogi'!L423</f>
        <v>0</v>
      </c>
      <c r="N455" s="4752"/>
      <c r="O455" s="4752"/>
      <c r="P455" s="4752"/>
      <c r="Q455" s="4752"/>
      <c r="R455" s="4753"/>
      <c r="S455" s="4753"/>
      <c r="T455" s="4753"/>
      <c r="U455" s="4753"/>
      <c r="V455" s="4753"/>
    </row>
    <row r="456" spans="1:22" ht="26.25" customHeight="1">
      <c r="A456" s="4717" t="s">
        <v>80</v>
      </c>
      <c r="B456" s="4718" t="str">
        <f>'Tab. 6A -Drogi'!B425</f>
        <v>Przebudowa i rozbudowa przejścia drogi woj. nr 125 przez m. Moryń i m. Bielin w ramach PW INTERREG V A (2019-2020)</v>
      </c>
      <c r="C456" s="4719" t="s">
        <v>318</v>
      </c>
      <c r="D456" s="5001">
        <f>E459/E457%</f>
        <v>47.247933724392304</v>
      </c>
      <c r="E456" s="4721"/>
      <c r="F456" s="4722"/>
      <c r="G456" s="4723"/>
      <c r="H456" s="4722"/>
      <c r="I456" s="4722"/>
      <c r="J456" s="4722"/>
      <c r="K456" s="4722"/>
      <c r="L456" s="4722"/>
      <c r="M456" s="4722"/>
      <c r="N456" s="4722"/>
      <c r="O456" s="4722"/>
      <c r="P456" s="4722"/>
      <c r="Q456" s="4722"/>
      <c r="R456" s="4724"/>
      <c r="S456" s="4725"/>
      <c r="T456" s="4725"/>
      <c r="U456" s="4725"/>
      <c r="V456" s="4725"/>
    </row>
    <row r="457" spans="1:22" ht="15" customHeight="1">
      <c r="A457" s="4726"/>
      <c r="B457" s="4727" t="s">
        <v>195</v>
      </c>
      <c r="C457" s="4728"/>
      <c r="D457" s="4729"/>
      <c r="E457" s="4730">
        <f>+F457+G457+H457+I457+J457+K457+L457+M457</f>
        <v>9147981</v>
      </c>
      <c r="F457" s="4731">
        <f>'Tab. 6A -Drogi'!E426</f>
        <v>0</v>
      </c>
      <c r="G457" s="4731">
        <f>'Tab. 6A -Drogi'!F426</f>
        <v>0</v>
      </c>
      <c r="H457" s="4731">
        <f>'Tab. 6A -Drogi'!G426</f>
        <v>0</v>
      </c>
      <c r="I457" s="4731">
        <f>'Tab. 6A -Drogi'!H426</f>
        <v>5488789</v>
      </c>
      <c r="J457" s="4731">
        <f>'Tab. 6A -Drogi'!I426</f>
        <v>3659192</v>
      </c>
      <c r="K457" s="4731">
        <f>'Tab. 6A -Drogi'!J426</f>
        <v>0</v>
      </c>
      <c r="L457" s="4731">
        <f>'Tab. 6A -Drogi'!K426</f>
        <v>0</v>
      </c>
      <c r="M457" s="4731">
        <f>'Tab. 6A -Drogi'!L426</f>
        <v>0</v>
      </c>
      <c r="N457" s="4731"/>
      <c r="O457" s="4731"/>
      <c r="P457" s="4731"/>
      <c r="Q457" s="4731"/>
      <c r="R457" s="4732"/>
      <c r="S457" s="4733"/>
      <c r="T457" s="4733"/>
      <c r="U457" s="4733"/>
      <c r="V457" s="4733"/>
    </row>
    <row r="458" spans="1:22" ht="15" customHeight="1">
      <c r="A458" s="4726"/>
      <c r="B458" s="4734" t="s">
        <v>321</v>
      </c>
      <c r="C458" s="4735"/>
      <c r="D458" s="4736"/>
      <c r="E458" s="4737">
        <f>+F458+G458+H458+I458+J458+K458+L458+M458</f>
        <v>4825749</v>
      </c>
      <c r="F458" s="4738">
        <f>'Tab. 6A -Drogi'!E427</f>
        <v>0</v>
      </c>
      <c r="G458" s="4738">
        <f>'Tab. 6A -Drogi'!F427</f>
        <v>0</v>
      </c>
      <c r="H458" s="4738">
        <f>'Tab. 6A -Drogi'!G427</f>
        <v>0</v>
      </c>
      <c r="I458" s="4738">
        <f>'Tab. 6A -Drogi'!H427</f>
        <v>2744394</v>
      </c>
      <c r="J458" s="4738">
        <f>'Tab. 6A -Drogi'!I427</f>
        <v>2081355</v>
      </c>
      <c r="K458" s="4738">
        <f>'Tab. 6A -Drogi'!J427</f>
        <v>0</v>
      </c>
      <c r="L458" s="4738">
        <f>'Tab. 6A -Drogi'!K427</f>
        <v>0</v>
      </c>
      <c r="M458" s="4738">
        <f>'Tab. 6A -Drogi'!L427</f>
        <v>0</v>
      </c>
      <c r="N458" s="4738"/>
      <c r="O458" s="4738"/>
      <c r="P458" s="4738"/>
      <c r="Q458" s="4738"/>
      <c r="R458" s="4739"/>
      <c r="S458" s="4739"/>
      <c r="T458" s="4739"/>
      <c r="U458" s="4739"/>
      <c r="V458" s="4739"/>
    </row>
    <row r="459" spans="1:22" ht="15" customHeight="1" thickBot="1">
      <c r="A459" s="4726"/>
      <c r="B459" s="4740" t="s">
        <v>197</v>
      </c>
      <c r="C459" s="4754">
        <f>E459-E460</f>
        <v>0</v>
      </c>
      <c r="D459" s="4742"/>
      <c r="E459" s="4743">
        <f>+F459+G459+H459+I459+J459+K459+L459+M459</f>
        <v>4322232</v>
      </c>
      <c r="F459" s="4744">
        <f>'Tab. 6A -Drogi'!E429</f>
        <v>0</v>
      </c>
      <c r="G459" s="4744">
        <f>'Tab. 6A -Drogi'!F429</f>
        <v>0</v>
      </c>
      <c r="H459" s="4744">
        <f>'Tab. 6A -Drogi'!G429</f>
        <v>0</v>
      </c>
      <c r="I459" s="4744">
        <f>'Tab. 6A -Drogi'!H429</f>
        <v>2744395</v>
      </c>
      <c r="J459" s="4744">
        <f>'Tab. 6A -Drogi'!I429</f>
        <v>1577837</v>
      </c>
      <c r="K459" s="4744">
        <f>'Tab. 6A -Drogi'!J429</f>
        <v>0</v>
      </c>
      <c r="L459" s="4744">
        <f>'Tab. 6A -Drogi'!K429</f>
        <v>0</v>
      </c>
      <c r="M459" s="4744">
        <f>'Tab. 6A -Drogi'!L429</f>
        <v>0</v>
      </c>
      <c r="N459" s="4744"/>
      <c r="O459" s="4744"/>
      <c r="P459" s="4744"/>
      <c r="Q459" s="4744"/>
      <c r="R459" s="4745"/>
      <c r="S459" s="4746"/>
      <c r="T459" s="4746"/>
      <c r="U459" s="4746"/>
      <c r="V459" s="4746"/>
    </row>
    <row r="460" spans="1:22" ht="15" customHeight="1" thickBot="1">
      <c r="A460" s="4747"/>
      <c r="B460" s="4748" t="s">
        <v>317</v>
      </c>
      <c r="C460" s="4749"/>
      <c r="D460" s="4750"/>
      <c r="E460" s="4751">
        <f>F460+G460+H460+I460+J460+K460+L460+M460</f>
        <v>4322232</v>
      </c>
      <c r="F460" s="4752">
        <f>'Tab. 6A -Drogi'!E432</f>
        <v>0</v>
      </c>
      <c r="G460" s="4752">
        <f>'Tab. 6A -Drogi'!F432</f>
        <v>0</v>
      </c>
      <c r="H460" s="4752">
        <f>'Tab. 6A -Drogi'!G432</f>
        <v>0</v>
      </c>
      <c r="I460" s="4752">
        <f>'Tab. 6A -Drogi'!H432</f>
        <v>864447</v>
      </c>
      <c r="J460" s="4752">
        <f>'Tab. 6A -Drogi'!I432</f>
        <v>2593339</v>
      </c>
      <c r="K460" s="4752">
        <f>'Tab. 6A -Drogi'!J432</f>
        <v>864446</v>
      </c>
      <c r="L460" s="4752">
        <f>'Tab. 6A -Drogi'!K432</f>
        <v>0</v>
      </c>
      <c r="M460" s="4752">
        <f>'Tab. 6A -Drogi'!L432</f>
        <v>0</v>
      </c>
      <c r="N460" s="4752"/>
      <c r="O460" s="4752"/>
      <c r="P460" s="4752"/>
      <c r="Q460" s="4752"/>
      <c r="R460" s="4753"/>
      <c r="S460" s="4753"/>
      <c r="T460" s="4753"/>
      <c r="U460" s="4753"/>
      <c r="V460" s="4753"/>
    </row>
    <row r="461" spans="1:22" ht="14.25" hidden="1">
      <c r="A461" s="4922"/>
      <c r="B461" s="4923"/>
      <c r="C461" s="4719" t="s">
        <v>318</v>
      </c>
      <c r="D461" s="4720" t="e">
        <f>E464/E462%</f>
        <v>#DIV/0!</v>
      </c>
      <c r="E461" s="4721"/>
      <c r="F461" s="4722"/>
      <c r="G461" s="4723"/>
      <c r="H461" s="4722"/>
      <c r="I461" s="4722"/>
      <c r="J461" s="4722"/>
      <c r="K461" s="4722"/>
      <c r="L461" s="4722"/>
      <c r="M461" s="4722"/>
      <c r="N461" s="4722"/>
      <c r="O461" s="4722"/>
      <c r="P461" s="4722"/>
      <c r="Q461" s="4722"/>
      <c r="R461" s="4724"/>
      <c r="S461" s="4725"/>
      <c r="T461" s="4725"/>
      <c r="U461" s="4725"/>
      <c r="V461" s="4725"/>
    </row>
    <row r="462" spans="1:22" ht="15" hidden="1" customHeight="1">
      <c r="A462" s="4924"/>
      <c r="B462" s="4727" t="s">
        <v>195</v>
      </c>
      <c r="C462" s="4728"/>
      <c r="D462" s="4729"/>
      <c r="E462" s="4730">
        <f>+F462+G462+H462+I462+J462+K462+L462+M462</f>
        <v>0</v>
      </c>
      <c r="F462" s="4731"/>
      <c r="G462" s="4731"/>
      <c r="H462" s="4731"/>
      <c r="I462" s="4731"/>
      <c r="J462" s="4731"/>
      <c r="K462" s="4731"/>
      <c r="L462" s="4731">
        <f>'Tab. 6A -Drogi'!K217</f>
        <v>0</v>
      </c>
      <c r="M462" s="4731">
        <f>'Tab. 6A -Drogi'!L217</f>
        <v>0</v>
      </c>
      <c r="N462" s="4731"/>
      <c r="O462" s="4731"/>
      <c r="P462" s="4731"/>
      <c r="Q462" s="4731"/>
      <c r="R462" s="4732"/>
      <c r="S462" s="4733"/>
      <c r="T462" s="4733"/>
      <c r="U462" s="4733"/>
      <c r="V462" s="4733"/>
    </row>
    <row r="463" spans="1:22" ht="15" hidden="1" customHeight="1">
      <c r="A463" s="4924"/>
      <c r="B463" s="4734" t="s">
        <v>401</v>
      </c>
      <c r="C463" s="4735"/>
      <c r="D463" s="4736"/>
      <c r="E463" s="4737">
        <f>+F463+G463+H463+I463+J463+K463+L463+M463</f>
        <v>0</v>
      </c>
      <c r="F463" s="4738"/>
      <c r="G463" s="4738"/>
      <c r="H463" s="4738"/>
      <c r="I463" s="4738"/>
      <c r="J463" s="4738"/>
      <c r="K463" s="4738"/>
      <c r="L463" s="4738">
        <f>'Tab. 6A -Drogi'!K218</f>
        <v>0</v>
      </c>
      <c r="M463" s="4738">
        <f>'Tab. 6A -Drogi'!L218</f>
        <v>0</v>
      </c>
      <c r="N463" s="4738"/>
      <c r="O463" s="4738"/>
      <c r="P463" s="4738"/>
      <c r="Q463" s="4738"/>
      <c r="R463" s="4739"/>
      <c r="S463" s="4739"/>
      <c r="T463" s="4739"/>
      <c r="U463" s="4739"/>
      <c r="V463" s="4739"/>
    </row>
    <row r="464" spans="1:22" ht="15" hidden="1" customHeight="1" thickBot="1">
      <c r="A464" s="4924"/>
      <c r="B464" s="4740" t="s">
        <v>197</v>
      </c>
      <c r="C464" s="4754">
        <f>E464-E465</f>
        <v>0</v>
      </c>
      <c r="D464" s="4742"/>
      <c r="E464" s="4743">
        <f>+F464+G464+H464+I464+J464+K464+L464+M464</f>
        <v>0</v>
      </c>
      <c r="F464" s="4744"/>
      <c r="G464" s="4744"/>
      <c r="H464" s="4744"/>
      <c r="I464" s="4744"/>
      <c r="J464" s="4744"/>
      <c r="K464" s="4744"/>
      <c r="L464" s="4744">
        <f>'Tab. 6A -Drogi'!K221</f>
        <v>0</v>
      </c>
      <c r="M464" s="4744">
        <f>'Tab. 6A -Drogi'!L221</f>
        <v>0</v>
      </c>
      <c r="N464" s="4744"/>
      <c r="O464" s="4744"/>
      <c r="P464" s="4744"/>
      <c r="Q464" s="4744"/>
      <c r="R464" s="4745"/>
      <c r="S464" s="4746"/>
      <c r="T464" s="4746"/>
      <c r="U464" s="4746"/>
      <c r="V464" s="4746"/>
    </row>
    <row r="465" spans="1:22" ht="16.5" hidden="1" customHeight="1" thickBot="1">
      <c r="A465" s="4925"/>
      <c r="B465" s="4748" t="s">
        <v>317</v>
      </c>
      <c r="C465" s="4749"/>
      <c r="D465" s="4750"/>
      <c r="E465" s="4751">
        <f>F465+G465+H465+I465+J465+K465+L465+M465</f>
        <v>0</v>
      </c>
      <c r="F465" s="4752"/>
      <c r="G465" s="4752"/>
      <c r="H465" s="4752"/>
      <c r="I465" s="4752"/>
      <c r="J465" s="4752"/>
      <c r="K465" s="4752"/>
      <c r="L465" s="4752">
        <f>'Tab. 6A -Drogi'!K226</f>
        <v>0</v>
      </c>
      <c r="M465" s="4752">
        <f>'Tab. 6A -Drogi'!L226</f>
        <v>0</v>
      </c>
      <c r="N465" s="4752"/>
      <c r="O465" s="4752"/>
      <c r="P465" s="4752"/>
      <c r="Q465" s="4752"/>
      <c r="R465" s="4753"/>
      <c r="S465" s="4753"/>
      <c r="T465" s="4753"/>
      <c r="U465" s="4753"/>
      <c r="V465" s="4753"/>
    </row>
    <row r="466" spans="1:22" ht="26.25" customHeight="1">
      <c r="A466" s="4757" t="s">
        <v>81</v>
      </c>
      <c r="B466" s="4758" t="str">
        <f>'Tab. 6H - Kultura fiz. i turyst'!B235</f>
        <v>Zrównoważona turystyka wodna w unikalnej Dolinie Dolnej Odry w ramach PW INTERREG VA - wydatki majątkowe (2016-2020)</v>
      </c>
      <c r="C466" s="4719" t="s">
        <v>318</v>
      </c>
      <c r="D466" s="4720">
        <f>E469/E467%</f>
        <v>83.444182412465523</v>
      </c>
      <c r="E466" s="4721"/>
      <c r="F466" s="4722"/>
      <c r="G466" s="4723"/>
      <c r="H466" s="4722"/>
      <c r="I466" s="4722"/>
      <c r="J466" s="4722"/>
      <c r="K466" s="4722"/>
      <c r="L466" s="4722"/>
      <c r="M466" s="4722"/>
      <c r="N466" s="4722"/>
      <c r="O466" s="4722"/>
      <c r="P466" s="4722"/>
      <c r="Q466" s="4722"/>
      <c r="R466" s="4724"/>
      <c r="S466" s="4725"/>
      <c r="T466" s="4725"/>
      <c r="U466" s="4725"/>
      <c r="V466" s="4725"/>
    </row>
    <row r="467" spans="1:22" ht="15" customHeight="1">
      <c r="A467" s="4759"/>
      <c r="B467" s="4727" t="s">
        <v>195</v>
      </c>
      <c r="C467" s="4728"/>
      <c r="D467" s="4729"/>
      <c r="E467" s="4730">
        <f>+F467+G467+H467+I467+J467+K467+L467+M467</f>
        <v>6246481</v>
      </c>
      <c r="F467" s="4731">
        <f>'Tab. 6H - Kultura fiz. i turyst'!E236</f>
        <v>284314</v>
      </c>
      <c r="G467" s="4731">
        <f>'Tab. 6H - Kultura fiz. i turyst'!F236</f>
        <v>30000</v>
      </c>
      <c r="H467" s="4731">
        <f>'Tab. 6H - Kultura fiz. i turyst'!G236</f>
        <v>101919</v>
      </c>
      <c r="I467" s="4731">
        <f>'Tab. 6H - Kultura fiz. i turyst'!H236</f>
        <v>3685930</v>
      </c>
      <c r="J467" s="4731">
        <f>'Tab. 6H - Kultura fiz. i turyst'!I236</f>
        <v>2144318</v>
      </c>
      <c r="K467" s="4731">
        <f>'Tab. 6H - Kultura fiz. i turyst'!J236</f>
        <v>0</v>
      </c>
      <c r="L467" s="4731">
        <f>'Tab. 6H - Kultura fiz. i turyst'!K236</f>
        <v>0</v>
      </c>
      <c r="M467" s="4731"/>
      <c r="N467" s="4731"/>
      <c r="O467" s="4731"/>
      <c r="P467" s="4731"/>
      <c r="Q467" s="4731"/>
      <c r="R467" s="4732"/>
      <c r="S467" s="4733"/>
      <c r="T467" s="4733"/>
      <c r="U467" s="4733"/>
      <c r="V467" s="4733"/>
    </row>
    <row r="468" spans="1:22" ht="15" customHeight="1">
      <c r="A468" s="4759"/>
      <c r="B468" s="4734" t="s">
        <v>321</v>
      </c>
      <c r="C468" s="4735"/>
      <c r="D468" s="4736"/>
      <c r="E468" s="4737">
        <f>+F468+G468+H468+I468+J468+K468+L468+M468</f>
        <v>1034156</v>
      </c>
      <c r="F468" s="4738">
        <f>'Tab. 6H - Kultura fiz. i turyst'!E237</f>
        <v>114331</v>
      </c>
      <c r="G468" s="4738">
        <f>'Tab. 6H - Kultura fiz. i turyst'!F237</f>
        <v>30000</v>
      </c>
      <c r="H468" s="4738">
        <f>'Tab. 6H - Kultura fiz. i turyst'!G237</f>
        <v>15288</v>
      </c>
      <c r="I468" s="4738">
        <f>'Tab. 6H - Kultura fiz. i turyst'!H237</f>
        <v>552889</v>
      </c>
      <c r="J468" s="4738">
        <f>'Tab. 6H - Kultura fiz. i turyst'!I237</f>
        <v>321648</v>
      </c>
      <c r="K468" s="4738">
        <f>'Tab. 6H - Kultura fiz. i turyst'!J237</f>
        <v>0</v>
      </c>
      <c r="L468" s="4738">
        <f>'Tab. 6H - Kultura fiz. i turyst'!K237</f>
        <v>0</v>
      </c>
      <c r="M468" s="4738"/>
      <c r="N468" s="4738"/>
      <c r="O468" s="4738"/>
      <c r="P468" s="4738"/>
      <c r="Q468" s="4738"/>
      <c r="R468" s="4739"/>
      <c r="S468" s="4739"/>
      <c r="T468" s="4739"/>
      <c r="U468" s="4739"/>
      <c r="V468" s="4739"/>
    </row>
    <row r="469" spans="1:22" ht="15" customHeight="1" thickBot="1">
      <c r="A469" s="4759"/>
      <c r="B469" s="4740" t="s">
        <v>197</v>
      </c>
      <c r="C469" s="4754">
        <f>E469-E470</f>
        <v>0</v>
      </c>
      <c r="D469" s="4742"/>
      <c r="E469" s="4743">
        <f>+F469+G469+H469+I469+J469+K469+L469+M469</f>
        <v>5212325</v>
      </c>
      <c r="F469" s="4744">
        <f>'Tab. 6H - Kultura fiz. i turyst'!E240</f>
        <v>169983</v>
      </c>
      <c r="G469" s="4744">
        <f>'Tab. 6H - Kultura fiz. i turyst'!F240</f>
        <v>0</v>
      </c>
      <c r="H469" s="4744">
        <f>'Tab. 6H - Kultura fiz. i turyst'!G240</f>
        <v>86631</v>
      </c>
      <c r="I469" s="4744">
        <f>'Tab. 6H - Kultura fiz. i turyst'!H240</f>
        <v>3133041</v>
      </c>
      <c r="J469" s="4744">
        <f>'Tab. 6H - Kultura fiz. i turyst'!I240</f>
        <v>1822670</v>
      </c>
      <c r="K469" s="4744">
        <f>'Tab. 6H - Kultura fiz. i turyst'!J240</f>
        <v>0</v>
      </c>
      <c r="L469" s="4744">
        <f>'Tab. 6H - Kultura fiz. i turyst'!K240</f>
        <v>0</v>
      </c>
      <c r="M469" s="4744"/>
      <c r="N469" s="4744"/>
      <c r="O469" s="4744"/>
      <c r="P469" s="4744"/>
      <c r="Q469" s="4744"/>
      <c r="R469" s="4745"/>
      <c r="S469" s="4746"/>
      <c r="T469" s="4746"/>
      <c r="U469" s="4746"/>
      <c r="V469" s="4746"/>
    </row>
    <row r="470" spans="1:22" ht="15" customHeight="1" thickBot="1">
      <c r="A470" s="4763"/>
      <c r="B470" s="4748" t="s">
        <v>317</v>
      </c>
      <c r="C470" s="4749"/>
      <c r="D470" s="4750"/>
      <c r="E470" s="4751">
        <f>F470+G470+H470+I470+J470+K470+L470+M470</f>
        <v>5212325</v>
      </c>
      <c r="F470" s="4752">
        <f>'Tab. 6H - Kultura fiz. i turyst'!E245</f>
        <v>0</v>
      </c>
      <c r="G470" s="4752">
        <f>'Tab. 6H - Kultura fiz. i turyst'!F245</f>
        <v>0</v>
      </c>
      <c r="H470" s="4752">
        <f>'Tab. 6H - Kultura fiz. i turyst'!G245</f>
        <v>0</v>
      </c>
      <c r="I470" s="4752">
        <f>'Tab. 6H - Kultura fiz. i turyst'!H245</f>
        <v>1780856</v>
      </c>
      <c r="J470" s="4752">
        <f>'Tab. 6H - Kultura fiz. i turyst'!I245</f>
        <v>1671276</v>
      </c>
      <c r="K470" s="4752">
        <f>'Tab. 6H - Kultura fiz. i turyst'!J245</f>
        <v>1760193</v>
      </c>
      <c r="L470" s="4752">
        <f>'Tab. 6H - Kultura fiz. i turyst'!K245</f>
        <v>0</v>
      </c>
      <c r="M470" s="4752"/>
      <c r="N470" s="4752"/>
      <c r="O470" s="4752"/>
      <c r="P470" s="4752"/>
      <c r="Q470" s="4752"/>
      <c r="R470" s="4753"/>
      <c r="S470" s="4753"/>
      <c r="T470" s="4753"/>
      <c r="U470" s="4753"/>
      <c r="V470" s="4753"/>
    </row>
    <row r="471" spans="1:22" ht="26.25" customHeight="1">
      <c r="A471" s="4717" t="s">
        <v>82</v>
      </c>
      <c r="B471" s="4718" t="str">
        <f>'Tab. 6H - Kultura fiz. i turyst'!B73</f>
        <v>Dokumentacje techniczne na budowę sieci tras rowerowych Pomorza Zachodniego w ramach Osi IV RPO WZ  (2018-2020)</v>
      </c>
      <c r="C471" s="4719" t="s">
        <v>318</v>
      </c>
      <c r="D471" s="4720">
        <f>E474/E472%</f>
        <v>85</v>
      </c>
      <c r="E471" s="4721"/>
      <c r="F471" s="4722"/>
      <c r="G471" s="4723"/>
      <c r="H471" s="4722"/>
      <c r="I471" s="4722"/>
      <c r="J471" s="4722"/>
      <c r="K471" s="4722"/>
      <c r="L471" s="4722"/>
      <c r="M471" s="4722"/>
      <c r="N471" s="4722"/>
      <c r="O471" s="4722"/>
      <c r="P471" s="4722"/>
      <c r="Q471" s="4722"/>
      <c r="R471" s="4724"/>
      <c r="S471" s="4725"/>
      <c r="T471" s="4725"/>
      <c r="U471" s="4725"/>
      <c r="V471" s="4725"/>
    </row>
    <row r="472" spans="1:22" ht="15" customHeight="1">
      <c r="A472" s="4726"/>
      <c r="B472" s="4727" t="s">
        <v>195</v>
      </c>
      <c r="C472" s="4728"/>
      <c r="D472" s="4729"/>
      <c r="E472" s="4730">
        <f>+F472+G472+H472+I472+J472+K472+L472+M472</f>
        <v>7500000</v>
      </c>
      <c r="F472" s="4731">
        <f>'Tab. 6H - Kultura fiz. i turyst'!E74</f>
        <v>0</v>
      </c>
      <c r="G472" s="4731">
        <f>'Tab. 6H - Kultura fiz. i turyst'!F74</f>
        <v>0</v>
      </c>
      <c r="H472" s="4731">
        <f>'Tab. 6H - Kultura fiz. i turyst'!G74</f>
        <v>2100000</v>
      </c>
      <c r="I472" s="4731">
        <f>'Tab. 6H - Kultura fiz. i turyst'!H74</f>
        <v>5050000</v>
      </c>
      <c r="J472" s="4731">
        <f>'Tab. 6H - Kultura fiz. i turyst'!I74</f>
        <v>350000</v>
      </c>
      <c r="K472" s="4731">
        <f>'Tab. 6H - Kultura fiz. i turyst'!J74</f>
        <v>0</v>
      </c>
      <c r="L472" s="4731">
        <f>'Tab. 6H - Kultura fiz. i turyst'!K74</f>
        <v>0</v>
      </c>
      <c r="M472" s="4731">
        <f>'Tab. 6H - Kultura fiz. i turyst'!L74</f>
        <v>0</v>
      </c>
      <c r="N472" s="4731"/>
      <c r="O472" s="4731"/>
      <c r="P472" s="4731"/>
      <c r="Q472" s="4731"/>
      <c r="R472" s="4732"/>
      <c r="S472" s="4733"/>
      <c r="T472" s="4733"/>
      <c r="U472" s="4733"/>
      <c r="V472" s="4733"/>
    </row>
    <row r="473" spans="1:22" ht="13.5" customHeight="1">
      <c r="A473" s="4726"/>
      <c r="B473" s="4734" t="s">
        <v>321</v>
      </c>
      <c r="C473" s="4735"/>
      <c r="D473" s="4736"/>
      <c r="E473" s="4737">
        <f>+F473+G473+H473+I473+J473+K473+L473+M473</f>
        <v>1125000</v>
      </c>
      <c r="F473" s="4738">
        <f>'Tab. 6H - Kultura fiz. i turyst'!E75</f>
        <v>0</v>
      </c>
      <c r="G473" s="4738">
        <f>'Tab. 6H - Kultura fiz. i turyst'!F75</f>
        <v>0</v>
      </c>
      <c r="H473" s="4738">
        <f>'Tab. 6H - Kultura fiz. i turyst'!G75</f>
        <v>315000</v>
      </c>
      <c r="I473" s="4738">
        <f>'Tab. 6H - Kultura fiz. i turyst'!H75</f>
        <v>757500</v>
      </c>
      <c r="J473" s="4738">
        <f>'Tab. 6H - Kultura fiz. i turyst'!I75</f>
        <v>52500</v>
      </c>
      <c r="K473" s="4738">
        <f>'Tab. 6H - Kultura fiz. i turyst'!J75</f>
        <v>0</v>
      </c>
      <c r="L473" s="4738">
        <f>'Tab. 6H - Kultura fiz. i turyst'!K75</f>
        <v>0</v>
      </c>
      <c r="M473" s="4738">
        <f>'Tab. 6H - Kultura fiz. i turyst'!L75</f>
        <v>0</v>
      </c>
      <c r="N473" s="4738"/>
      <c r="O473" s="4738"/>
      <c r="P473" s="4738"/>
      <c r="Q473" s="4738"/>
      <c r="R473" s="4739"/>
      <c r="S473" s="4739"/>
      <c r="T473" s="4739"/>
      <c r="U473" s="4739"/>
      <c r="V473" s="4739"/>
    </row>
    <row r="474" spans="1:22" ht="14.25" customHeight="1" thickBot="1">
      <c r="A474" s="4726"/>
      <c r="B474" s="4740" t="s">
        <v>197</v>
      </c>
      <c r="C474" s="4754">
        <f>E474-E475</f>
        <v>0</v>
      </c>
      <c r="D474" s="4742"/>
      <c r="E474" s="4743">
        <f>+F474+G474+H474+I474+J474+K474+L474+M474</f>
        <v>6375000</v>
      </c>
      <c r="F474" s="4744">
        <f>'Tab. 6H - Kultura fiz. i turyst'!E77</f>
        <v>0</v>
      </c>
      <c r="G474" s="4744">
        <f>'Tab. 6H - Kultura fiz. i turyst'!F77</f>
        <v>0</v>
      </c>
      <c r="H474" s="4744">
        <f>'Tab. 6H - Kultura fiz. i turyst'!G77</f>
        <v>1785000</v>
      </c>
      <c r="I474" s="4744">
        <f>'Tab. 6H - Kultura fiz. i turyst'!H77</f>
        <v>4292500</v>
      </c>
      <c r="J474" s="4744">
        <f>'Tab. 6H - Kultura fiz. i turyst'!I77</f>
        <v>297500</v>
      </c>
      <c r="K474" s="4744">
        <f>'Tab. 6H - Kultura fiz. i turyst'!J77</f>
        <v>0</v>
      </c>
      <c r="L474" s="4744">
        <f>'Tab. 6H - Kultura fiz. i turyst'!K77</f>
        <v>0</v>
      </c>
      <c r="M474" s="4744">
        <f>'Tab. 6H - Kultura fiz. i turyst'!L77</f>
        <v>0</v>
      </c>
      <c r="N474" s="4744"/>
      <c r="O474" s="4744"/>
      <c r="P474" s="4744"/>
      <c r="Q474" s="4744"/>
      <c r="R474" s="4745"/>
      <c r="S474" s="4746"/>
      <c r="T474" s="4746"/>
      <c r="U474" s="4746"/>
      <c r="V474" s="4746"/>
    </row>
    <row r="475" spans="1:22" ht="15" customHeight="1" thickBot="1">
      <c r="A475" s="4747"/>
      <c r="B475" s="4748" t="s">
        <v>317</v>
      </c>
      <c r="C475" s="4749"/>
      <c r="D475" s="4750"/>
      <c r="E475" s="4751">
        <f>F475+G475+H475+I475+J475+K475+L475+M475</f>
        <v>6375000</v>
      </c>
      <c r="F475" s="4752">
        <f>'Tab. 6H - Kultura fiz. i turyst'!E80</f>
        <v>0</v>
      </c>
      <c r="G475" s="4752">
        <f>'Tab. 6H - Kultura fiz. i turyst'!F80</f>
        <v>0</v>
      </c>
      <c r="H475" s="4752">
        <f>'Tab. 6H - Kultura fiz. i turyst'!G80</f>
        <v>0</v>
      </c>
      <c r="I475" s="4752">
        <f>'Tab. 6H - Kultura fiz. i turyst'!H80</f>
        <v>3100000</v>
      </c>
      <c r="J475" s="4752">
        <f>'Tab. 6H - Kultura fiz. i turyst'!I80</f>
        <v>3275000</v>
      </c>
      <c r="K475" s="4752">
        <f>'Tab. 6H - Kultura fiz. i turyst'!J80</f>
        <v>0</v>
      </c>
      <c r="L475" s="4752">
        <f>'Tab. 6H - Kultura fiz. i turyst'!K80</f>
        <v>0</v>
      </c>
      <c r="M475" s="4752">
        <f>'Tab. 6H - Kultura fiz. i turyst'!L80</f>
        <v>0</v>
      </c>
      <c r="N475" s="4752"/>
      <c r="O475" s="4752"/>
      <c r="P475" s="4752"/>
      <c r="Q475" s="4752"/>
      <c r="R475" s="4753"/>
      <c r="S475" s="4753"/>
      <c r="T475" s="4753"/>
      <c r="U475" s="4753"/>
      <c r="V475" s="4753"/>
    </row>
    <row r="476" spans="1:22" s="4708" customFormat="1" ht="36" customHeight="1">
      <c r="A476" s="4757" t="s">
        <v>83</v>
      </c>
      <c r="B476" s="4758" t="str">
        <f>'Tab. 6A -Drogi'!B264</f>
        <v>Rozbudowa drogi wojewódzkiej nr 114 na szlakowym odcinku Brzózki - Trzebież oraz przebudowa przejścia przez miejscowości Warnołęka i Brzózki w ramach Osi V RPO WZ (2016-2020)</v>
      </c>
      <c r="C476" s="4834" t="s">
        <v>318</v>
      </c>
      <c r="D476" s="5002">
        <f>E479/E477%</f>
        <v>84.582039312039313</v>
      </c>
      <c r="E476" s="5003"/>
      <c r="F476" s="5004"/>
      <c r="G476" s="5005"/>
      <c r="H476" s="5004"/>
      <c r="I476" s="5004"/>
      <c r="J476" s="5004"/>
      <c r="K476" s="5004"/>
      <c r="L476" s="5004"/>
      <c r="M476" s="5004"/>
      <c r="N476" s="5004"/>
      <c r="O476" s="5004"/>
      <c r="P476" s="5004"/>
      <c r="Q476" s="5004"/>
      <c r="R476" s="5006"/>
      <c r="S476" s="5007"/>
      <c r="T476" s="5007"/>
      <c r="U476" s="5007"/>
      <c r="V476" s="5007"/>
    </row>
    <row r="477" spans="1:22" ht="15" customHeight="1">
      <c r="A477" s="4759"/>
      <c r="B477" s="4727" t="s">
        <v>195</v>
      </c>
      <c r="C477" s="4728"/>
      <c r="D477" s="4729"/>
      <c r="E477" s="4730">
        <f>+F477+G477+H477+I477+J477+K477+L477+M477</f>
        <v>40700000</v>
      </c>
      <c r="F477" s="4731">
        <f>'Tab. 6A -Drogi'!E265</f>
        <v>874393</v>
      </c>
      <c r="G477" s="4731">
        <f>'Tab. 6A -Drogi'!F265</f>
        <v>488999</v>
      </c>
      <c r="H477" s="4731">
        <f>'Tab. 6A -Drogi'!G265</f>
        <v>4280014</v>
      </c>
      <c r="I477" s="4731">
        <f>'Tab. 6A -Drogi'!H265</f>
        <v>24500000</v>
      </c>
      <c r="J477" s="4731">
        <f>'Tab. 6A -Drogi'!I265</f>
        <v>10556594</v>
      </c>
      <c r="K477" s="4731">
        <f>'Tab. 6A -Drogi'!J265</f>
        <v>0</v>
      </c>
      <c r="L477" s="4731">
        <f>'Tab. 6A -Drogi'!K265</f>
        <v>0</v>
      </c>
      <c r="M477" s="4731">
        <f>'Tab. 6A -Drogi'!L265</f>
        <v>0</v>
      </c>
      <c r="N477" s="4731"/>
      <c r="O477" s="4731"/>
      <c r="P477" s="4731"/>
      <c r="Q477" s="4731"/>
      <c r="R477" s="4732"/>
      <c r="S477" s="4733"/>
      <c r="T477" s="4733"/>
      <c r="U477" s="4733"/>
      <c r="V477" s="4733"/>
    </row>
    <row r="478" spans="1:22" ht="15" customHeight="1">
      <c r="A478" s="4759"/>
      <c r="B478" s="4734" t="s">
        <v>559</v>
      </c>
      <c r="C478" s="4735"/>
      <c r="D478" s="4736"/>
      <c r="E478" s="4737">
        <f>+F478+G478+H478+I478+J478+K478+L478+M478</f>
        <v>6275110</v>
      </c>
      <c r="F478" s="4738">
        <f>'Tab. 6A -Drogi'!E266</f>
        <v>144271</v>
      </c>
      <c r="G478" s="4738">
        <f>'Tab. 6A -Drogi'!F266</f>
        <v>77226</v>
      </c>
      <c r="H478" s="4738">
        <f>'Tab. 6A -Drogi'!G266</f>
        <v>795019</v>
      </c>
      <c r="I478" s="4738">
        <f>'Tab. 6A -Drogi'!H266</f>
        <v>3675105</v>
      </c>
      <c r="J478" s="4738">
        <f>'Tab. 6A -Drogi'!I266</f>
        <v>1583489</v>
      </c>
      <c r="K478" s="4738">
        <f>'Tab. 6A -Drogi'!J266</f>
        <v>0</v>
      </c>
      <c r="L478" s="4738">
        <f>'Tab. 6A -Drogi'!K266</f>
        <v>0</v>
      </c>
      <c r="M478" s="4738">
        <f>'Tab. 6A -Drogi'!L266</f>
        <v>0</v>
      </c>
      <c r="N478" s="4738"/>
      <c r="O478" s="4738"/>
      <c r="P478" s="4738"/>
      <c r="Q478" s="4738"/>
      <c r="R478" s="4739"/>
      <c r="S478" s="4739"/>
      <c r="T478" s="4739"/>
      <c r="U478" s="4739"/>
      <c r="V478" s="4739"/>
    </row>
    <row r="479" spans="1:22" ht="15" customHeight="1" thickBot="1">
      <c r="A479" s="4759"/>
      <c r="B479" s="4740" t="s">
        <v>197</v>
      </c>
      <c r="C479" s="4754">
        <f>E479-E480</f>
        <v>0</v>
      </c>
      <c r="D479" s="4742"/>
      <c r="E479" s="4743">
        <f>+F479+G479+H479+I479+J479+K479+L479+M479</f>
        <v>34424890</v>
      </c>
      <c r="F479" s="4744">
        <f>'Tab. 6A -Drogi'!E269</f>
        <v>730122</v>
      </c>
      <c r="G479" s="4744">
        <f>'Tab. 6A -Drogi'!F269</f>
        <v>411773</v>
      </c>
      <c r="H479" s="4744">
        <f>'Tab. 6A -Drogi'!G269</f>
        <v>3484995</v>
      </c>
      <c r="I479" s="4744">
        <f>'Tab. 6A -Drogi'!H269</f>
        <v>20824895</v>
      </c>
      <c r="J479" s="4744">
        <f>'Tab. 6A -Drogi'!I269</f>
        <v>8973105</v>
      </c>
      <c r="K479" s="4744">
        <f>'Tab. 6A -Drogi'!J269</f>
        <v>0</v>
      </c>
      <c r="L479" s="4744">
        <f>'Tab. 6A -Drogi'!K269</f>
        <v>0</v>
      </c>
      <c r="M479" s="4744">
        <f>'Tab. 6A -Drogi'!L269</f>
        <v>0</v>
      </c>
      <c r="N479" s="4744"/>
      <c r="O479" s="4744"/>
      <c r="P479" s="4744"/>
      <c r="Q479" s="4744"/>
      <c r="R479" s="4745"/>
      <c r="S479" s="4746"/>
      <c r="T479" s="4746"/>
      <c r="U479" s="4746"/>
      <c r="V479" s="4746"/>
    </row>
    <row r="480" spans="1:22" ht="15" customHeight="1" thickBot="1">
      <c r="A480" s="4763"/>
      <c r="B480" s="4748" t="s">
        <v>317</v>
      </c>
      <c r="C480" s="4749"/>
      <c r="D480" s="4750"/>
      <c r="E480" s="4751">
        <f>F480+G480+H480+I480+J480+K480+L480+M480</f>
        <v>34424890</v>
      </c>
      <c r="F480" s="4752">
        <f>'Tab. 6A -Drogi'!E274</f>
        <v>0</v>
      </c>
      <c r="G480" s="4752">
        <f>'Tab. 6A -Drogi'!F274</f>
        <v>0</v>
      </c>
      <c r="H480" s="4752">
        <f>'Tab. 6A -Drogi'!G274</f>
        <v>0</v>
      </c>
      <c r="I480" s="4752">
        <f>'Tab. 6A -Drogi'!H274</f>
        <v>25451785</v>
      </c>
      <c r="J480" s="4752">
        <f>'Tab. 6A -Drogi'!I274</f>
        <v>8973105</v>
      </c>
      <c r="K480" s="4752">
        <f>'Tab. 6A -Drogi'!J274</f>
        <v>0</v>
      </c>
      <c r="L480" s="4752">
        <f>'Tab. 6A -Drogi'!K274</f>
        <v>0</v>
      </c>
      <c r="M480" s="4752">
        <f>'Tab. 6A -Drogi'!L274</f>
        <v>0</v>
      </c>
      <c r="N480" s="4752"/>
      <c r="O480" s="4752"/>
      <c r="P480" s="4752"/>
      <c r="Q480" s="4752"/>
      <c r="R480" s="4753"/>
      <c r="S480" s="4753"/>
      <c r="T480" s="4753"/>
      <c r="U480" s="4753"/>
      <c r="V480" s="4753"/>
    </row>
    <row r="481" spans="1:22" ht="39.75" customHeight="1">
      <c r="A481" s="4717" t="s">
        <v>84</v>
      </c>
      <c r="B481" s="4718" t="str">
        <f>'Tab. 6H - Kultura fiz. i turyst'!B256</f>
        <v>Przystosowanie mostu europejskiego Siekierki-Neurudnitz do ruchu turystycznego w ramach PW INTERREG VA - wydatki majątkowe (2016-2020)</v>
      </c>
      <c r="C481" s="4719" t="s">
        <v>318</v>
      </c>
      <c r="D481" s="4720">
        <f>E484/E482%</f>
        <v>83.327784702598237</v>
      </c>
      <c r="E481" s="4721"/>
      <c r="F481" s="4722"/>
      <c r="G481" s="4723"/>
      <c r="H481" s="4722"/>
      <c r="I481" s="4722"/>
      <c r="J481" s="4722"/>
      <c r="K481" s="4722"/>
      <c r="L481" s="4722"/>
      <c r="M481" s="4722"/>
      <c r="N481" s="4722"/>
      <c r="O481" s="4722"/>
      <c r="P481" s="4722"/>
      <c r="Q481" s="4722"/>
      <c r="R481" s="4724"/>
      <c r="S481" s="4725"/>
      <c r="T481" s="4725"/>
      <c r="U481" s="4725"/>
      <c r="V481" s="4725"/>
    </row>
    <row r="482" spans="1:22" ht="15" customHeight="1">
      <c r="A482" s="4726"/>
      <c r="B482" s="4727" t="s">
        <v>195</v>
      </c>
      <c r="C482" s="4728"/>
      <c r="D482" s="4729"/>
      <c r="E482" s="4730">
        <f>+F482+G482+H482+I482+J482+K482+L482+M482</f>
        <v>7217997</v>
      </c>
      <c r="F482" s="4731">
        <f>'Tab. 6H - Kultura fiz. i turyst'!E257</f>
        <v>191980</v>
      </c>
      <c r="G482" s="4731">
        <f>'Tab. 6H - Kultura fiz. i turyst'!F257</f>
        <v>0</v>
      </c>
      <c r="H482" s="4731">
        <f>'Tab. 6H - Kultura fiz. i turyst'!G257</f>
        <v>0</v>
      </c>
      <c r="I482" s="4731">
        <f>'Tab. 6H - Kultura fiz. i turyst'!H257</f>
        <v>4414172</v>
      </c>
      <c r="J482" s="4731">
        <f>'Tab. 6H - Kultura fiz. i turyst'!I257</f>
        <v>2611845</v>
      </c>
      <c r="K482" s="4731">
        <f>'Tab. 6H - Kultura fiz. i turyst'!J257</f>
        <v>0</v>
      </c>
      <c r="L482" s="4731">
        <f>'Tab. 6H - Kultura fiz. i turyst'!K257</f>
        <v>0</v>
      </c>
      <c r="M482" s="4731">
        <f>'Tab. 6H - Kultura fiz. i turyst'!L257</f>
        <v>0</v>
      </c>
      <c r="N482" s="4731"/>
      <c r="O482" s="4731"/>
      <c r="P482" s="4731"/>
      <c r="Q482" s="4731"/>
      <c r="R482" s="4732"/>
      <c r="S482" s="4733"/>
      <c r="T482" s="4733"/>
      <c r="U482" s="4733"/>
      <c r="V482" s="4733"/>
    </row>
    <row r="483" spans="1:22" ht="15" customHeight="1">
      <c r="A483" s="4726"/>
      <c r="B483" s="4734" t="s">
        <v>321</v>
      </c>
      <c r="C483" s="4735"/>
      <c r="D483" s="4736"/>
      <c r="E483" s="4737">
        <f>+F483+G483+H483+I483+J483+K483+L483+M483</f>
        <v>1203400</v>
      </c>
      <c r="F483" s="4738">
        <f>'Tab. 6H - Kultura fiz. i turyst'!E258</f>
        <v>149497</v>
      </c>
      <c r="G483" s="4738">
        <f>'Tab. 6H - Kultura fiz. i turyst'!F258</f>
        <v>0</v>
      </c>
      <c r="H483" s="4738">
        <f>'Tab. 6H - Kultura fiz. i turyst'!G258</f>
        <v>0</v>
      </c>
      <c r="I483" s="4738">
        <f>'Tab. 6H - Kultura fiz. i turyst'!H258</f>
        <v>662126</v>
      </c>
      <c r="J483" s="4738">
        <f>'Tab. 6H - Kultura fiz. i turyst'!I258</f>
        <v>391777</v>
      </c>
      <c r="K483" s="4738">
        <f>'Tab. 6H - Kultura fiz. i turyst'!J258</f>
        <v>0</v>
      </c>
      <c r="L483" s="4738">
        <f>'Tab. 6H - Kultura fiz. i turyst'!K258</f>
        <v>0</v>
      </c>
      <c r="M483" s="4738">
        <f>'Tab. 6H - Kultura fiz. i turyst'!L258</f>
        <v>0</v>
      </c>
      <c r="N483" s="4738"/>
      <c r="O483" s="4738"/>
      <c r="P483" s="4738"/>
      <c r="Q483" s="4738"/>
      <c r="R483" s="4739"/>
      <c r="S483" s="4739"/>
      <c r="T483" s="4739"/>
      <c r="U483" s="4739"/>
      <c r="V483" s="4739"/>
    </row>
    <row r="484" spans="1:22" ht="15" customHeight="1" thickBot="1">
      <c r="A484" s="4726"/>
      <c r="B484" s="4740" t="s">
        <v>197</v>
      </c>
      <c r="C484" s="4754">
        <f>E484-E485</f>
        <v>0</v>
      </c>
      <c r="D484" s="4742"/>
      <c r="E484" s="4743">
        <f>+F484+G484+H484+I484+J484+K484+L484+M484</f>
        <v>6014597</v>
      </c>
      <c r="F484" s="4744">
        <f>'Tab. 6H - Kultura fiz. i turyst'!E261</f>
        <v>42483</v>
      </c>
      <c r="G484" s="4744">
        <f>'Tab. 6H - Kultura fiz. i turyst'!F261</f>
        <v>0</v>
      </c>
      <c r="H484" s="4744">
        <f>'Tab. 6H - Kultura fiz. i turyst'!G261</f>
        <v>0</v>
      </c>
      <c r="I484" s="4744">
        <f>'Tab. 6H - Kultura fiz. i turyst'!H261</f>
        <v>3752046</v>
      </c>
      <c r="J484" s="4744">
        <f>'Tab. 6H - Kultura fiz. i turyst'!I261</f>
        <v>2220068</v>
      </c>
      <c r="K484" s="4744">
        <f>'Tab. 6H - Kultura fiz. i turyst'!J261</f>
        <v>0</v>
      </c>
      <c r="L484" s="4744">
        <f>'Tab. 6H - Kultura fiz. i turyst'!K261</f>
        <v>0</v>
      </c>
      <c r="M484" s="4744">
        <f>'Tab. 6H - Kultura fiz. i turyst'!L261</f>
        <v>0</v>
      </c>
      <c r="N484" s="4744"/>
      <c r="O484" s="4744"/>
      <c r="P484" s="4744"/>
      <c r="Q484" s="4744"/>
      <c r="R484" s="4745"/>
      <c r="S484" s="4746"/>
      <c r="T484" s="4746"/>
      <c r="U484" s="4746"/>
      <c r="V484" s="4746"/>
    </row>
    <row r="485" spans="1:22" ht="15" customHeight="1" thickBot="1">
      <c r="A485" s="4747"/>
      <c r="B485" s="4748" t="s">
        <v>317</v>
      </c>
      <c r="C485" s="4749"/>
      <c r="D485" s="4750"/>
      <c r="E485" s="4751">
        <f>F485+G485+H485+I485+J485+K485+L485+M485</f>
        <v>6014597</v>
      </c>
      <c r="F485" s="4752">
        <f>'Tab. 6H - Kultura fiz. i turyst'!E266</f>
        <v>0</v>
      </c>
      <c r="G485" s="4752">
        <f>'Tab. 6H - Kultura fiz. i turyst'!F266</f>
        <v>0</v>
      </c>
      <c r="H485" s="4752">
        <f>'Tab. 6H - Kultura fiz. i turyst'!G266</f>
        <v>0</v>
      </c>
      <c r="I485" s="4752">
        <f>'Tab. 6H - Kultura fiz. i turyst'!H266</f>
        <v>237555</v>
      </c>
      <c r="J485" s="4752">
        <f>'Tab. 6H - Kultura fiz. i turyst'!I266</f>
        <v>4513210</v>
      </c>
      <c r="K485" s="4752">
        <f>'Tab. 6H - Kultura fiz. i turyst'!J266</f>
        <v>1263832</v>
      </c>
      <c r="L485" s="4752">
        <f>'Tab. 6H - Kultura fiz. i turyst'!K266</f>
        <v>0</v>
      </c>
      <c r="M485" s="4752">
        <f>'Tab. 6H - Kultura fiz. i turyst'!L266</f>
        <v>0</v>
      </c>
      <c r="N485" s="4752"/>
      <c r="O485" s="4752"/>
      <c r="P485" s="4752"/>
      <c r="Q485" s="4752"/>
      <c r="R485" s="4753"/>
      <c r="S485" s="4753"/>
      <c r="T485" s="4753"/>
      <c r="U485" s="4753"/>
      <c r="V485" s="4753"/>
    </row>
    <row r="486" spans="1:22" ht="39" customHeight="1">
      <c r="A486" s="4717" t="s">
        <v>85</v>
      </c>
      <c r="B486" s="4718" t="str">
        <f>'Tab. 6H - Kultura fiz. i turyst'!B49</f>
        <v>Budowa sieci tras rowerowych Pomorza Zachodniego - Trasa Zielonego Pogranicza odc. Gryfino - Trzcińsko Zdrój w ramach Osi IV RPO WZ (2017-2018)</v>
      </c>
      <c r="C486" s="4719" t="s">
        <v>318</v>
      </c>
      <c r="D486" s="4720">
        <f>E489/E487%</f>
        <v>83.255857434055741</v>
      </c>
      <c r="E486" s="4721"/>
      <c r="F486" s="4722"/>
      <c r="G486" s="4723"/>
      <c r="H486" s="4722"/>
      <c r="I486" s="4722"/>
      <c r="J486" s="4722"/>
      <c r="K486" s="4722"/>
      <c r="L486" s="4722"/>
      <c r="M486" s="4722"/>
      <c r="N486" s="4722"/>
      <c r="O486" s="4722"/>
      <c r="P486" s="4722"/>
      <c r="Q486" s="4722"/>
      <c r="R486" s="4724"/>
      <c r="S486" s="4725"/>
      <c r="T486" s="4725"/>
      <c r="U486" s="4725"/>
      <c r="V486" s="4725"/>
    </row>
    <row r="487" spans="1:22" ht="15" customHeight="1">
      <c r="A487" s="4726"/>
      <c r="B487" s="4727" t="s">
        <v>195</v>
      </c>
      <c r="C487" s="4728"/>
      <c r="D487" s="4729"/>
      <c r="E487" s="4730">
        <f>+F487+G487+H487+I487+J487+K487+L487+M487</f>
        <v>5701558</v>
      </c>
      <c r="F487" s="4731">
        <f>'Tab. 6H - Kultura fiz. i turyst'!E50</f>
        <v>0</v>
      </c>
      <c r="G487" s="4731">
        <f>'Tab. 6H - Kultura fiz. i turyst'!F50</f>
        <v>217780</v>
      </c>
      <c r="H487" s="4731">
        <f>'Tab. 6H - Kultura fiz. i turyst'!G50</f>
        <v>5483778</v>
      </c>
      <c r="I487" s="4731">
        <f>'Tab. 6H - Kultura fiz. i turyst'!H50</f>
        <v>0</v>
      </c>
      <c r="J487" s="4731">
        <f>'Tab. 6H - Kultura fiz. i turyst'!I50</f>
        <v>0</v>
      </c>
      <c r="K487" s="4731">
        <f>'Tab. 6H - Kultura fiz. i turyst'!J50</f>
        <v>0</v>
      </c>
      <c r="L487" s="4731">
        <f>'Tab. 6H - Kultura fiz. i turyst'!K50</f>
        <v>0</v>
      </c>
      <c r="M487" s="4731">
        <f>'Tab. 6H - Kultura fiz. i turyst'!L50</f>
        <v>0</v>
      </c>
      <c r="N487" s="4731"/>
      <c r="O487" s="4731"/>
      <c r="P487" s="4731"/>
      <c r="Q487" s="4731"/>
      <c r="R487" s="4732"/>
      <c r="S487" s="4733"/>
      <c r="T487" s="4733"/>
      <c r="U487" s="4733"/>
      <c r="V487" s="4733"/>
    </row>
    <row r="488" spans="1:22" ht="15" customHeight="1">
      <c r="A488" s="4726"/>
      <c r="B488" s="4734" t="s">
        <v>321</v>
      </c>
      <c r="C488" s="4735"/>
      <c r="D488" s="4736"/>
      <c r="E488" s="4737">
        <f>+F488+G488+H488+I488+J488+K488+L488+M488</f>
        <v>954677</v>
      </c>
      <c r="F488" s="4738">
        <f>'Tab. 6H - Kultura fiz. i turyst'!E51</f>
        <v>0</v>
      </c>
      <c r="G488" s="4738">
        <f>'Tab. 6H - Kultura fiz. i turyst'!F51</f>
        <v>42149</v>
      </c>
      <c r="H488" s="4738">
        <f>'Tab. 6H - Kultura fiz. i turyst'!G51</f>
        <v>912528</v>
      </c>
      <c r="I488" s="4738">
        <f>'Tab. 6H - Kultura fiz. i turyst'!H51</f>
        <v>0</v>
      </c>
      <c r="J488" s="4738">
        <f>'Tab. 6H - Kultura fiz. i turyst'!I51</f>
        <v>0</v>
      </c>
      <c r="K488" s="4738">
        <f>'Tab. 6H - Kultura fiz. i turyst'!J51</f>
        <v>0</v>
      </c>
      <c r="L488" s="4738">
        <f>'Tab. 6H - Kultura fiz. i turyst'!K51</f>
        <v>0</v>
      </c>
      <c r="M488" s="4738">
        <f>'Tab. 6H - Kultura fiz. i turyst'!L51</f>
        <v>0</v>
      </c>
      <c r="N488" s="4738"/>
      <c r="O488" s="4738"/>
      <c r="P488" s="4738"/>
      <c r="Q488" s="4738"/>
      <c r="R488" s="4739"/>
      <c r="S488" s="4739"/>
      <c r="T488" s="4739"/>
      <c r="U488" s="4739"/>
      <c r="V488" s="4739"/>
    </row>
    <row r="489" spans="1:22" ht="15" customHeight="1" thickBot="1">
      <c r="A489" s="4726"/>
      <c r="B489" s="4740" t="s">
        <v>197</v>
      </c>
      <c r="C489" s="4754">
        <f>E489-E490</f>
        <v>0</v>
      </c>
      <c r="D489" s="4742"/>
      <c r="E489" s="4743">
        <f>+F489+G489+H489+I489+J489+K489+L489+M489</f>
        <v>4746881</v>
      </c>
      <c r="F489" s="4744">
        <f>'Tab. 6H - Kultura fiz. i turyst'!E55</f>
        <v>0</v>
      </c>
      <c r="G489" s="4744">
        <f>'Tab. 6H - Kultura fiz. i turyst'!F55</f>
        <v>175631</v>
      </c>
      <c r="H489" s="4744">
        <f>'Tab. 6H - Kultura fiz. i turyst'!G55</f>
        <v>4571250</v>
      </c>
      <c r="I489" s="4744">
        <f>'Tab. 6H - Kultura fiz. i turyst'!H55</f>
        <v>0</v>
      </c>
      <c r="J489" s="4744">
        <f>'Tab. 6H - Kultura fiz. i turyst'!I55</f>
        <v>0</v>
      </c>
      <c r="K489" s="4744">
        <f>'Tab. 6H - Kultura fiz. i turyst'!J55</f>
        <v>0</v>
      </c>
      <c r="L489" s="4744">
        <f>'Tab. 6H - Kultura fiz. i turyst'!K55</f>
        <v>0</v>
      </c>
      <c r="M489" s="4744">
        <f>'Tab. 6H - Kultura fiz. i turyst'!L55</f>
        <v>0</v>
      </c>
      <c r="N489" s="4744"/>
      <c r="O489" s="4744"/>
      <c r="P489" s="4744"/>
      <c r="Q489" s="4744"/>
      <c r="R489" s="4745"/>
      <c r="S489" s="4746"/>
      <c r="T489" s="4746"/>
      <c r="U489" s="4746"/>
      <c r="V489" s="4746"/>
    </row>
    <row r="490" spans="1:22" ht="15" customHeight="1" thickBot="1">
      <c r="A490" s="4747"/>
      <c r="B490" s="4748" t="s">
        <v>317</v>
      </c>
      <c r="C490" s="4749"/>
      <c r="D490" s="4750"/>
      <c r="E490" s="4751">
        <f>F490+G490+H490+I490+J490+K490+L490+M490</f>
        <v>4746881</v>
      </c>
      <c r="F490" s="4752">
        <f>'Tab. 6H - Kultura fiz. i turyst'!E59</f>
        <v>0</v>
      </c>
      <c r="G490" s="4752">
        <f>'Tab. 6H - Kultura fiz. i turyst'!F59</f>
        <v>0</v>
      </c>
      <c r="H490" s="4752">
        <f>'Tab. 6H - Kultura fiz. i turyst'!G59</f>
        <v>4746881</v>
      </c>
      <c r="I490" s="4752">
        <f>'Tab. 6H - Kultura fiz. i turyst'!H59</f>
        <v>0</v>
      </c>
      <c r="J490" s="4752">
        <f>'Tab. 6H - Kultura fiz. i turyst'!I59</f>
        <v>0</v>
      </c>
      <c r="K490" s="4752">
        <f>'Tab. 6H - Kultura fiz. i turyst'!J59</f>
        <v>0</v>
      </c>
      <c r="L490" s="4752">
        <f>'Tab. 6H - Kultura fiz. i turyst'!K59</f>
        <v>0</v>
      </c>
      <c r="M490" s="4752">
        <f>'Tab. 6H - Kultura fiz. i turyst'!L59</f>
        <v>0</v>
      </c>
      <c r="N490" s="4752"/>
      <c r="O490" s="4752"/>
      <c r="P490" s="4752"/>
      <c r="Q490" s="4752"/>
      <c r="R490" s="4753"/>
      <c r="S490" s="4753"/>
      <c r="T490" s="4753"/>
      <c r="U490" s="4753"/>
      <c r="V490" s="4753"/>
    </row>
    <row r="491" spans="1:22" ht="27.75" customHeight="1">
      <c r="A491" s="4757" t="s">
        <v>86</v>
      </c>
      <c r="B491" s="4758" t="str">
        <f>'Tab. 6A -Drogi'!B276</f>
        <v>Rozbudowa drogi wojewódzkiej nr 151 na odcinku Płotno-Pełczyce w ramach Osi V RPO WZ (2018-2019)</v>
      </c>
      <c r="C491" s="5008" t="s">
        <v>821</v>
      </c>
      <c r="D491" s="4720">
        <f>E494/E492%</f>
        <v>84.522471910112358</v>
      </c>
      <c r="E491" s="4721"/>
      <c r="F491" s="4722"/>
      <c r="G491" s="4723"/>
      <c r="H491" s="4722"/>
      <c r="I491" s="4722"/>
      <c r="J491" s="4722"/>
      <c r="K491" s="4722"/>
      <c r="L491" s="4722"/>
      <c r="M491" s="4722"/>
      <c r="N491" s="4722"/>
      <c r="O491" s="4722"/>
      <c r="P491" s="4722"/>
      <c r="Q491" s="4722"/>
      <c r="R491" s="4724"/>
      <c r="S491" s="4725"/>
      <c r="T491" s="4725"/>
      <c r="U491" s="4725"/>
      <c r="V491" s="4725"/>
    </row>
    <row r="492" spans="1:22" ht="14.25" customHeight="1">
      <c r="A492" s="4759"/>
      <c r="B492" s="4727" t="s">
        <v>195</v>
      </c>
      <c r="C492" s="4728"/>
      <c r="D492" s="4729"/>
      <c r="E492" s="4730">
        <f>+F492+G492+H492+I492+J492+K492+L492+M492</f>
        <v>17800000</v>
      </c>
      <c r="F492" s="4731">
        <f>'Tab. 6A -Drogi'!E277</f>
        <v>0</v>
      </c>
      <c r="G492" s="4731">
        <f>'Tab. 6A -Drogi'!F277</f>
        <v>0</v>
      </c>
      <c r="H492" s="4731">
        <f>'Tab. 6A -Drogi'!G277</f>
        <v>2290650</v>
      </c>
      <c r="I492" s="4731">
        <f>'Tab. 6A -Drogi'!H277</f>
        <v>15509350</v>
      </c>
      <c r="J492" s="4731">
        <f>'Tab. 6A -Drogi'!I277</f>
        <v>0</v>
      </c>
      <c r="K492" s="4731">
        <f>'Tab. 6A -Drogi'!J277</f>
        <v>0</v>
      </c>
      <c r="L492" s="4731">
        <f>'Tab. 6A -Drogi'!K277</f>
        <v>0</v>
      </c>
      <c r="M492" s="4731">
        <f>'Tab. 6A -Drogi'!L277</f>
        <v>0</v>
      </c>
      <c r="N492" s="4731"/>
      <c r="O492" s="4731"/>
      <c r="P492" s="4731"/>
      <c r="Q492" s="4731"/>
      <c r="R492" s="4732"/>
      <c r="S492" s="4733"/>
      <c r="T492" s="4733"/>
      <c r="U492" s="4733"/>
      <c r="V492" s="4733"/>
    </row>
    <row r="493" spans="1:22" ht="13.5" customHeight="1">
      <c r="A493" s="4759"/>
      <c r="B493" s="4734" t="s">
        <v>320</v>
      </c>
      <c r="C493" s="4735"/>
      <c r="D493" s="4736"/>
      <c r="E493" s="4737">
        <f>+F493+G493+H493+I493+J493+K493+L493+M493</f>
        <v>2755000</v>
      </c>
      <c r="F493" s="4738">
        <f>'Tab. 6A -Drogi'!E278</f>
        <v>0</v>
      </c>
      <c r="G493" s="4738">
        <f>'Tab. 6A -Drogi'!F278</f>
        <v>0</v>
      </c>
      <c r="H493" s="4738">
        <f>'Tab. 6A -Drogi'!G278</f>
        <v>428598</v>
      </c>
      <c r="I493" s="4738">
        <f>'Tab. 6A -Drogi'!H278</f>
        <v>2326402</v>
      </c>
      <c r="J493" s="4738">
        <f>'Tab. 6A -Drogi'!I278</f>
        <v>0</v>
      </c>
      <c r="K493" s="4738">
        <f>'Tab. 6A -Drogi'!J278</f>
        <v>0</v>
      </c>
      <c r="L493" s="4738">
        <f>'Tab. 6A -Drogi'!K278</f>
        <v>0</v>
      </c>
      <c r="M493" s="4738">
        <f>'Tab. 6A -Drogi'!L278</f>
        <v>0</v>
      </c>
      <c r="N493" s="4738"/>
      <c r="O493" s="4738"/>
      <c r="P493" s="4738"/>
      <c r="Q493" s="4738"/>
      <c r="R493" s="4739"/>
      <c r="S493" s="4739"/>
      <c r="T493" s="4739"/>
      <c r="U493" s="4739"/>
      <c r="V493" s="4739"/>
    </row>
    <row r="494" spans="1:22" ht="13.5" customHeight="1" thickBot="1">
      <c r="A494" s="4759"/>
      <c r="B494" s="4740" t="s">
        <v>197</v>
      </c>
      <c r="C494" s="4754">
        <f>E494-E495</f>
        <v>0</v>
      </c>
      <c r="D494" s="4742"/>
      <c r="E494" s="4743">
        <f>+F494+G494+H494+I494+J494+K494+L494+M494</f>
        <v>15045000</v>
      </c>
      <c r="F494" s="4744">
        <f>'Tab. 6A -Drogi'!E282</f>
        <v>0</v>
      </c>
      <c r="G494" s="4744">
        <f>'Tab. 6A -Drogi'!F282</f>
        <v>0</v>
      </c>
      <c r="H494" s="4744">
        <f>'Tab. 6A -Drogi'!G282</f>
        <v>1862052</v>
      </c>
      <c r="I494" s="4744">
        <f>'Tab. 6A -Drogi'!H282</f>
        <v>13182948</v>
      </c>
      <c r="J494" s="4744">
        <f>'Tab. 6A -Drogi'!I282</f>
        <v>0</v>
      </c>
      <c r="K494" s="4744">
        <f>'Tab. 6A -Drogi'!J282</f>
        <v>0</v>
      </c>
      <c r="L494" s="4744">
        <f>'Tab. 6A -Drogi'!K282</f>
        <v>0</v>
      </c>
      <c r="M494" s="4744">
        <f>'Tab. 6A -Drogi'!L282</f>
        <v>0</v>
      </c>
      <c r="N494" s="4744"/>
      <c r="O494" s="4744"/>
      <c r="P494" s="4744"/>
      <c r="Q494" s="4744"/>
      <c r="R494" s="4745"/>
      <c r="S494" s="4746"/>
      <c r="T494" s="4746"/>
      <c r="U494" s="4746"/>
      <c r="V494" s="4746"/>
    </row>
    <row r="495" spans="1:22" ht="13.5" customHeight="1" thickBot="1">
      <c r="A495" s="4763"/>
      <c r="B495" s="4748" t="s">
        <v>317</v>
      </c>
      <c r="C495" s="4749"/>
      <c r="D495" s="4750"/>
      <c r="E495" s="4751">
        <f>F495+G495+H495+I495+J495+K495+L495+M495</f>
        <v>15045000</v>
      </c>
      <c r="F495" s="4752">
        <f>'Tab. 6A -Drogi'!E287</f>
        <v>0</v>
      </c>
      <c r="G495" s="4752">
        <f>'Tab. 6A -Drogi'!F287</f>
        <v>0</v>
      </c>
      <c r="H495" s="4752">
        <f>'Tab. 6A -Drogi'!G287</f>
        <v>0</v>
      </c>
      <c r="I495" s="4752">
        <f>'Tab. 6A -Drogi'!H287</f>
        <v>15045000</v>
      </c>
      <c r="J495" s="4752">
        <f>'Tab. 6A -Drogi'!I287</f>
        <v>0</v>
      </c>
      <c r="K495" s="4752">
        <f>'Tab. 6A -Drogi'!J287</f>
        <v>0</v>
      </c>
      <c r="L495" s="4752">
        <f>'Tab. 6A -Drogi'!K287</f>
        <v>0</v>
      </c>
      <c r="M495" s="4752">
        <f>'Tab. 6A -Drogi'!L287</f>
        <v>0</v>
      </c>
      <c r="N495" s="4752"/>
      <c r="O495" s="4752"/>
      <c r="P495" s="4752"/>
      <c r="Q495" s="4752"/>
      <c r="R495" s="4753"/>
      <c r="S495" s="4753"/>
      <c r="T495" s="4753"/>
      <c r="U495" s="4753"/>
      <c r="V495" s="4753"/>
    </row>
    <row r="496" spans="1:22" ht="14.25" hidden="1" customHeight="1">
      <c r="A496" s="4855"/>
      <c r="B496" s="4856"/>
      <c r="C496" s="5009" t="s">
        <v>318</v>
      </c>
      <c r="D496" s="4720" t="e">
        <f>E499/E497%</f>
        <v>#DIV/0!</v>
      </c>
      <c r="E496" s="4721"/>
      <c r="F496" s="4722"/>
      <c r="G496" s="4723"/>
      <c r="H496" s="4722"/>
      <c r="I496" s="4722"/>
      <c r="J496" s="4722"/>
      <c r="K496" s="4722"/>
      <c r="L496" s="4722"/>
      <c r="M496" s="4722"/>
      <c r="N496" s="4722"/>
      <c r="O496" s="4722"/>
      <c r="P496" s="4722"/>
      <c r="Q496" s="4722"/>
      <c r="R496" s="4724"/>
      <c r="S496" s="4725"/>
      <c r="T496" s="4725"/>
      <c r="U496" s="4725"/>
      <c r="V496" s="4725"/>
    </row>
    <row r="497" spans="1:22" ht="13.5" hidden="1" customHeight="1">
      <c r="A497" s="4859"/>
      <c r="B497" s="4727" t="s">
        <v>195</v>
      </c>
      <c r="C497" s="4728"/>
      <c r="D497" s="4729"/>
      <c r="E497" s="4730">
        <f>+F497+G497+H497+I497+J497+K497+L497+M497</f>
        <v>0</v>
      </c>
      <c r="F497" s="4731"/>
      <c r="G497" s="4731"/>
      <c r="H497" s="4731"/>
      <c r="I497" s="4731"/>
      <c r="J497" s="4731"/>
      <c r="K497" s="4731"/>
      <c r="L497" s="4731"/>
      <c r="M497" s="4731"/>
      <c r="N497" s="4731"/>
      <c r="O497" s="4731"/>
      <c r="P497" s="4731"/>
      <c r="Q497" s="4731"/>
      <c r="R497" s="4732"/>
      <c r="S497" s="4733"/>
      <c r="T497" s="4733"/>
      <c r="U497" s="4733"/>
      <c r="V497" s="4733"/>
    </row>
    <row r="498" spans="1:22" ht="13.5" hidden="1" customHeight="1">
      <c r="A498" s="4859"/>
      <c r="B498" s="4734" t="s">
        <v>320</v>
      </c>
      <c r="C498" s="4735"/>
      <c r="D498" s="4736"/>
      <c r="E498" s="4737">
        <f>+F498+G498+H498+I498+J498+K498+L498+M498</f>
        <v>0</v>
      </c>
      <c r="F498" s="4738"/>
      <c r="G498" s="4738"/>
      <c r="H498" s="4738"/>
      <c r="I498" s="4738"/>
      <c r="J498" s="4738"/>
      <c r="K498" s="4738"/>
      <c r="L498" s="4738"/>
      <c r="M498" s="4738"/>
      <c r="N498" s="4738"/>
      <c r="O498" s="4738"/>
      <c r="P498" s="4738"/>
      <c r="Q498" s="4738"/>
      <c r="R498" s="4739"/>
      <c r="S498" s="4739"/>
      <c r="T498" s="4739"/>
      <c r="U498" s="4739"/>
      <c r="V498" s="4739"/>
    </row>
    <row r="499" spans="1:22" ht="13.5" hidden="1" customHeight="1" thickBot="1">
      <c r="A499" s="4859"/>
      <c r="B499" s="4740" t="s">
        <v>197</v>
      </c>
      <c r="C499" s="4754">
        <f>E499-E500</f>
        <v>0</v>
      </c>
      <c r="D499" s="4742"/>
      <c r="E499" s="4743">
        <f>+F499+G499+H499+I499+J499+K499+L499+M499</f>
        <v>0</v>
      </c>
      <c r="F499" s="4744"/>
      <c r="G499" s="4744"/>
      <c r="H499" s="4744"/>
      <c r="I499" s="4744"/>
      <c r="J499" s="4744"/>
      <c r="K499" s="4744"/>
      <c r="L499" s="4744"/>
      <c r="M499" s="4744"/>
      <c r="N499" s="4744"/>
      <c r="O499" s="4744"/>
      <c r="P499" s="4744"/>
      <c r="Q499" s="4744"/>
      <c r="R499" s="4745"/>
      <c r="S499" s="4746"/>
      <c r="T499" s="4746"/>
      <c r="U499" s="4746"/>
      <c r="V499" s="4746"/>
    </row>
    <row r="500" spans="1:22" ht="13.5" hidden="1" customHeight="1" thickBot="1">
      <c r="A500" s="4864"/>
      <c r="B500" s="4748" t="s">
        <v>317</v>
      </c>
      <c r="C500" s="4749"/>
      <c r="D500" s="4750"/>
      <c r="E500" s="4751">
        <f>F500+G500+H500+I500+J500+K500+L500+M500</f>
        <v>0</v>
      </c>
      <c r="F500" s="4752"/>
      <c r="G500" s="4752"/>
      <c r="H500" s="4752"/>
      <c r="I500" s="4752"/>
      <c r="J500" s="4752"/>
      <c r="K500" s="4752"/>
      <c r="L500" s="4752"/>
      <c r="M500" s="4752"/>
      <c r="N500" s="4752"/>
      <c r="O500" s="4752"/>
      <c r="P500" s="4752"/>
      <c r="Q500" s="4752"/>
      <c r="R500" s="4753"/>
      <c r="S500" s="4753"/>
      <c r="T500" s="4753"/>
      <c r="U500" s="4753"/>
      <c r="V500" s="4753"/>
    </row>
    <row r="501" spans="1:22" ht="14.25" hidden="1" customHeight="1">
      <c r="A501" s="4855"/>
      <c r="B501" s="4856"/>
      <c r="C501" s="5009" t="s">
        <v>318</v>
      </c>
      <c r="D501" s="4720" t="e">
        <f>E504/E502%</f>
        <v>#DIV/0!</v>
      </c>
      <c r="E501" s="4721"/>
      <c r="F501" s="4722"/>
      <c r="G501" s="4723"/>
      <c r="H501" s="4722"/>
      <c r="I501" s="4722"/>
      <c r="J501" s="4722"/>
      <c r="K501" s="4722"/>
      <c r="L501" s="4722"/>
      <c r="M501" s="4722"/>
      <c r="N501" s="4722"/>
      <c r="O501" s="4722"/>
      <c r="P501" s="4722"/>
      <c r="Q501" s="4722"/>
      <c r="R501" s="4724"/>
      <c r="S501" s="4725"/>
      <c r="T501" s="4725"/>
      <c r="U501" s="4725"/>
      <c r="V501" s="4725"/>
    </row>
    <row r="502" spans="1:22" ht="13.5" hidden="1" customHeight="1">
      <c r="A502" s="4859"/>
      <c r="B502" s="4727" t="s">
        <v>195</v>
      </c>
      <c r="C502" s="4728"/>
      <c r="D502" s="4729"/>
      <c r="E502" s="4730">
        <f>+F502+G502+H502+I502+J502+K502+L502+M502</f>
        <v>0</v>
      </c>
      <c r="F502" s="4731"/>
      <c r="G502" s="4731"/>
      <c r="H502" s="4731"/>
      <c r="I502" s="4731"/>
      <c r="J502" s="4731"/>
      <c r="K502" s="4731"/>
      <c r="L502" s="4731"/>
      <c r="M502" s="4731"/>
      <c r="N502" s="4731"/>
      <c r="O502" s="4731"/>
      <c r="P502" s="4731"/>
      <c r="Q502" s="4731"/>
      <c r="R502" s="4732"/>
      <c r="S502" s="4733"/>
      <c r="T502" s="4733"/>
      <c r="U502" s="4733"/>
      <c r="V502" s="4733"/>
    </row>
    <row r="503" spans="1:22" ht="13.5" hidden="1" customHeight="1">
      <c r="A503" s="4859"/>
      <c r="B503" s="4734" t="s">
        <v>320</v>
      </c>
      <c r="C503" s="4735"/>
      <c r="D503" s="4736"/>
      <c r="E503" s="4737">
        <f>+F503+G503+H503+I503+J503+K503+L503+M503</f>
        <v>0</v>
      </c>
      <c r="F503" s="4738"/>
      <c r="G503" s="4738"/>
      <c r="H503" s="4738"/>
      <c r="I503" s="4738"/>
      <c r="J503" s="4738"/>
      <c r="K503" s="4738"/>
      <c r="L503" s="4738"/>
      <c r="M503" s="4738"/>
      <c r="N503" s="4738"/>
      <c r="O503" s="4738"/>
      <c r="P503" s="4738"/>
      <c r="Q503" s="4738"/>
      <c r="R503" s="4739"/>
      <c r="S503" s="4739"/>
      <c r="T503" s="4739"/>
      <c r="U503" s="4739"/>
      <c r="V503" s="4739"/>
    </row>
    <row r="504" spans="1:22" ht="13.5" hidden="1" customHeight="1" thickBot="1">
      <c r="A504" s="4859"/>
      <c r="B504" s="4740" t="s">
        <v>197</v>
      </c>
      <c r="C504" s="4754">
        <f>E504-E505</f>
        <v>0</v>
      </c>
      <c r="D504" s="4742"/>
      <c r="E504" s="4743">
        <f>+F504+G504+H504+I504+J504+K504+L504+M504</f>
        <v>0</v>
      </c>
      <c r="F504" s="4744"/>
      <c r="G504" s="4744"/>
      <c r="H504" s="4744"/>
      <c r="I504" s="4744"/>
      <c r="J504" s="4744"/>
      <c r="K504" s="4744"/>
      <c r="L504" s="4744"/>
      <c r="M504" s="4744"/>
      <c r="N504" s="4744"/>
      <c r="O504" s="4744"/>
      <c r="P504" s="4744"/>
      <c r="Q504" s="4744"/>
      <c r="R504" s="4745"/>
      <c r="S504" s="4746"/>
      <c r="T504" s="4746"/>
      <c r="U504" s="4746"/>
      <c r="V504" s="4746"/>
    </row>
    <row r="505" spans="1:22" ht="13.5" hidden="1" customHeight="1" thickBot="1">
      <c r="A505" s="4864"/>
      <c r="B505" s="4748" t="s">
        <v>317</v>
      </c>
      <c r="C505" s="4749"/>
      <c r="D505" s="4750"/>
      <c r="E505" s="4751">
        <f>F505+G505+H505+I505+J505+K505+L505+M505</f>
        <v>0</v>
      </c>
      <c r="F505" s="4752"/>
      <c r="G505" s="4752"/>
      <c r="H505" s="4752"/>
      <c r="I505" s="4752"/>
      <c r="J505" s="4752"/>
      <c r="K505" s="4752"/>
      <c r="L505" s="4752"/>
      <c r="M505" s="4752"/>
      <c r="N505" s="4752"/>
      <c r="O505" s="4752"/>
      <c r="P505" s="4752"/>
      <c r="Q505" s="4752"/>
      <c r="R505" s="4753"/>
      <c r="S505" s="4753"/>
      <c r="T505" s="4753"/>
      <c r="U505" s="4753"/>
      <c r="V505" s="4753"/>
    </row>
    <row r="506" spans="1:22" ht="14.25" hidden="1" customHeight="1">
      <c r="A506" s="4855"/>
      <c r="B506" s="4856"/>
      <c r="C506" s="5009" t="s">
        <v>318</v>
      </c>
      <c r="D506" s="4720" t="e">
        <f>E509/E507%</f>
        <v>#DIV/0!</v>
      </c>
      <c r="E506" s="4721"/>
      <c r="F506" s="4722"/>
      <c r="G506" s="4723"/>
      <c r="H506" s="4722"/>
      <c r="I506" s="4722"/>
      <c r="J506" s="4722"/>
      <c r="K506" s="4722"/>
      <c r="L506" s="4722"/>
      <c r="M506" s="4722"/>
      <c r="N506" s="4722"/>
      <c r="O506" s="4722"/>
      <c r="P506" s="4722"/>
      <c r="Q506" s="4722"/>
      <c r="R506" s="4724"/>
      <c r="S506" s="4725"/>
      <c r="T506" s="4725"/>
      <c r="U506" s="4725"/>
      <c r="V506" s="4725"/>
    </row>
    <row r="507" spans="1:22" ht="15" hidden="1" customHeight="1">
      <c r="A507" s="4859"/>
      <c r="B507" s="4727" t="s">
        <v>195</v>
      </c>
      <c r="C507" s="4728"/>
      <c r="D507" s="4729"/>
      <c r="E507" s="4730">
        <f>+F507+G507+H507+I507+J507+K507+L507+M507</f>
        <v>0</v>
      </c>
      <c r="F507" s="4731">
        <f>'Tab. 6A -Drogi'!E229</f>
        <v>0</v>
      </c>
      <c r="G507" s="4731"/>
      <c r="H507" s="4731"/>
      <c r="I507" s="4731"/>
      <c r="J507" s="4731"/>
      <c r="K507" s="4731"/>
      <c r="L507" s="4731"/>
      <c r="M507" s="4731"/>
      <c r="N507" s="4731"/>
      <c r="O507" s="4731"/>
      <c r="P507" s="4731"/>
      <c r="Q507" s="4731"/>
      <c r="R507" s="4732"/>
      <c r="S507" s="4733"/>
      <c r="T507" s="4733"/>
      <c r="U507" s="4733"/>
      <c r="V507" s="4733"/>
    </row>
    <row r="508" spans="1:22" ht="15" hidden="1" customHeight="1">
      <c r="A508" s="4859"/>
      <c r="B508" s="4734" t="s">
        <v>321</v>
      </c>
      <c r="C508" s="4735"/>
      <c r="D508" s="4736"/>
      <c r="E508" s="4737">
        <f>+F508+G508+H508+I508+J508+K508+L508+M508</f>
        <v>0</v>
      </c>
      <c r="F508" s="4738">
        <f>'Tab. 6A -Drogi'!E230</f>
        <v>0</v>
      </c>
      <c r="G508" s="4738"/>
      <c r="H508" s="4738"/>
      <c r="I508" s="4738"/>
      <c r="J508" s="4738"/>
      <c r="K508" s="4738"/>
      <c r="L508" s="4738"/>
      <c r="M508" s="4738"/>
      <c r="N508" s="4738"/>
      <c r="O508" s="4738"/>
      <c r="P508" s="4738"/>
      <c r="Q508" s="4738"/>
      <c r="R508" s="4739"/>
      <c r="S508" s="4739"/>
      <c r="T508" s="4739"/>
      <c r="U508" s="4739"/>
      <c r="V508" s="4739"/>
    </row>
    <row r="509" spans="1:22" ht="15" hidden="1" customHeight="1" thickBot="1">
      <c r="A509" s="4859"/>
      <c r="B509" s="4740" t="s">
        <v>197</v>
      </c>
      <c r="C509" s="4754">
        <f>E509-E510</f>
        <v>0</v>
      </c>
      <c r="D509" s="4742"/>
      <c r="E509" s="4743">
        <f>+F509+G509+H509+I509+J509+K509+L509+M509</f>
        <v>0</v>
      </c>
      <c r="F509" s="4744">
        <f>'Tab. 6A -Drogi'!E233</f>
        <v>0</v>
      </c>
      <c r="G509" s="4744"/>
      <c r="H509" s="4744"/>
      <c r="I509" s="4744"/>
      <c r="J509" s="4744"/>
      <c r="K509" s="4744"/>
      <c r="L509" s="4744"/>
      <c r="M509" s="4744"/>
      <c r="N509" s="4744"/>
      <c r="O509" s="4744"/>
      <c r="P509" s="4744"/>
      <c r="Q509" s="4744"/>
      <c r="R509" s="4745"/>
      <c r="S509" s="4746"/>
      <c r="T509" s="4746"/>
      <c r="U509" s="4746"/>
      <c r="V509" s="4746"/>
    </row>
    <row r="510" spans="1:22" ht="15" hidden="1" customHeight="1" thickBot="1">
      <c r="A510" s="4864"/>
      <c r="B510" s="4748" t="s">
        <v>317</v>
      </c>
      <c r="C510" s="4749"/>
      <c r="D510" s="4750"/>
      <c r="E510" s="4751">
        <f>F510+G510+H510+I510+J510+K510+L510+M510</f>
        <v>0</v>
      </c>
      <c r="F510" s="4752">
        <f>'Tab. 6A -Drogi'!E238</f>
        <v>0</v>
      </c>
      <c r="G510" s="4752"/>
      <c r="H510" s="4752"/>
      <c r="I510" s="4752"/>
      <c r="J510" s="4752"/>
      <c r="K510" s="4752"/>
      <c r="L510" s="4752"/>
      <c r="M510" s="4752"/>
      <c r="N510" s="4752"/>
      <c r="O510" s="4752"/>
      <c r="P510" s="4752"/>
      <c r="Q510" s="4752"/>
      <c r="R510" s="4753"/>
      <c r="S510" s="4753"/>
      <c r="T510" s="4753"/>
      <c r="U510" s="4753"/>
      <c r="V510" s="4753"/>
    </row>
    <row r="511" spans="1:22" ht="15.75" hidden="1" customHeight="1" thickBot="1">
      <c r="A511" s="5010"/>
      <c r="B511" s="5011" t="s">
        <v>397</v>
      </c>
      <c r="C511" s="5012"/>
      <c r="D511" s="5013"/>
      <c r="E511" s="5012"/>
      <c r="F511" s="5012"/>
      <c r="G511" s="5012"/>
      <c r="H511" s="5012"/>
      <c r="I511" s="5014"/>
      <c r="J511" s="5013"/>
      <c r="K511" s="5012"/>
      <c r="L511" s="5012"/>
      <c r="M511" s="5012"/>
      <c r="N511" s="5012"/>
      <c r="O511" s="5012"/>
      <c r="P511" s="5012"/>
      <c r="Q511" s="5012"/>
      <c r="R511" s="5015"/>
      <c r="S511" s="5012"/>
      <c r="T511" s="5012"/>
      <c r="U511" s="5012"/>
      <c r="V511" s="5012"/>
    </row>
    <row r="512" spans="1:22" ht="15" hidden="1" customHeight="1" thickBot="1">
      <c r="A512" s="4855" t="s">
        <v>92</v>
      </c>
      <c r="B512" s="4856"/>
      <c r="C512" s="4719" t="s">
        <v>394</v>
      </c>
      <c r="D512" s="4720" t="e">
        <f>E515/E513%</f>
        <v>#DIV/0!</v>
      </c>
      <c r="E512" s="4721"/>
      <c r="F512" s="4722"/>
      <c r="G512" s="4723"/>
      <c r="H512" s="4722"/>
      <c r="I512" s="4722"/>
      <c r="J512" s="4722"/>
      <c r="K512" s="4722"/>
      <c r="L512" s="4722"/>
      <c r="M512" s="4722"/>
      <c r="N512" s="4722"/>
      <c r="O512" s="4722"/>
      <c r="P512" s="4722"/>
      <c r="Q512" s="4722"/>
      <c r="R512" s="4724"/>
      <c r="S512" s="4725"/>
      <c r="T512" s="4725"/>
      <c r="U512" s="4725"/>
      <c r="V512" s="4725"/>
    </row>
    <row r="513" spans="1:22" ht="13.5" hidden="1" customHeight="1">
      <c r="A513" s="4859"/>
      <c r="B513" s="4727" t="s">
        <v>195</v>
      </c>
      <c r="C513" s="4728"/>
      <c r="D513" s="4729"/>
      <c r="E513" s="4730">
        <f>+F513+G513+H513+I513+J513+K513+L513+M513</f>
        <v>0</v>
      </c>
      <c r="F513" s="4731"/>
      <c r="G513" s="4731"/>
      <c r="H513" s="4731"/>
      <c r="I513" s="4731"/>
      <c r="J513" s="4731"/>
      <c r="K513" s="4731"/>
      <c r="L513" s="4731"/>
      <c r="M513" s="4731"/>
      <c r="N513" s="4731"/>
      <c r="O513" s="4731"/>
      <c r="P513" s="4731"/>
      <c r="Q513" s="4731"/>
      <c r="R513" s="4732"/>
      <c r="S513" s="4733"/>
      <c r="T513" s="4733"/>
      <c r="U513" s="4733"/>
      <c r="V513" s="4733"/>
    </row>
    <row r="514" spans="1:22" ht="13.5" hidden="1" customHeight="1" thickBot="1">
      <c r="A514" s="4859"/>
      <c r="B514" s="4734" t="s">
        <v>347</v>
      </c>
      <c r="C514" s="4735"/>
      <c r="D514" s="4736"/>
      <c r="E514" s="4737">
        <f>+F514+G514+H514+I514+J514+K514+L514+M514</f>
        <v>0</v>
      </c>
      <c r="F514" s="4738"/>
      <c r="G514" s="4738"/>
      <c r="H514" s="4738"/>
      <c r="I514" s="4738"/>
      <c r="J514" s="4738"/>
      <c r="K514" s="4738"/>
      <c r="L514" s="4738"/>
      <c r="M514" s="4738"/>
      <c r="N514" s="4738"/>
      <c r="O514" s="4738"/>
      <c r="P514" s="4738"/>
      <c r="Q514" s="4738"/>
      <c r="R514" s="4739"/>
      <c r="S514" s="4739"/>
      <c r="T514" s="4739"/>
      <c r="U514" s="4739"/>
      <c r="V514" s="4739"/>
    </row>
    <row r="515" spans="1:22" ht="13.5" hidden="1" customHeight="1" thickBot="1">
      <c r="A515" s="4859"/>
      <c r="B515" s="4740" t="s">
        <v>197</v>
      </c>
      <c r="C515" s="4754">
        <f>E515-E516</f>
        <v>0</v>
      </c>
      <c r="D515" s="4742"/>
      <c r="E515" s="4743">
        <f>+F515+G515+H515+I515+J515+K515+L515+M515</f>
        <v>0</v>
      </c>
      <c r="F515" s="4744"/>
      <c r="G515" s="4744"/>
      <c r="H515" s="4744"/>
      <c r="I515" s="4744"/>
      <c r="J515" s="4744"/>
      <c r="K515" s="4744"/>
      <c r="L515" s="4744"/>
      <c r="M515" s="4744"/>
      <c r="N515" s="4744"/>
      <c r="O515" s="4744"/>
      <c r="P515" s="4744"/>
      <c r="Q515" s="4744"/>
      <c r="R515" s="4745"/>
      <c r="S515" s="4746"/>
      <c r="T515" s="4746"/>
      <c r="U515" s="4746"/>
      <c r="V515" s="4746"/>
    </row>
    <row r="516" spans="1:22" ht="16.5" hidden="1" customHeight="1" thickBot="1">
      <c r="A516" s="4864"/>
      <c r="B516" s="4748" t="s">
        <v>317</v>
      </c>
      <c r="C516" s="4749"/>
      <c r="D516" s="4750"/>
      <c r="E516" s="4751">
        <f>F516+G516+H516+I516+J516+K516+L516+M516</f>
        <v>0</v>
      </c>
      <c r="F516" s="4752"/>
      <c r="G516" s="4752"/>
      <c r="H516" s="4752"/>
      <c r="I516" s="4752"/>
      <c r="J516" s="4752"/>
      <c r="K516" s="4752"/>
      <c r="L516" s="4752"/>
      <c r="M516" s="4752"/>
      <c r="N516" s="4752"/>
      <c r="O516" s="4752"/>
      <c r="P516" s="4752"/>
      <c r="Q516" s="4752"/>
      <c r="R516" s="4753"/>
      <c r="S516" s="4753"/>
      <c r="T516" s="4753"/>
      <c r="U516" s="4753"/>
      <c r="V516" s="4753"/>
    </row>
    <row r="517" spans="1:22" ht="17.25" customHeight="1">
      <c r="A517" s="4717" t="s">
        <v>84</v>
      </c>
      <c r="B517" s="4718" t="s">
        <v>753</v>
      </c>
      <c r="C517" s="4719" t="s">
        <v>318</v>
      </c>
      <c r="D517" s="4720">
        <f>E520/E518%</f>
        <v>68.789149027478558</v>
      </c>
      <c r="E517" s="4721"/>
      <c r="F517" s="4722"/>
      <c r="G517" s="4723"/>
      <c r="H517" s="4722"/>
      <c r="I517" s="4722"/>
      <c r="J517" s="4722"/>
      <c r="K517" s="4722"/>
      <c r="L517" s="4722"/>
      <c r="M517" s="4722"/>
      <c r="N517" s="4722"/>
      <c r="O517" s="4722"/>
      <c r="P517" s="4722"/>
      <c r="Q517" s="4722"/>
      <c r="R517" s="4724"/>
      <c r="S517" s="4725"/>
      <c r="T517" s="4725"/>
      <c r="U517" s="4725"/>
      <c r="V517" s="4725"/>
    </row>
    <row r="518" spans="1:22" ht="15" customHeight="1">
      <c r="A518" s="4726"/>
      <c r="B518" s="4727" t="s">
        <v>195</v>
      </c>
      <c r="C518" s="4728"/>
      <c r="D518" s="4729"/>
      <c r="E518" s="4730">
        <f>+F518+G518+H518+I518+J518+K518+L518+M518</f>
        <v>17301675</v>
      </c>
      <c r="F518" s="4731">
        <f>'Tab. 6A -Drogi'!E325</f>
        <v>0</v>
      </c>
      <c r="G518" s="4731"/>
      <c r="H518" s="4731"/>
      <c r="I518" s="4731"/>
      <c r="J518" s="4731">
        <f>11901675+5400000</f>
        <v>17301675</v>
      </c>
      <c r="K518" s="4731"/>
      <c r="L518" s="4731"/>
      <c r="M518" s="4731"/>
      <c r="N518" s="4731"/>
      <c r="O518" s="4731"/>
      <c r="P518" s="4731"/>
      <c r="Q518" s="4731"/>
      <c r="R518" s="4732"/>
      <c r="S518" s="4733"/>
      <c r="T518" s="4733"/>
      <c r="U518" s="4733"/>
      <c r="V518" s="4733"/>
    </row>
    <row r="519" spans="1:22">
      <c r="A519" s="4726"/>
      <c r="B519" s="4734" t="s">
        <v>320</v>
      </c>
      <c r="C519" s="4735"/>
      <c r="D519" s="4736"/>
      <c r="E519" s="4737">
        <f>+F519+G519+H519+I519+J519+K519+L519+M519</f>
        <v>5400000</v>
      </c>
      <c r="F519" s="4738">
        <f>'Tab. 6A -Drogi'!E326</f>
        <v>0</v>
      </c>
      <c r="G519" s="4738"/>
      <c r="H519" s="4738"/>
      <c r="I519" s="4738"/>
      <c r="J519" s="4738">
        <v>5400000</v>
      </c>
      <c r="K519" s="4738"/>
      <c r="L519" s="4738"/>
      <c r="M519" s="4738"/>
      <c r="N519" s="4738"/>
      <c r="O519" s="4738"/>
      <c r="P519" s="4738"/>
      <c r="Q519" s="4738"/>
      <c r="R519" s="4739"/>
      <c r="S519" s="4739"/>
      <c r="T519" s="4739"/>
      <c r="U519" s="4739"/>
      <c r="V519" s="4739"/>
    </row>
    <row r="520" spans="1:22" ht="13.5" thickBot="1">
      <c r="A520" s="4726"/>
      <c r="B520" s="4740" t="s">
        <v>197</v>
      </c>
      <c r="C520" s="4754">
        <f>E520-E521</f>
        <v>0</v>
      </c>
      <c r="D520" s="4742"/>
      <c r="E520" s="4743">
        <f>+F520+G520+H520+I520+J520+K520+L520+M520</f>
        <v>11901675</v>
      </c>
      <c r="F520" s="4744">
        <f>'Tab. 6A -Drogi'!E329</f>
        <v>0</v>
      </c>
      <c r="G520" s="4744"/>
      <c r="H520" s="4744"/>
      <c r="I520" s="4744"/>
      <c r="J520" s="4744">
        <v>11901675</v>
      </c>
      <c r="K520" s="4744"/>
      <c r="L520" s="4744"/>
      <c r="M520" s="4744"/>
      <c r="N520" s="4744"/>
      <c r="O520" s="4744"/>
      <c r="P520" s="4744"/>
      <c r="Q520" s="4744"/>
      <c r="R520" s="4745"/>
      <c r="S520" s="4746"/>
      <c r="T520" s="4746"/>
      <c r="U520" s="4746"/>
      <c r="V520" s="4746"/>
    </row>
    <row r="521" spans="1:22" ht="15.75" customHeight="1" thickBot="1">
      <c r="A521" s="4747"/>
      <c r="B521" s="4748" t="s">
        <v>317</v>
      </c>
      <c r="C521" s="4749"/>
      <c r="D521" s="4750"/>
      <c r="E521" s="4751">
        <f>F521+G521+H521+I521+J521+K521+L521+M521</f>
        <v>11901675</v>
      </c>
      <c r="F521" s="4752">
        <f>'Tab. 6A -Drogi'!E334</f>
        <v>0</v>
      </c>
      <c r="G521" s="4752"/>
      <c r="H521" s="4752"/>
      <c r="I521" s="4752"/>
      <c r="J521" s="4752">
        <v>11901675</v>
      </c>
      <c r="K521" s="4752"/>
      <c r="L521" s="4752"/>
      <c r="M521" s="4752"/>
      <c r="N521" s="4752"/>
      <c r="O521" s="4752"/>
      <c r="P521" s="4752"/>
      <c r="Q521" s="4752"/>
      <c r="R521" s="4753"/>
      <c r="S521" s="4753"/>
      <c r="T521" s="4753"/>
      <c r="U521" s="4753"/>
      <c r="V521" s="4753"/>
    </row>
    <row r="522" spans="1:22" ht="14.25" hidden="1" customHeight="1">
      <c r="A522" s="4855"/>
      <c r="B522" s="4856"/>
      <c r="C522" s="4719" t="s">
        <v>394</v>
      </c>
      <c r="D522" s="4720" t="e">
        <f>E525/E523%</f>
        <v>#DIV/0!</v>
      </c>
      <c r="E522" s="4721"/>
      <c r="F522" s="4722"/>
      <c r="G522" s="4723"/>
      <c r="H522" s="4722"/>
      <c r="I522" s="4722"/>
      <c r="J522" s="4722"/>
      <c r="K522" s="4722"/>
      <c r="L522" s="4722"/>
      <c r="M522" s="4722"/>
      <c r="N522" s="4722"/>
      <c r="O522" s="4722"/>
      <c r="P522" s="4722"/>
      <c r="Q522" s="4722"/>
      <c r="R522" s="4724"/>
      <c r="S522" s="4725"/>
      <c r="T522" s="4725"/>
      <c r="U522" s="4725"/>
      <c r="V522" s="4725"/>
    </row>
    <row r="523" spans="1:22" ht="13.5" hidden="1" customHeight="1">
      <c r="A523" s="4859"/>
      <c r="B523" s="4727" t="s">
        <v>195</v>
      </c>
      <c r="C523" s="4728"/>
      <c r="D523" s="4729"/>
      <c r="E523" s="4730">
        <f>+F523+G523+H523+I523+J523+K523+L523+M523</f>
        <v>0</v>
      </c>
      <c r="F523" s="4731"/>
      <c r="G523" s="4731"/>
      <c r="H523" s="4731"/>
      <c r="I523" s="4731"/>
      <c r="J523" s="4731"/>
      <c r="K523" s="4731"/>
      <c r="L523" s="4731"/>
      <c r="M523" s="4731"/>
      <c r="N523" s="4731"/>
      <c r="O523" s="4731"/>
      <c r="P523" s="4731"/>
      <c r="Q523" s="4731"/>
      <c r="R523" s="4732"/>
      <c r="S523" s="4733"/>
      <c r="T523" s="4733"/>
      <c r="U523" s="4733"/>
      <c r="V523" s="4733"/>
    </row>
    <row r="524" spans="1:22" ht="13.5" hidden="1" customHeight="1" thickBot="1">
      <c r="A524" s="4859"/>
      <c r="B524" s="4734" t="s">
        <v>347</v>
      </c>
      <c r="C524" s="4735"/>
      <c r="D524" s="4736"/>
      <c r="E524" s="4737">
        <f>+F524+G524+H524+I524+J524+K524+L524+M524</f>
        <v>0</v>
      </c>
      <c r="F524" s="4738"/>
      <c r="G524" s="4738"/>
      <c r="H524" s="4738"/>
      <c r="I524" s="4738"/>
      <c r="J524" s="4738"/>
      <c r="K524" s="4738"/>
      <c r="L524" s="4738"/>
      <c r="M524" s="4738"/>
      <c r="N524" s="4738"/>
      <c r="O524" s="4738"/>
      <c r="P524" s="4738"/>
      <c r="Q524" s="4738"/>
      <c r="R524" s="4739"/>
      <c r="S524" s="4739"/>
      <c r="T524" s="4739"/>
      <c r="U524" s="4739"/>
      <c r="V524" s="4739"/>
    </row>
    <row r="525" spans="1:22" ht="13.5" hidden="1" customHeight="1" thickBot="1">
      <c r="A525" s="4859"/>
      <c r="B525" s="4740" t="s">
        <v>197</v>
      </c>
      <c r="C525" s="4754">
        <f>E525-E526</f>
        <v>0</v>
      </c>
      <c r="D525" s="4742"/>
      <c r="E525" s="4743">
        <f>+F525+G525+H525+I525+J525+K525+L525+M525</f>
        <v>0</v>
      </c>
      <c r="F525" s="4744"/>
      <c r="G525" s="4744"/>
      <c r="H525" s="4744"/>
      <c r="I525" s="4744"/>
      <c r="J525" s="4744"/>
      <c r="K525" s="4744"/>
      <c r="L525" s="4744"/>
      <c r="M525" s="4744"/>
      <c r="N525" s="4744"/>
      <c r="O525" s="4744"/>
      <c r="P525" s="4744"/>
      <c r="Q525" s="4744"/>
      <c r="R525" s="4745"/>
      <c r="S525" s="4746"/>
      <c r="T525" s="4746"/>
      <c r="U525" s="4746"/>
      <c r="V525" s="4746"/>
    </row>
    <row r="526" spans="1:22" ht="16.5" hidden="1" customHeight="1" thickBot="1">
      <c r="A526" s="4864"/>
      <c r="B526" s="4748" t="s">
        <v>317</v>
      </c>
      <c r="C526" s="4749"/>
      <c r="D526" s="4750"/>
      <c r="E526" s="4751">
        <f>F526+G526+H526+I526+J526+K526+L526+M526</f>
        <v>0</v>
      </c>
      <c r="F526" s="4752"/>
      <c r="G526" s="4752"/>
      <c r="H526" s="4752"/>
      <c r="I526" s="4752"/>
      <c r="J526" s="4752"/>
      <c r="K526" s="4752"/>
      <c r="L526" s="4752"/>
      <c r="M526" s="4752"/>
      <c r="N526" s="4752"/>
      <c r="O526" s="4752"/>
      <c r="P526" s="4752"/>
      <c r="Q526" s="4752"/>
      <c r="R526" s="4753"/>
      <c r="S526" s="4753"/>
      <c r="T526" s="4753"/>
      <c r="U526" s="4753"/>
      <c r="V526" s="4753"/>
    </row>
    <row r="527" spans="1:22" s="4686" customFormat="1" ht="22.5" customHeight="1" thickBot="1">
      <c r="A527" s="5016" t="s">
        <v>60</v>
      </c>
      <c r="B527" s="4944" t="s">
        <v>480</v>
      </c>
      <c r="C527" s="4945"/>
      <c r="D527" s="4946"/>
      <c r="E527" s="4890"/>
      <c r="F527" s="4890"/>
      <c r="G527" s="4890"/>
      <c r="H527" s="4890"/>
      <c r="I527" s="4890"/>
      <c r="J527" s="4890"/>
      <c r="K527" s="4890"/>
      <c r="L527" s="4890"/>
      <c r="M527" s="4890"/>
      <c r="N527" s="4890"/>
      <c r="O527" s="4890"/>
      <c r="P527" s="4947"/>
      <c r="Q527" s="4947"/>
      <c r="R527" s="4948"/>
      <c r="S527" s="4947"/>
      <c r="T527" s="4947"/>
      <c r="U527" s="4947"/>
      <c r="V527" s="4947"/>
    </row>
    <row r="528" spans="1:22" ht="17.25" customHeight="1" thickBot="1">
      <c r="A528" s="4949" t="s">
        <v>383</v>
      </c>
      <c r="B528" s="4950" t="s">
        <v>417</v>
      </c>
      <c r="C528" s="5017"/>
      <c r="D528" s="4697"/>
      <c r="E528" s="4698">
        <f>E531+E536+E546+E541+E551+E556+E561+E566+E571</f>
        <v>386898</v>
      </c>
      <c r="F528" s="4698">
        <f t="shared" ref="F528:M528" si="9">F531+F536+F546+F541+F551+F556+F561+F566+F571</f>
        <v>0</v>
      </c>
      <c r="G528" s="4698">
        <f t="shared" si="9"/>
        <v>0</v>
      </c>
      <c r="H528" s="4698">
        <f>H531+H536+H546+H541+H551+H556+H561+H566+H571</f>
        <v>1000</v>
      </c>
      <c r="I528" s="4698">
        <f t="shared" si="9"/>
        <v>2500</v>
      </c>
      <c r="J528" s="4698">
        <f t="shared" si="9"/>
        <v>383398</v>
      </c>
      <c r="K528" s="4698">
        <f t="shared" si="9"/>
        <v>0</v>
      </c>
      <c r="L528" s="4698">
        <f t="shared" si="9"/>
        <v>0</v>
      </c>
      <c r="M528" s="4698">
        <f t="shared" si="9"/>
        <v>0</v>
      </c>
      <c r="N528" s="5018"/>
      <c r="O528" s="5018"/>
      <c r="P528" s="5018"/>
      <c r="Q528" s="5018"/>
      <c r="R528" s="5019"/>
      <c r="S528" s="5020"/>
      <c r="T528" s="5020"/>
      <c r="U528" s="5020"/>
      <c r="V528" s="5020"/>
    </row>
    <row r="529" spans="1:22" ht="17.25" customHeight="1" thickBot="1">
      <c r="A529" s="4956" t="s">
        <v>384</v>
      </c>
      <c r="B529" s="4957" t="s">
        <v>418</v>
      </c>
      <c r="C529" s="5021"/>
      <c r="D529" s="5022"/>
      <c r="E529" s="5023">
        <f>E534+E539+E549+E544+E554+E559+E564+E569+E574</f>
        <v>323763</v>
      </c>
      <c r="F529" s="5023">
        <f t="shared" ref="F529:M529" si="10">F534+F539+F549+F544+F554+F559+F564+F569+F574</f>
        <v>0</v>
      </c>
      <c r="G529" s="5023">
        <f t="shared" si="10"/>
        <v>0</v>
      </c>
      <c r="H529" s="5023">
        <f>H534+H539+H549+H544+H554+H559+H564+H569+H574</f>
        <v>0</v>
      </c>
      <c r="I529" s="5023">
        <f t="shared" si="10"/>
        <v>0</v>
      </c>
      <c r="J529" s="5023">
        <f t="shared" si="10"/>
        <v>0</v>
      </c>
      <c r="K529" s="5023">
        <f t="shared" si="10"/>
        <v>323763</v>
      </c>
      <c r="L529" s="5023">
        <f>L534+L539+L549+L544+L554+L559+L564+L569+L574</f>
        <v>0</v>
      </c>
      <c r="M529" s="5023">
        <f t="shared" si="10"/>
        <v>0</v>
      </c>
      <c r="N529" s="5024"/>
      <c r="O529" s="5024"/>
      <c r="P529" s="5024"/>
      <c r="Q529" s="5024"/>
      <c r="R529" s="5025"/>
      <c r="S529" s="5026"/>
      <c r="T529" s="5026"/>
      <c r="U529" s="5026"/>
      <c r="V529" s="5026"/>
    </row>
    <row r="530" spans="1:22" ht="14.25" hidden="1">
      <c r="A530" s="4922"/>
      <c r="B530" s="5027"/>
      <c r="C530" s="4834"/>
      <c r="D530" s="4720" t="e">
        <f>E533/E531%</f>
        <v>#DIV/0!</v>
      </c>
      <c r="E530" s="4721"/>
      <c r="F530" s="4722"/>
      <c r="G530" s="4723"/>
      <c r="H530" s="4722"/>
      <c r="I530" s="4722"/>
      <c r="J530" s="4722"/>
      <c r="K530" s="4722"/>
      <c r="L530" s="4722"/>
      <c r="M530" s="4722"/>
      <c r="N530" s="4722"/>
      <c r="O530" s="4722"/>
      <c r="P530" s="4722"/>
      <c r="Q530" s="4722"/>
      <c r="R530" s="4724"/>
      <c r="S530" s="4725"/>
      <c r="T530" s="4725"/>
      <c r="U530" s="4725"/>
      <c r="V530" s="4725"/>
    </row>
    <row r="531" spans="1:22" ht="15" hidden="1" customHeight="1">
      <c r="A531" s="4924"/>
      <c r="B531" s="4727" t="s">
        <v>195</v>
      </c>
      <c r="C531" s="4728"/>
      <c r="D531" s="4729"/>
      <c r="E531" s="4730">
        <f>+F531+G531+H531+I531+J531+K531+L531+M531</f>
        <v>0</v>
      </c>
      <c r="F531" s="4731"/>
      <c r="G531" s="4731"/>
      <c r="H531" s="4731"/>
      <c r="I531" s="4731"/>
      <c r="J531" s="4731"/>
      <c r="K531" s="4731"/>
      <c r="L531" s="4731"/>
      <c r="M531" s="4731"/>
      <c r="N531" s="4731"/>
      <c r="O531" s="4731"/>
      <c r="P531" s="4731"/>
      <c r="Q531" s="4731"/>
      <c r="R531" s="4732"/>
      <c r="S531" s="4733"/>
      <c r="T531" s="4733"/>
      <c r="U531" s="4733"/>
      <c r="V531" s="4733"/>
    </row>
    <row r="532" spans="1:22" ht="15" hidden="1" customHeight="1">
      <c r="A532" s="4924"/>
      <c r="B532" s="4734" t="s">
        <v>540</v>
      </c>
      <c r="C532" s="4735"/>
      <c r="D532" s="4736"/>
      <c r="E532" s="4737">
        <f>+F532+G532+H532+I532+J532+K532+L532+M532</f>
        <v>0</v>
      </c>
      <c r="F532" s="4738"/>
      <c r="G532" s="4738"/>
      <c r="H532" s="4738"/>
      <c r="I532" s="4738"/>
      <c r="J532" s="4738"/>
      <c r="K532" s="4738"/>
      <c r="L532" s="4738"/>
      <c r="M532" s="4738"/>
      <c r="N532" s="4738"/>
      <c r="O532" s="4738"/>
      <c r="P532" s="4738"/>
      <c r="Q532" s="4738"/>
      <c r="R532" s="4739"/>
      <c r="S532" s="4739"/>
      <c r="T532" s="4739"/>
      <c r="U532" s="4739"/>
      <c r="V532" s="4739"/>
    </row>
    <row r="533" spans="1:22" ht="15" hidden="1" customHeight="1" thickBot="1">
      <c r="A533" s="4924"/>
      <c r="B533" s="4740" t="s">
        <v>197</v>
      </c>
      <c r="C533" s="4754">
        <f>E533-E534</f>
        <v>0</v>
      </c>
      <c r="D533" s="4742"/>
      <c r="E533" s="4743">
        <f>+F533+G533+H533+I533+J533+K533+L533+M533</f>
        <v>0</v>
      </c>
      <c r="F533" s="4744"/>
      <c r="G533" s="4744"/>
      <c r="H533" s="4744"/>
      <c r="I533" s="4744"/>
      <c r="J533" s="4744"/>
      <c r="K533" s="4744"/>
      <c r="L533" s="4744"/>
      <c r="M533" s="4744"/>
      <c r="N533" s="4744"/>
      <c r="O533" s="4744"/>
      <c r="P533" s="4744"/>
      <c r="Q533" s="4744"/>
      <c r="R533" s="4745"/>
      <c r="S533" s="4746"/>
      <c r="T533" s="4746"/>
      <c r="U533" s="4746"/>
      <c r="V533" s="4746"/>
    </row>
    <row r="534" spans="1:22" ht="15" hidden="1" customHeight="1" thickBot="1">
      <c r="A534" s="4925"/>
      <c r="B534" s="4748" t="s">
        <v>317</v>
      </c>
      <c r="C534" s="4749"/>
      <c r="D534" s="4750"/>
      <c r="E534" s="4751">
        <f>F534+G534+H534+I534+J534+K534+L534+M534</f>
        <v>0</v>
      </c>
      <c r="F534" s="4752"/>
      <c r="G534" s="4752"/>
      <c r="H534" s="4752"/>
      <c r="I534" s="4752"/>
      <c r="J534" s="4752"/>
      <c r="K534" s="4752"/>
      <c r="L534" s="4752"/>
      <c r="M534" s="4752"/>
      <c r="N534" s="4752"/>
      <c r="O534" s="4752"/>
      <c r="P534" s="4752"/>
      <c r="Q534" s="4752"/>
      <c r="R534" s="4753"/>
      <c r="S534" s="4753"/>
      <c r="T534" s="4753"/>
      <c r="U534" s="4753"/>
      <c r="V534" s="4753"/>
    </row>
    <row r="535" spans="1:22" ht="14.25" hidden="1">
      <c r="A535" s="4922"/>
      <c r="B535" s="5027"/>
      <c r="C535" s="4719" t="s">
        <v>416</v>
      </c>
      <c r="D535" s="4720" t="e">
        <f>E538/E536%</f>
        <v>#DIV/0!</v>
      </c>
      <c r="E535" s="4721"/>
      <c r="F535" s="4722"/>
      <c r="G535" s="4723"/>
      <c r="H535" s="4722"/>
      <c r="I535" s="4722"/>
      <c r="J535" s="4722"/>
      <c r="K535" s="4722"/>
      <c r="L535" s="4722"/>
      <c r="M535" s="4722"/>
      <c r="N535" s="4722"/>
      <c r="O535" s="4722"/>
      <c r="P535" s="4722"/>
      <c r="Q535" s="4722"/>
      <c r="R535" s="4724"/>
      <c r="S535" s="4725"/>
      <c r="T535" s="4725"/>
      <c r="U535" s="4725"/>
      <c r="V535" s="4725"/>
    </row>
    <row r="536" spans="1:22" ht="15" hidden="1" customHeight="1">
      <c r="A536" s="4924"/>
      <c r="B536" s="4727" t="s">
        <v>195</v>
      </c>
      <c r="C536" s="4728"/>
      <c r="D536" s="4729"/>
      <c r="E536" s="4730">
        <f>+F536+G536+H536+I536+J536+K536+L536+M536</f>
        <v>0</v>
      </c>
      <c r="F536" s="4731"/>
      <c r="G536" s="4731"/>
      <c r="H536" s="4731"/>
      <c r="I536" s="4731"/>
      <c r="J536" s="4731"/>
      <c r="K536" s="4731"/>
      <c r="L536" s="4731"/>
      <c r="M536" s="4731"/>
      <c r="N536" s="4731"/>
      <c r="O536" s="4731"/>
      <c r="P536" s="4731"/>
      <c r="Q536" s="4731"/>
      <c r="R536" s="4732"/>
      <c r="S536" s="4733"/>
      <c r="T536" s="4733"/>
      <c r="U536" s="4733"/>
      <c r="V536" s="4733"/>
    </row>
    <row r="537" spans="1:22" ht="15" hidden="1" customHeight="1">
      <c r="A537" s="4924"/>
      <c r="B537" s="4734" t="s">
        <v>369</v>
      </c>
      <c r="C537" s="4735"/>
      <c r="D537" s="4736"/>
      <c r="E537" s="4737">
        <f>+F537+G537+H537+I537+J537+K537+L537+M537</f>
        <v>0</v>
      </c>
      <c r="F537" s="4738"/>
      <c r="G537" s="4738"/>
      <c r="H537" s="4738"/>
      <c r="I537" s="4738"/>
      <c r="J537" s="4738"/>
      <c r="K537" s="4738"/>
      <c r="L537" s="4738"/>
      <c r="M537" s="4738"/>
      <c r="N537" s="4738"/>
      <c r="O537" s="4738"/>
      <c r="P537" s="4738"/>
      <c r="Q537" s="4738"/>
      <c r="R537" s="4739"/>
      <c r="S537" s="4739"/>
      <c r="T537" s="4739"/>
      <c r="U537" s="4739"/>
      <c r="V537" s="4739"/>
    </row>
    <row r="538" spans="1:22" ht="15" hidden="1" customHeight="1" thickBot="1">
      <c r="A538" s="4924"/>
      <c r="B538" s="4740" t="s">
        <v>197</v>
      </c>
      <c r="C538" s="4754">
        <f>E538-E539</f>
        <v>0</v>
      </c>
      <c r="D538" s="4742"/>
      <c r="E538" s="4743">
        <f>+F538+G538+H538+I538+J538+K538+L538+M538</f>
        <v>0</v>
      </c>
      <c r="F538" s="4744"/>
      <c r="G538" s="4744"/>
      <c r="H538" s="4744"/>
      <c r="I538" s="4744"/>
      <c r="J538" s="4744"/>
      <c r="K538" s="4744"/>
      <c r="L538" s="4744"/>
      <c r="M538" s="4744"/>
      <c r="N538" s="4744"/>
      <c r="O538" s="4744"/>
      <c r="P538" s="4744"/>
      <c r="Q538" s="4744"/>
      <c r="R538" s="4745"/>
      <c r="S538" s="4746"/>
      <c r="T538" s="4746"/>
      <c r="U538" s="4746"/>
      <c r="V538" s="4746"/>
    </row>
    <row r="539" spans="1:22" ht="15" hidden="1" customHeight="1" thickBot="1">
      <c r="A539" s="4925"/>
      <c r="B539" s="4748" t="s">
        <v>317</v>
      </c>
      <c r="C539" s="4749"/>
      <c r="D539" s="4750"/>
      <c r="E539" s="4751">
        <f>F539+G539+H539+I539+J539+K539+L539+M539</f>
        <v>0</v>
      </c>
      <c r="F539" s="4752"/>
      <c r="G539" s="4752"/>
      <c r="H539" s="4752"/>
      <c r="I539" s="4752"/>
      <c r="J539" s="4752"/>
      <c r="K539" s="4752"/>
      <c r="L539" s="4752"/>
      <c r="M539" s="4752"/>
      <c r="N539" s="4752"/>
      <c r="O539" s="4752"/>
      <c r="P539" s="4752"/>
      <c r="Q539" s="4752"/>
      <c r="R539" s="4753"/>
      <c r="S539" s="4753"/>
      <c r="T539" s="4753"/>
      <c r="U539" s="4753"/>
      <c r="V539" s="4753"/>
    </row>
    <row r="540" spans="1:22" ht="15" hidden="1" customHeight="1" thickBot="1">
      <c r="A540" s="4922"/>
      <c r="B540" s="4923"/>
      <c r="C540" s="4719"/>
      <c r="D540" s="4720" t="e">
        <f>E543/E541%</f>
        <v>#DIV/0!</v>
      </c>
      <c r="E540" s="4721"/>
      <c r="F540" s="4722"/>
      <c r="G540" s="4723"/>
      <c r="H540" s="4722"/>
      <c r="I540" s="4722"/>
      <c r="J540" s="4722"/>
      <c r="K540" s="4722"/>
      <c r="L540" s="4722"/>
      <c r="M540" s="4722"/>
      <c r="N540" s="4722"/>
      <c r="O540" s="4722"/>
      <c r="P540" s="4722"/>
      <c r="Q540" s="4722"/>
      <c r="R540" s="4724"/>
      <c r="S540" s="4725"/>
      <c r="T540" s="4725"/>
      <c r="U540" s="4725"/>
      <c r="V540" s="4725"/>
    </row>
    <row r="541" spans="1:22" ht="15" hidden="1" customHeight="1">
      <c r="A541" s="4924"/>
      <c r="B541" s="4727" t="s">
        <v>195</v>
      </c>
      <c r="C541" s="4728"/>
      <c r="D541" s="4729"/>
      <c r="E541" s="4730">
        <f>+F541+G541+H541+I541+J541+K541+L541+M541</f>
        <v>0</v>
      </c>
      <c r="F541" s="4731"/>
      <c r="G541" s="4731"/>
      <c r="H541" s="4731"/>
      <c r="I541" s="4731"/>
      <c r="J541" s="4731"/>
      <c r="K541" s="4731"/>
      <c r="L541" s="4731"/>
      <c r="M541" s="4731"/>
      <c r="N541" s="4731"/>
      <c r="O541" s="4731"/>
      <c r="P541" s="4731"/>
      <c r="Q541" s="4731"/>
      <c r="R541" s="4732"/>
      <c r="S541" s="4733"/>
      <c r="T541" s="4733"/>
      <c r="U541" s="4733"/>
      <c r="V541" s="4733"/>
    </row>
    <row r="542" spans="1:22" ht="15" hidden="1" customHeight="1">
      <c r="A542" s="4924"/>
      <c r="B542" s="4734" t="s">
        <v>321</v>
      </c>
      <c r="C542" s="4735"/>
      <c r="D542" s="4736"/>
      <c r="E542" s="4737">
        <f>+F542+G542+H542+I542+J542+K542+L542+M542</f>
        <v>0</v>
      </c>
      <c r="F542" s="4738"/>
      <c r="G542" s="4738"/>
      <c r="H542" s="4738"/>
      <c r="I542" s="4738"/>
      <c r="J542" s="4738"/>
      <c r="K542" s="4738"/>
      <c r="L542" s="4738"/>
      <c r="M542" s="4738"/>
      <c r="N542" s="4738"/>
      <c r="O542" s="4738"/>
      <c r="P542" s="4738"/>
      <c r="Q542" s="4738"/>
      <c r="R542" s="4739"/>
      <c r="S542" s="4739"/>
      <c r="T542" s="4739"/>
      <c r="U542" s="4739"/>
      <c r="V542" s="4739"/>
    </row>
    <row r="543" spans="1:22" ht="15" hidden="1" customHeight="1" thickBot="1">
      <c r="A543" s="4924"/>
      <c r="B543" s="4740" t="s">
        <v>197</v>
      </c>
      <c r="C543" s="4754">
        <f>E543-E544</f>
        <v>0</v>
      </c>
      <c r="D543" s="4742"/>
      <c r="E543" s="4743">
        <f>+F543+G543+H543+I543+J543+K543+L543+M543</f>
        <v>0</v>
      </c>
      <c r="F543" s="4744"/>
      <c r="G543" s="4744"/>
      <c r="H543" s="4744"/>
      <c r="I543" s="4744"/>
      <c r="J543" s="4744"/>
      <c r="K543" s="4744"/>
      <c r="L543" s="4744"/>
      <c r="M543" s="4744"/>
      <c r="N543" s="4744"/>
      <c r="O543" s="4744"/>
      <c r="P543" s="4744"/>
      <c r="Q543" s="4744"/>
      <c r="R543" s="4745"/>
      <c r="S543" s="4746"/>
      <c r="T543" s="4746"/>
      <c r="U543" s="4746"/>
      <c r="V543" s="4746"/>
    </row>
    <row r="544" spans="1:22" ht="15" hidden="1" customHeight="1" thickBot="1">
      <c r="A544" s="4925"/>
      <c r="B544" s="4748" t="s">
        <v>317</v>
      </c>
      <c r="C544" s="4749"/>
      <c r="D544" s="4750"/>
      <c r="E544" s="4751">
        <f>F544+G544+H544+I544+J544+K544+L544+M544</f>
        <v>0</v>
      </c>
      <c r="F544" s="4752"/>
      <c r="G544" s="4752"/>
      <c r="H544" s="4752"/>
      <c r="I544" s="4752"/>
      <c r="J544" s="4752"/>
      <c r="K544" s="4752"/>
      <c r="L544" s="4752"/>
      <c r="M544" s="4752"/>
      <c r="N544" s="4752"/>
      <c r="O544" s="4752"/>
      <c r="P544" s="4752"/>
      <c r="Q544" s="4752"/>
      <c r="R544" s="4753"/>
      <c r="S544" s="4753"/>
      <c r="T544" s="4753"/>
      <c r="U544" s="4753"/>
      <c r="V544" s="4753"/>
    </row>
    <row r="545" spans="1:22" ht="15" hidden="1" customHeight="1" thickBot="1">
      <c r="A545" s="4922"/>
      <c r="B545" s="4923"/>
      <c r="C545" s="4719" t="s">
        <v>416</v>
      </c>
      <c r="D545" s="4720" t="e">
        <f>E548/E546%</f>
        <v>#DIV/0!</v>
      </c>
      <c r="E545" s="4721"/>
      <c r="F545" s="4722"/>
      <c r="G545" s="4723"/>
      <c r="H545" s="4722"/>
      <c r="I545" s="4722"/>
      <c r="J545" s="4722"/>
      <c r="K545" s="4722"/>
      <c r="L545" s="4722"/>
      <c r="M545" s="4722"/>
      <c r="N545" s="4722"/>
      <c r="O545" s="4722"/>
      <c r="P545" s="4722"/>
      <c r="Q545" s="4722"/>
      <c r="R545" s="4724"/>
      <c r="S545" s="4725"/>
      <c r="T545" s="4725"/>
      <c r="U545" s="4725"/>
      <c r="V545" s="4725"/>
    </row>
    <row r="546" spans="1:22" ht="15" hidden="1" customHeight="1">
      <c r="A546" s="4924"/>
      <c r="B546" s="4727" t="s">
        <v>195</v>
      </c>
      <c r="C546" s="4728"/>
      <c r="D546" s="4729"/>
      <c r="E546" s="4730">
        <f>+F546+G546+H546+I546+J546+K546+L546+M546</f>
        <v>0</v>
      </c>
      <c r="F546" s="4731"/>
      <c r="G546" s="4731"/>
      <c r="H546" s="4731"/>
      <c r="I546" s="4731"/>
      <c r="J546" s="4731"/>
      <c r="K546" s="4731"/>
      <c r="L546" s="4731"/>
      <c r="M546" s="4731"/>
      <c r="N546" s="4731"/>
      <c r="O546" s="4731"/>
      <c r="P546" s="4731"/>
      <c r="Q546" s="4731"/>
      <c r="R546" s="4732"/>
      <c r="S546" s="4733"/>
      <c r="T546" s="4733"/>
      <c r="U546" s="4733"/>
      <c r="V546" s="4733"/>
    </row>
    <row r="547" spans="1:22" ht="15" hidden="1" customHeight="1">
      <c r="A547" s="4924"/>
      <c r="B547" s="4734" t="s">
        <v>321</v>
      </c>
      <c r="C547" s="4735"/>
      <c r="D547" s="4736"/>
      <c r="E547" s="4737">
        <f>+F547+G547+H547+I547+J547+K547+L547+M547</f>
        <v>0</v>
      </c>
      <c r="F547" s="4738"/>
      <c r="G547" s="4738"/>
      <c r="H547" s="4738"/>
      <c r="I547" s="4738"/>
      <c r="J547" s="4738"/>
      <c r="K547" s="4738"/>
      <c r="L547" s="4738"/>
      <c r="M547" s="4738"/>
      <c r="N547" s="4738"/>
      <c r="O547" s="4738"/>
      <c r="P547" s="4738"/>
      <c r="Q547" s="4738"/>
      <c r="R547" s="4739"/>
      <c r="S547" s="4739"/>
      <c r="T547" s="4739"/>
      <c r="U547" s="4739"/>
      <c r="V547" s="4739"/>
    </row>
    <row r="548" spans="1:22" ht="15" hidden="1" customHeight="1" thickBot="1">
      <c r="A548" s="4924"/>
      <c r="B548" s="4740" t="s">
        <v>197</v>
      </c>
      <c r="C548" s="4741"/>
      <c r="D548" s="4742"/>
      <c r="E548" s="4743">
        <f>+F548+G548+H548+I548+J548+K548+L548+M548</f>
        <v>0</v>
      </c>
      <c r="F548" s="4744"/>
      <c r="G548" s="4744"/>
      <c r="H548" s="4744"/>
      <c r="I548" s="4744"/>
      <c r="J548" s="4744"/>
      <c r="K548" s="4744"/>
      <c r="L548" s="4744"/>
      <c r="M548" s="4744"/>
      <c r="N548" s="4744"/>
      <c r="O548" s="4744"/>
      <c r="P548" s="4744"/>
      <c r="Q548" s="4744"/>
      <c r="R548" s="4745"/>
      <c r="S548" s="4746"/>
      <c r="T548" s="4746"/>
      <c r="U548" s="4746"/>
      <c r="V548" s="4746"/>
    </row>
    <row r="549" spans="1:22" ht="15" hidden="1" customHeight="1" thickBot="1">
      <c r="A549" s="4925"/>
      <c r="B549" s="4748" t="s">
        <v>317</v>
      </c>
      <c r="C549" s="4749"/>
      <c r="D549" s="4750"/>
      <c r="E549" s="4751">
        <f>F549+G549+H549+I549+J549+K549+L549+M549</f>
        <v>0</v>
      </c>
      <c r="F549" s="4752"/>
      <c r="G549" s="4752"/>
      <c r="H549" s="4752"/>
      <c r="I549" s="4752"/>
      <c r="J549" s="4752"/>
      <c r="K549" s="4752"/>
      <c r="L549" s="4752"/>
      <c r="M549" s="4752"/>
      <c r="N549" s="4752"/>
      <c r="O549" s="4752"/>
      <c r="P549" s="4752"/>
      <c r="Q549" s="4752"/>
      <c r="R549" s="4753"/>
      <c r="S549" s="4753"/>
      <c r="T549" s="4753"/>
      <c r="U549" s="4753"/>
      <c r="V549" s="4753"/>
    </row>
    <row r="550" spans="1:22" ht="15" hidden="1" customHeight="1" thickBot="1">
      <c r="A550" s="4855" t="s">
        <v>107</v>
      </c>
      <c r="B550" s="4856"/>
      <c r="C550" s="4834"/>
      <c r="D550" s="4720" t="e">
        <f>E553/E551%</f>
        <v>#DIV/0!</v>
      </c>
      <c r="E550" s="4721"/>
      <c r="F550" s="4722"/>
      <c r="G550" s="4723"/>
      <c r="H550" s="4722"/>
      <c r="I550" s="4722"/>
      <c r="J550" s="4722"/>
      <c r="K550" s="4722"/>
      <c r="L550" s="4722"/>
      <c r="M550" s="4722"/>
      <c r="N550" s="4722"/>
      <c r="O550" s="4722"/>
      <c r="P550" s="4722"/>
      <c r="Q550" s="4722"/>
      <c r="R550" s="4724"/>
      <c r="S550" s="4725"/>
      <c r="T550" s="4725"/>
      <c r="U550" s="4725"/>
      <c r="V550" s="4725"/>
    </row>
    <row r="551" spans="1:22" ht="15" hidden="1" customHeight="1">
      <c r="A551" s="4859"/>
      <c r="B551" s="4727" t="s">
        <v>195</v>
      </c>
      <c r="C551" s="4728"/>
      <c r="D551" s="4729"/>
      <c r="E551" s="4730">
        <f>+F551+G551+H551+I551+J551+K551+L551+M551</f>
        <v>0</v>
      </c>
      <c r="F551" s="4731"/>
      <c r="G551" s="4731"/>
      <c r="H551" s="4731"/>
      <c r="I551" s="4731"/>
      <c r="J551" s="4731"/>
      <c r="K551" s="4731"/>
      <c r="L551" s="4731"/>
      <c r="M551" s="4731"/>
      <c r="N551" s="4731"/>
      <c r="O551" s="4731"/>
      <c r="P551" s="4731"/>
      <c r="Q551" s="4731"/>
      <c r="R551" s="4732"/>
      <c r="S551" s="4733"/>
      <c r="T551" s="4733"/>
      <c r="U551" s="4733"/>
      <c r="V551" s="4733"/>
    </row>
    <row r="552" spans="1:22" ht="15" hidden="1" customHeight="1">
      <c r="A552" s="4859"/>
      <c r="B552" s="4734" t="s">
        <v>321</v>
      </c>
      <c r="C552" s="4735"/>
      <c r="D552" s="4736"/>
      <c r="E552" s="4737">
        <f>+F552+G552+H552+I552+J552+K552+L552+M552</f>
        <v>0</v>
      </c>
      <c r="F552" s="4738"/>
      <c r="G552" s="4738"/>
      <c r="H552" s="4738"/>
      <c r="I552" s="4738"/>
      <c r="J552" s="4738"/>
      <c r="K552" s="4738"/>
      <c r="L552" s="4738"/>
      <c r="M552" s="4738"/>
      <c r="N552" s="4738"/>
      <c r="O552" s="4738"/>
      <c r="P552" s="4738"/>
      <c r="Q552" s="4738"/>
      <c r="R552" s="4739"/>
      <c r="S552" s="4739"/>
      <c r="T552" s="4739"/>
      <c r="U552" s="4739"/>
      <c r="V552" s="4739"/>
    </row>
    <row r="553" spans="1:22" ht="15" hidden="1" customHeight="1" thickBot="1">
      <c r="A553" s="4859"/>
      <c r="B553" s="4740" t="s">
        <v>197</v>
      </c>
      <c r="C553" s="4754">
        <f>E553-E554</f>
        <v>0</v>
      </c>
      <c r="D553" s="4742"/>
      <c r="E553" s="4743">
        <f>+F553+G553+H553+I553+J553+K553+L553+M553</f>
        <v>0</v>
      </c>
      <c r="F553" s="4744"/>
      <c r="G553" s="4744"/>
      <c r="H553" s="4744"/>
      <c r="I553" s="4744"/>
      <c r="J553" s="4744"/>
      <c r="K553" s="4744"/>
      <c r="L553" s="4744"/>
      <c r="M553" s="4744"/>
      <c r="N553" s="4744"/>
      <c r="O553" s="4744"/>
      <c r="P553" s="4744"/>
      <c r="Q553" s="4744"/>
      <c r="R553" s="4745"/>
      <c r="S553" s="4746"/>
      <c r="T553" s="4746"/>
      <c r="U553" s="4746"/>
      <c r="V553" s="4746"/>
    </row>
    <row r="554" spans="1:22" ht="15" hidden="1" customHeight="1" thickBot="1">
      <c r="A554" s="4864"/>
      <c r="B554" s="4748" t="s">
        <v>317</v>
      </c>
      <c r="C554" s="4749"/>
      <c r="D554" s="4750"/>
      <c r="E554" s="4751">
        <f>F554+G554+H554+I554+J554+K554+L554+M554</f>
        <v>0</v>
      </c>
      <c r="F554" s="4752"/>
      <c r="G554" s="4752"/>
      <c r="H554" s="4752"/>
      <c r="I554" s="4752"/>
      <c r="J554" s="4752"/>
      <c r="K554" s="4752"/>
      <c r="L554" s="4752"/>
      <c r="M554" s="4752"/>
      <c r="N554" s="4752"/>
      <c r="O554" s="4752"/>
      <c r="P554" s="4752"/>
      <c r="Q554" s="4752"/>
      <c r="R554" s="4753"/>
      <c r="S554" s="4753"/>
      <c r="T554" s="4753"/>
      <c r="U554" s="4753"/>
      <c r="V554" s="4753"/>
    </row>
    <row r="555" spans="1:22" ht="15" hidden="1" customHeight="1" thickBot="1">
      <c r="A555" s="4922"/>
      <c r="B555" s="4923"/>
      <c r="C555" s="4834"/>
      <c r="D555" s="4720" t="e">
        <f>E558/E556%</f>
        <v>#DIV/0!</v>
      </c>
      <c r="E555" s="4721"/>
      <c r="F555" s="4722"/>
      <c r="G555" s="4723"/>
      <c r="H555" s="4722"/>
      <c r="I555" s="4722"/>
      <c r="J555" s="4722"/>
      <c r="K555" s="4722"/>
      <c r="L555" s="4722"/>
      <c r="M555" s="4722"/>
      <c r="N555" s="4722"/>
      <c r="O555" s="4722"/>
      <c r="P555" s="4722"/>
      <c r="Q555" s="4722"/>
      <c r="R555" s="4724"/>
      <c r="S555" s="4725"/>
      <c r="T555" s="4725"/>
      <c r="U555" s="4725"/>
      <c r="V555" s="4725"/>
    </row>
    <row r="556" spans="1:22" ht="15" hidden="1" customHeight="1">
      <c r="A556" s="4924"/>
      <c r="B556" s="4727" t="s">
        <v>195</v>
      </c>
      <c r="C556" s="4728"/>
      <c r="D556" s="4729"/>
      <c r="E556" s="4730">
        <f>+F556+G556+H556+I556+J556+K556+L556+M556</f>
        <v>0</v>
      </c>
      <c r="F556" s="4731"/>
      <c r="G556" s="4731"/>
      <c r="H556" s="4731"/>
      <c r="I556" s="4731"/>
      <c r="J556" s="4731"/>
      <c r="K556" s="4731"/>
      <c r="L556" s="4731"/>
      <c r="M556" s="4731"/>
      <c r="N556" s="4731"/>
      <c r="O556" s="4731"/>
      <c r="P556" s="4731"/>
      <c r="Q556" s="4731"/>
      <c r="R556" s="4732"/>
      <c r="S556" s="4733"/>
      <c r="T556" s="4733"/>
      <c r="U556" s="4733"/>
      <c r="V556" s="4733"/>
    </row>
    <row r="557" spans="1:22" ht="15" hidden="1" customHeight="1">
      <c r="A557" s="4924"/>
      <c r="B557" s="4734" t="s">
        <v>321</v>
      </c>
      <c r="C557" s="4735"/>
      <c r="D557" s="4736"/>
      <c r="E557" s="4737">
        <f>+F557+G557+H557+I557+J557+K557+L557+M557</f>
        <v>0</v>
      </c>
      <c r="F557" s="4738"/>
      <c r="G557" s="4738"/>
      <c r="H557" s="4738"/>
      <c r="I557" s="4738"/>
      <c r="J557" s="4738"/>
      <c r="K557" s="4738"/>
      <c r="L557" s="4738"/>
      <c r="M557" s="4738"/>
      <c r="N557" s="4738"/>
      <c r="O557" s="4738"/>
      <c r="P557" s="4738"/>
      <c r="Q557" s="4738"/>
      <c r="R557" s="4739"/>
      <c r="S557" s="4739"/>
      <c r="T557" s="4739"/>
      <c r="U557" s="4739"/>
      <c r="V557" s="4739"/>
    </row>
    <row r="558" spans="1:22" ht="15" hidden="1" customHeight="1" thickBot="1">
      <c r="A558" s="4924"/>
      <c r="B558" s="4740" t="s">
        <v>197</v>
      </c>
      <c r="C558" s="4754">
        <f>E558-E559</f>
        <v>0</v>
      </c>
      <c r="D558" s="4742"/>
      <c r="E558" s="4743">
        <f>+F558+G558+H558+I558+J558+K558+L558+M558</f>
        <v>0</v>
      </c>
      <c r="F558" s="4744"/>
      <c r="G558" s="4744"/>
      <c r="H558" s="4744"/>
      <c r="I558" s="4744"/>
      <c r="J558" s="4744"/>
      <c r="K558" s="4744"/>
      <c r="L558" s="4744"/>
      <c r="M558" s="4744"/>
      <c r="N558" s="4744"/>
      <c r="O558" s="4744"/>
      <c r="P558" s="4744"/>
      <c r="Q558" s="4744"/>
      <c r="R558" s="4745"/>
      <c r="S558" s="4746"/>
      <c r="T558" s="4746"/>
      <c r="U558" s="4746"/>
      <c r="V558" s="4746"/>
    </row>
    <row r="559" spans="1:22" ht="15" hidden="1" customHeight="1" thickBot="1">
      <c r="A559" s="4925"/>
      <c r="B559" s="4748" t="s">
        <v>317</v>
      </c>
      <c r="C559" s="4749"/>
      <c r="D559" s="4750"/>
      <c r="E559" s="4751">
        <f>F559+G559+H559+I559+J559+K559+L559+M559</f>
        <v>0</v>
      </c>
      <c r="F559" s="4752"/>
      <c r="G559" s="4752"/>
      <c r="H559" s="4752"/>
      <c r="I559" s="4752"/>
      <c r="J559" s="4752"/>
      <c r="K559" s="4752"/>
      <c r="L559" s="4752"/>
      <c r="M559" s="4752"/>
      <c r="N559" s="4752"/>
      <c r="O559" s="4752"/>
      <c r="P559" s="4752"/>
      <c r="Q559" s="4752"/>
      <c r="R559" s="4753"/>
      <c r="S559" s="4753"/>
      <c r="T559" s="4753"/>
      <c r="U559" s="4753"/>
      <c r="V559" s="4753"/>
    </row>
    <row r="560" spans="1:22" ht="27" customHeight="1">
      <c r="A560" s="4757" t="s">
        <v>55</v>
      </c>
      <c r="B560" s="4758" t="str">
        <f>'Tab. 6H - Kultura fiz. i turyst'!B226</f>
        <v>Zrównoważona turystyka wodna w unikalnej Dolinie Dolnej Odry w ramach PW INTERREG VA (2016-2020)</v>
      </c>
      <c r="C560" s="4719" t="s">
        <v>416</v>
      </c>
      <c r="D560" s="4720">
        <f>E563/E561%</f>
        <v>83.869680851063833</v>
      </c>
      <c r="E560" s="4721"/>
      <c r="F560" s="4722"/>
      <c r="G560" s="4723"/>
      <c r="H560" s="4722"/>
      <c r="I560" s="4722"/>
      <c r="J560" s="4722"/>
      <c r="K560" s="4722"/>
      <c r="L560" s="4722"/>
      <c r="M560" s="4722"/>
      <c r="N560" s="4722"/>
      <c r="O560" s="4722"/>
      <c r="P560" s="4722"/>
      <c r="Q560" s="4722"/>
      <c r="R560" s="4724"/>
      <c r="S560" s="4725"/>
      <c r="T560" s="4725"/>
      <c r="U560" s="4725"/>
      <c r="V560" s="4725"/>
    </row>
    <row r="561" spans="1:22" ht="15" customHeight="1">
      <c r="A561" s="4759"/>
      <c r="B561" s="4727" t="s">
        <v>195</v>
      </c>
      <c r="C561" s="4728"/>
      <c r="D561" s="4729"/>
      <c r="E561" s="4730">
        <f>+F561+G561+H561+I561+J561+K561+L561+M561</f>
        <v>225600</v>
      </c>
      <c r="F561" s="4731">
        <f>'Tab. 6H - Kultura fiz. i turyst'!E227</f>
        <v>0</v>
      </c>
      <c r="G561" s="4731">
        <f>'Tab. 6H - Kultura fiz. i turyst'!F227</f>
        <v>0</v>
      </c>
      <c r="H561" s="4731">
        <f>'Tab. 6H - Kultura fiz. i turyst'!G227</f>
        <v>1000</v>
      </c>
      <c r="I561" s="4731">
        <f>'Tab. 6H - Kultura fiz. i turyst'!H227</f>
        <v>1000</v>
      </c>
      <c r="J561" s="4731">
        <f>'Tab. 6H - Kultura fiz. i turyst'!I227</f>
        <v>223600</v>
      </c>
      <c r="K561" s="4731">
        <f>'Tab. 6H - Kultura fiz. i turyst'!J227</f>
        <v>0</v>
      </c>
      <c r="L561" s="4731">
        <f>'Tab. 6H - Kultura fiz. i turyst'!K227</f>
        <v>0</v>
      </c>
      <c r="M561" s="4731"/>
      <c r="N561" s="4731"/>
      <c r="O561" s="4731"/>
      <c r="P561" s="4731"/>
      <c r="Q561" s="4731"/>
      <c r="R561" s="4732"/>
      <c r="S561" s="4733"/>
      <c r="T561" s="4733"/>
      <c r="U561" s="4733"/>
      <c r="V561" s="4733"/>
    </row>
    <row r="562" spans="1:22" ht="15" customHeight="1">
      <c r="A562" s="4759"/>
      <c r="B562" s="4734" t="s">
        <v>321</v>
      </c>
      <c r="C562" s="4735"/>
      <c r="D562" s="4736"/>
      <c r="E562" s="4737">
        <f>+F562+G562+H562+I562+J562+K562+L562+M562</f>
        <v>36390</v>
      </c>
      <c r="F562" s="4738">
        <f>'Tab. 6H - Kultura fiz. i turyst'!E228</f>
        <v>0</v>
      </c>
      <c r="G562" s="4738">
        <f>'Tab. 6H - Kultura fiz. i turyst'!F228</f>
        <v>0</v>
      </c>
      <c r="H562" s="4738">
        <f>'Tab. 6H - Kultura fiz. i turyst'!G228</f>
        <v>1000</v>
      </c>
      <c r="I562" s="4738">
        <f>'Tab. 6H - Kultura fiz. i turyst'!H228</f>
        <v>1000</v>
      </c>
      <c r="J562" s="4738">
        <f>'Tab. 6H - Kultura fiz. i turyst'!I228</f>
        <v>34390</v>
      </c>
      <c r="K562" s="4738">
        <f>'Tab. 6H - Kultura fiz. i turyst'!J228</f>
        <v>0</v>
      </c>
      <c r="L562" s="4738">
        <f>'Tab. 6H - Kultura fiz. i turyst'!K228</f>
        <v>0</v>
      </c>
      <c r="M562" s="4738"/>
      <c r="N562" s="4738"/>
      <c r="O562" s="4738"/>
      <c r="P562" s="4738"/>
      <c r="Q562" s="4738"/>
      <c r="R562" s="4739"/>
      <c r="S562" s="4739"/>
      <c r="T562" s="4739"/>
      <c r="U562" s="4739"/>
      <c r="V562" s="4739"/>
    </row>
    <row r="563" spans="1:22" ht="15" customHeight="1" thickBot="1">
      <c r="A563" s="4759"/>
      <c r="B563" s="4740" t="s">
        <v>197</v>
      </c>
      <c r="C563" s="4754">
        <f>E563-E564</f>
        <v>0</v>
      </c>
      <c r="D563" s="4742"/>
      <c r="E563" s="4743">
        <f>+F563+G563+H563+I563+J563+K563+L563+M563</f>
        <v>189210</v>
      </c>
      <c r="F563" s="4744">
        <f>'Tab. 6H - Kultura fiz. i turyst'!E230</f>
        <v>0</v>
      </c>
      <c r="G563" s="4744">
        <f>'Tab. 6H - Kultura fiz. i turyst'!F230</f>
        <v>0</v>
      </c>
      <c r="H563" s="4744">
        <f>'Tab. 6H - Kultura fiz. i turyst'!G230</f>
        <v>0</v>
      </c>
      <c r="I563" s="4744">
        <f>'Tab. 6H - Kultura fiz. i turyst'!H230</f>
        <v>0</v>
      </c>
      <c r="J563" s="4744">
        <f>'Tab. 6H - Kultura fiz. i turyst'!I230</f>
        <v>189210</v>
      </c>
      <c r="K563" s="4744">
        <f>'Tab. 6H - Kultura fiz. i turyst'!J230</f>
        <v>0</v>
      </c>
      <c r="L563" s="4744">
        <f>'Tab. 6H - Kultura fiz. i turyst'!K230</f>
        <v>0</v>
      </c>
      <c r="M563" s="4744"/>
      <c r="N563" s="4744"/>
      <c r="O563" s="4744"/>
      <c r="P563" s="4744"/>
      <c r="Q563" s="4744"/>
      <c r="R563" s="4745"/>
      <c r="S563" s="4746"/>
      <c r="T563" s="4746"/>
      <c r="U563" s="4746"/>
      <c r="V563" s="4746"/>
    </row>
    <row r="564" spans="1:22" ht="15" customHeight="1" thickBot="1">
      <c r="A564" s="4763"/>
      <c r="B564" s="4748" t="s">
        <v>317</v>
      </c>
      <c r="C564" s="4749"/>
      <c r="D564" s="4750"/>
      <c r="E564" s="4751">
        <f>F564+G564+H564+I564+J564+K564+L564+M564</f>
        <v>189210</v>
      </c>
      <c r="F564" s="4752">
        <f>'Tab. 6H - Kultura fiz. i turyst'!E233</f>
        <v>0</v>
      </c>
      <c r="G564" s="4752">
        <f>'Tab. 6H - Kultura fiz. i turyst'!F233</f>
        <v>0</v>
      </c>
      <c r="H564" s="4752">
        <f>'Tab. 6H - Kultura fiz. i turyst'!G233</f>
        <v>0</v>
      </c>
      <c r="I564" s="4752">
        <f>'Tab. 6H - Kultura fiz. i turyst'!H233</f>
        <v>0</v>
      </c>
      <c r="J564" s="4752">
        <f>'Tab. 6H - Kultura fiz. i turyst'!I233</f>
        <v>0</v>
      </c>
      <c r="K564" s="4752">
        <f>'Tab. 6H - Kultura fiz. i turyst'!J233</f>
        <v>189210</v>
      </c>
      <c r="L564" s="4752">
        <f>'Tab. 6H - Kultura fiz. i turyst'!K233</f>
        <v>0</v>
      </c>
      <c r="M564" s="4752"/>
      <c r="N564" s="4752"/>
      <c r="O564" s="4752"/>
      <c r="P564" s="4752"/>
      <c r="Q564" s="4752"/>
      <c r="R564" s="4753"/>
      <c r="S564" s="4753"/>
      <c r="T564" s="4753"/>
      <c r="U564" s="4753"/>
      <c r="V564" s="4753"/>
    </row>
    <row r="565" spans="1:22" ht="14.25" hidden="1">
      <c r="A565" s="4922"/>
      <c r="B565" s="4923"/>
      <c r="C565" s="4719" t="s">
        <v>416</v>
      </c>
      <c r="D565" s="4720" t="e">
        <f>E568/E566%</f>
        <v>#DIV/0!</v>
      </c>
      <c r="E565" s="4721"/>
      <c r="F565" s="4722"/>
      <c r="G565" s="4723"/>
      <c r="H565" s="4722"/>
      <c r="I565" s="4722"/>
      <c r="J565" s="4722"/>
      <c r="K565" s="4722"/>
      <c r="L565" s="4722"/>
      <c r="M565" s="4722"/>
      <c r="N565" s="4722"/>
      <c r="O565" s="4722"/>
      <c r="P565" s="4722"/>
      <c r="Q565" s="4722"/>
      <c r="R565" s="4724"/>
      <c r="S565" s="4725"/>
      <c r="T565" s="4725"/>
      <c r="U565" s="4725"/>
      <c r="V565" s="4725"/>
    </row>
    <row r="566" spans="1:22" ht="15" hidden="1" customHeight="1">
      <c r="A566" s="4924"/>
      <c r="B566" s="4760" t="s">
        <v>195</v>
      </c>
      <c r="C566" s="4728"/>
      <c r="D566" s="4729"/>
      <c r="E566" s="4730">
        <f>+F566+G566+H566+I566+J566+K566+L566+M566</f>
        <v>0</v>
      </c>
      <c r="F566" s="4731"/>
      <c r="G566" s="4731"/>
      <c r="H566" s="4731"/>
      <c r="I566" s="4731"/>
      <c r="J566" s="4731"/>
      <c r="K566" s="4731"/>
      <c r="L566" s="4731"/>
      <c r="M566" s="4731"/>
      <c r="N566" s="4731"/>
      <c r="O566" s="4731"/>
      <c r="P566" s="4731"/>
      <c r="Q566" s="4731"/>
      <c r="R566" s="4732"/>
      <c r="S566" s="4733"/>
      <c r="T566" s="4733"/>
      <c r="U566" s="4733"/>
      <c r="V566" s="4733"/>
    </row>
    <row r="567" spans="1:22" ht="15" hidden="1" customHeight="1">
      <c r="A567" s="4924"/>
      <c r="B567" s="4761" t="s">
        <v>321</v>
      </c>
      <c r="C567" s="4735"/>
      <c r="D567" s="4736"/>
      <c r="E567" s="4737">
        <f>+F567+G567+H567+I567+J567+K567+L567+M567</f>
        <v>0</v>
      </c>
      <c r="F567" s="4738"/>
      <c r="G567" s="4738"/>
      <c r="H567" s="4738"/>
      <c r="I567" s="4738"/>
      <c r="J567" s="4738"/>
      <c r="K567" s="4738"/>
      <c r="L567" s="4738"/>
      <c r="M567" s="4738"/>
      <c r="N567" s="4738"/>
      <c r="O567" s="4738"/>
      <c r="P567" s="4738"/>
      <c r="Q567" s="4738"/>
      <c r="R567" s="4739"/>
      <c r="S567" s="4739"/>
      <c r="T567" s="4739"/>
      <c r="U567" s="4739"/>
      <c r="V567" s="4739"/>
    </row>
    <row r="568" spans="1:22" ht="15" hidden="1" customHeight="1" thickBot="1">
      <c r="A568" s="4924"/>
      <c r="B568" s="4762" t="s">
        <v>197</v>
      </c>
      <c r="C568" s="4754">
        <f>E568-E569</f>
        <v>0</v>
      </c>
      <c r="D568" s="4742"/>
      <c r="E568" s="4743">
        <f>+F568+G568+H568+I568+J568+K568+L568+M568</f>
        <v>0</v>
      </c>
      <c r="F568" s="4744"/>
      <c r="G568" s="4744"/>
      <c r="H568" s="4744"/>
      <c r="I568" s="4744"/>
      <c r="J568" s="4744"/>
      <c r="K568" s="4744"/>
      <c r="L568" s="4744"/>
      <c r="M568" s="4744"/>
      <c r="N568" s="4744"/>
      <c r="O568" s="4744"/>
      <c r="P568" s="4744"/>
      <c r="Q568" s="4744"/>
      <c r="R568" s="4745"/>
      <c r="S568" s="4746"/>
      <c r="T568" s="4746"/>
      <c r="U568" s="4746"/>
      <c r="V568" s="4746"/>
    </row>
    <row r="569" spans="1:22" ht="15" hidden="1" customHeight="1" thickBot="1">
      <c r="A569" s="4925"/>
      <c r="B569" s="4748" t="s">
        <v>317</v>
      </c>
      <c r="C569" s="4749"/>
      <c r="D569" s="4750"/>
      <c r="E569" s="4751">
        <f>F569+G569+H569+I569+J569+K569+L569+M569</f>
        <v>0</v>
      </c>
      <c r="F569" s="4752"/>
      <c r="G569" s="4752"/>
      <c r="H569" s="4752"/>
      <c r="I569" s="4752"/>
      <c r="J569" s="4752"/>
      <c r="K569" s="4752"/>
      <c r="L569" s="4752"/>
      <c r="M569" s="4752"/>
      <c r="N569" s="4752"/>
      <c r="O569" s="4752"/>
      <c r="P569" s="4752"/>
      <c r="Q569" s="4752"/>
      <c r="R569" s="4753"/>
      <c r="S569" s="4753"/>
      <c r="T569" s="4753"/>
      <c r="U569" s="4753"/>
      <c r="V569" s="4753"/>
    </row>
    <row r="570" spans="1:22" ht="26.25" customHeight="1">
      <c r="A570" s="4757" t="s">
        <v>56</v>
      </c>
      <c r="B570" s="4758" t="str">
        <f>'Tab. 6H - Kultura fiz. i turyst'!B247</f>
        <v>Przystosowanie mostu europejskiego Siekierki-Neurudnitz do ruchu turystycznego w ramach PW INTERREG VA (2016-2020)</v>
      </c>
      <c r="C570" s="4719" t="s">
        <v>416</v>
      </c>
      <c r="D570" s="4720">
        <f>E573/E571%</f>
        <v>83.418889260871183</v>
      </c>
      <c r="E570" s="4721"/>
      <c r="F570" s="4722"/>
      <c r="G570" s="4723"/>
      <c r="H570" s="4722"/>
      <c r="I570" s="4722"/>
      <c r="J570" s="4722"/>
      <c r="K570" s="4722"/>
      <c r="L570" s="4722"/>
      <c r="M570" s="4722"/>
      <c r="N570" s="4722"/>
      <c r="O570" s="4722"/>
      <c r="P570" s="4722"/>
      <c r="Q570" s="4722"/>
      <c r="R570" s="4724"/>
      <c r="S570" s="4725"/>
      <c r="T570" s="4725"/>
      <c r="U570" s="4725"/>
      <c r="V570" s="4725"/>
    </row>
    <row r="571" spans="1:22" ht="15" customHeight="1">
      <c r="A571" s="4759"/>
      <c r="B571" s="4727" t="s">
        <v>195</v>
      </c>
      <c r="C571" s="4728"/>
      <c r="D571" s="4729"/>
      <c r="E571" s="4730">
        <f>+F571+G571+H571+I571+J571+K571+L571+M571</f>
        <v>161298</v>
      </c>
      <c r="F571" s="4731">
        <f>'Tab. 6H - Kultura fiz. i turyst'!E248</f>
        <v>0</v>
      </c>
      <c r="G571" s="4731">
        <f>'Tab. 6H - Kultura fiz. i turyst'!F248</f>
        <v>0</v>
      </c>
      <c r="H571" s="4731">
        <f>'Tab. 6H - Kultura fiz. i turyst'!G248</f>
        <v>0</v>
      </c>
      <c r="I571" s="4731">
        <f>'Tab. 6H - Kultura fiz. i turyst'!H248</f>
        <v>1500</v>
      </c>
      <c r="J571" s="4731">
        <f>'Tab. 6H - Kultura fiz. i turyst'!I248</f>
        <v>159798</v>
      </c>
      <c r="K571" s="4731">
        <f>'Tab. 6H - Kultura fiz. i turyst'!J248</f>
        <v>0</v>
      </c>
      <c r="L571" s="4731">
        <f>'Tab. 6H - Kultura fiz. i turyst'!K248</f>
        <v>0</v>
      </c>
      <c r="M571" s="4731">
        <f>'Tab. 6H - Kultura fiz. i turyst'!L248</f>
        <v>0</v>
      </c>
      <c r="N571" s="4731"/>
      <c r="O571" s="4731"/>
      <c r="P571" s="4731"/>
      <c r="Q571" s="4731"/>
      <c r="R571" s="4732"/>
      <c r="S571" s="4733"/>
      <c r="T571" s="4733"/>
      <c r="U571" s="4733"/>
      <c r="V571" s="4733"/>
    </row>
    <row r="572" spans="1:22" ht="15" customHeight="1">
      <c r="A572" s="4759"/>
      <c r="B572" s="4734" t="s">
        <v>321</v>
      </c>
      <c r="C572" s="4735"/>
      <c r="D572" s="4736"/>
      <c r="E572" s="4737">
        <f>+F572+G572+H572+I572+J572+K572+L572+M572</f>
        <v>26745</v>
      </c>
      <c r="F572" s="4738">
        <f>'Tab. 6H - Kultura fiz. i turyst'!E249</f>
        <v>0</v>
      </c>
      <c r="G572" s="4738">
        <f>'Tab. 6H - Kultura fiz. i turyst'!F249</f>
        <v>0</v>
      </c>
      <c r="H572" s="4738">
        <f>'Tab. 6H - Kultura fiz. i turyst'!G249</f>
        <v>0</v>
      </c>
      <c r="I572" s="4738">
        <f>'Tab. 6H - Kultura fiz. i turyst'!H249</f>
        <v>1500</v>
      </c>
      <c r="J572" s="4738">
        <f>'Tab. 6H - Kultura fiz. i turyst'!I249</f>
        <v>25245</v>
      </c>
      <c r="K572" s="4738">
        <f>'Tab. 6H - Kultura fiz. i turyst'!J249</f>
        <v>0</v>
      </c>
      <c r="L572" s="4738">
        <f>'Tab. 6H - Kultura fiz. i turyst'!K249</f>
        <v>0</v>
      </c>
      <c r="M572" s="4738">
        <f>'Tab. 6H - Kultura fiz. i turyst'!L249</f>
        <v>0</v>
      </c>
      <c r="N572" s="4738"/>
      <c r="O572" s="4738"/>
      <c r="P572" s="4738"/>
      <c r="Q572" s="4738"/>
      <c r="R572" s="4739"/>
      <c r="S572" s="4739"/>
      <c r="T572" s="4739"/>
      <c r="U572" s="4739"/>
      <c r="V572" s="4739"/>
    </row>
    <row r="573" spans="1:22" ht="15" customHeight="1" thickBot="1">
      <c r="A573" s="4759"/>
      <c r="B573" s="4740" t="s">
        <v>197</v>
      </c>
      <c r="C573" s="4754">
        <f>E573-E574</f>
        <v>0</v>
      </c>
      <c r="D573" s="4742"/>
      <c r="E573" s="4743">
        <f>+F573+G573+H573+I573+J573+K573+L573+M573</f>
        <v>134553</v>
      </c>
      <c r="F573" s="4744">
        <f>'Tab. 6H - Kultura fiz. i turyst'!E251</f>
        <v>0</v>
      </c>
      <c r="G573" s="4744">
        <f>'Tab. 6H - Kultura fiz. i turyst'!F251</f>
        <v>0</v>
      </c>
      <c r="H573" s="4744">
        <f>'Tab. 6H - Kultura fiz. i turyst'!G251</f>
        <v>0</v>
      </c>
      <c r="I573" s="4744">
        <f>'Tab. 6H - Kultura fiz. i turyst'!H251</f>
        <v>0</v>
      </c>
      <c r="J573" s="4744">
        <f>'Tab. 6H - Kultura fiz. i turyst'!I251</f>
        <v>134553</v>
      </c>
      <c r="K573" s="4744">
        <f>'Tab. 6H - Kultura fiz. i turyst'!J251</f>
        <v>0</v>
      </c>
      <c r="L573" s="4744">
        <f>'Tab. 6H - Kultura fiz. i turyst'!K251</f>
        <v>0</v>
      </c>
      <c r="M573" s="4744">
        <f>'Tab. 6H - Kultura fiz. i turyst'!L251</f>
        <v>0</v>
      </c>
      <c r="N573" s="4744"/>
      <c r="O573" s="4744"/>
      <c r="P573" s="4744"/>
      <c r="Q573" s="4744"/>
      <c r="R573" s="4745"/>
      <c r="S573" s="4746"/>
      <c r="T573" s="4746"/>
      <c r="U573" s="4746"/>
      <c r="V573" s="4746"/>
    </row>
    <row r="574" spans="1:22" ht="15" customHeight="1" thickBot="1">
      <c r="A574" s="4763"/>
      <c r="B574" s="4748" t="s">
        <v>317</v>
      </c>
      <c r="C574" s="4749"/>
      <c r="D574" s="4750"/>
      <c r="E574" s="4751">
        <f>F574+G574+H574+I574+J574+K574+L574+M574</f>
        <v>134553</v>
      </c>
      <c r="F574" s="4752">
        <f>'Tab. 6H - Kultura fiz. i turyst'!E254</f>
        <v>0</v>
      </c>
      <c r="G574" s="4752">
        <f>'Tab. 6H - Kultura fiz. i turyst'!F254</f>
        <v>0</v>
      </c>
      <c r="H574" s="4752">
        <f>'Tab. 6H - Kultura fiz. i turyst'!G254</f>
        <v>0</v>
      </c>
      <c r="I574" s="4752">
        <f>'Tab. 6H - Kultura fiz. i turyst'!H254</f>
        <v>0</v>
      </c>
      <c r="J574" s="4752">
        <f>'Tab. 6H - Kultura fiz. i turyst'!I254</f>
        <v>0</v>
      </c>
      <c r="K574" s="4752">
        <f>'Tab. 6H - Kultura fiz. i turyst'!J254</f>
        <v>134553</v>
      </c>
      <c r="L574" s="4752">
        <f>'Tab. 6H - Kultura fiz. i turyst'!K254</f>
        <v>0</v>
      </c>
      <c r="M574" s="4752">
        <f>'Tab. 6H - Kultura fiz. i turyst'!L254</f>
        <v>0</v>
      </c>
      <c r="N574" s="4752"/>
      <c r="O574" s="4752"/>
      <c r="P574" s="4752"/>
      <c r="Q574" s="4752"/>
      <c r="R574" s="4753"/>
      <c r="S574" s="4753"/>
      <c r="T574" s="4753"/>
      <c r="U574" s="4753"/>
      <c r="V574" s="4753"/>
    </row>
    <row r="575" spans="1:22" ht="6.75" customHeight="1">
      <c r="A575" s="5028"/>
      <c r="B575" s="5029"/>
      <c r="C575" s="5030"/>
      <c r="D575" s="5031"/>
      <c r="E575" s="5032"/>
      <c r="F575" s="5033"/>
      <c r="G575" s="5033"/>
      <c r="H575" s="5033"/>
      <c r="I575" s="5033"/>
      <c r="J575" s="5033"/>
      <c r="K575" s="5033"/>
      <c r="L575" s="5033"/>
      <c r="M575" s="5033"/>
      <c r="N575" s="5033"/>
      <c r="O575" s="5033"/>
      <c r="P575" s="5033"/>
      <c r="Q575" s="5033"/>
      <c r="R575" s="4746"/>
      <c r="S575" s="5033"/>
      <c r="T575" s="5033"/>
      <c r="U575" s="5033"/>
      <c r="V575" s="5033"/>
    </row>
    <row r="576" spans="1:22" s="5041" customFormat="1" ht="18.75" customHeight="1">
      <c r="A576" s="5034"/>
      <c r="B576" s="5035" t="s">
        <v>326</v>
      </c>
      <c r="C576" s="5036"/>
      <c r="D576" s="5037"/>
      <c r="E576" s="5038"/>
      <c r="F576" s="5038"/>
      <c r="G576" s="5038">
        <f>G9+G414+G528-'Tabela nr 6'!C12-G513-G407-G195-G523-G518</f>
        <v>0</v>
      </c>
      <c r="H576" s="5038">
        <f>H9+H414+H528-'Tabela nr 6'!D12-H513-H407-H195-H523-H518</f>
        <v>0</v>
      </c>
      <c r="I576" s="5038">
        <f>I9+I414+I528-'Tabela nr 6'!E12-I513-I407-I195-I523-I518</f>
        <v>0</v>
      </c>
      <c r="J576" s="5038">
        <f>J9+J414+J528-'Tabela nr 6'!F12-J513-J407-J195-J523-J518</f>
        <v>0</v>
      </c>
      <c r="K576" s="5038">
        <f>K9+K414+K528-'Tabela nr 6'!G12-K513-K407-K195-K523-K518</f>
        <v>0</v>
      </c>
      <c r="L576" s="5038">
        <f>L9+L414+L528-'Tabela nr 6'!H12-L513-L407-L195-L523-L518</f>
        <v>0</v>
      </c>
      <c r="M576" s="5038">
        <f>M9+M414+M528-'Tabela nr 6'!I12-M513-M407-M195-M523-M518</f>
        <v>0</v>
      </c>
      <c r="N576" s="5038"/>
      <c r="O576" s="5038"/>
      <c r="P576" s="5038"/>
      <c r="Q576" s="5038"/>
      <c r="R576" s="5039"/>
      <c r="S576" s="5040"/>
      <c r="T576" s="5040"/>
      <c r="U576" s="5040"/>
      <c r="V576" s="5040"/>
    </row>
    <row r="577" spans="1:22">
      <c r="A577" s="5028"/>
      <c r="B577" s="5029"/>
      <c r="C577" s="5030"/>
      <c r="D577" s="5031"/>
      <c r="E577" s="5032"/>
      <c r="F577" s="5033"/>
      <c r="G577" s="5033"/>
      <c r="H577" s="5033"/>
      <c r="I577" s="5033"/>
      <c r="J577" s="5033"/>
      <c r="K577" s="5033"/>
      <c r="L577" s="5033"/>
      <c r="M577" s="5033"/>
      <c r="N577" s="5033"/>
      <c r="O577" s="5033"/>
      <c r="P577" s="5033"/>
      <c r="Q577" s="5033"/>
      <c r="R577" s="4746"/>
      <c r="S577" s="5033"/>
      <c r="T577" s="5033"/>
      <c r="U577" s="5033"/>
      <c r="V577" s="5033"/>
    </row>
    <row r="578" spans="1:22" ht="21.75" customHeight="1">
      <c r="A578" s="5042"/>
      <c r="B578" s="5043" t="s">
        <v>328</v>
      </c>
      <c r="C578" s="5044"/>
      <c r="D578" s="5045"/>
      <c r="E578" s="5046"/>
      <c r="F578" s="5046"/>
      <c r="G578" s="5046"/>
      <c r="H578" s="5046"/>
      <c r="I578" s="5046"/>
      <c r="J578" s="5046"/>
      <c r="K578" s="5046"/>
      <c r="L578" s="5046"/>
      <c r="M578" s="5046"/>
      <c r="N578" s="5046"/>
      <c r="O578" s="5046"/>
      <c r="P578" s="5046"/>
      <c r="Q578" s="5046"/>
      <c r="R578" s="5047"/>
      <c r="S578" s="5046"/>
      <c r="T578" s="5046"/>
      <c r="U578" s="5046"/>
      <c r="V578" s="5046"/>
    </row>
    <row r="579" spans="1:22" ht="32.25" customHeight="1">
      <c r="A579" s="5048" t="s">
        <v>461</v>
      </c>
      <c r="B579" s="5049"/>
      <c r="C579" s="5030"/>
      <c r="D579" s="5031"/>
      <c r="E579" s="5032"/>
      <c r="F579" s="5033"/>
      <c r="G579" s="5033"/>
      <c r="H579" s="5033"/>
      <c r="I579" s="5033"/>
      <c r="J579" s="5033"/>
      <c r="K579" s="5033"/>
      <c r="L579" s="5033"/>
      <c r="M579" s="5033"/>
      <c r="N579" s="5033"/>
      <c r="O579" s="5033"/>
      <c r="P579" s="5033"/>
      <c r="Q579" s="5033"/>
      <c r="R579" s="4746"/>
      <c r="S579" s="5033"/>
      <c r="T579" s="5033"/>
      <c r="U579" s="5033"/>
      <c r="V579" s="5033"/>
    </row>
    <row r="580" spans="1:22" ht="69" customHeight="1">
      <c r="A580" s="5028"/>
      <c r="B580" s="5050" t="s">
        <v>671</v>
      </c>
      <c r="C580" s="5051"/>
      <c r="D580" s="5052"/>
      <c r="E580" s="5053"/>
      <c r="F580" s="5053"/>
      <c r="G580" s="5054">
        <f>'Tab. 6C - Ochrona zdrowia'!F109</f>
        <v>0</v>
      </c>
      <c r="H580" s="5054">
        <f>'Tab. 6C - Ochrona zdrowia'!G109</f>
        <v>2354619</v>
      </c>
      <c r="I580" s="5054">
        <f>'Tab. 6C - Ochrona zdrowia'!H109</f>
        <v>5147017</v>
      </c>
      <c r="J580" s="5054">
        <f>'Tab. 6C - Ochrona zdrowia'!I109</f>
        <v>5147017</v>
      </c>
      <c r="K580" s="5054">
        <f>'Tab. 6C - Ochrona zdrowia'!J109</f>
        <v>5147017</v>
      </c>
      <c r="L580" s="5054">
        <f>'Tab. 6C - Ochrona zdrowia'!K109</f>
        <v>5007017</v>
      </c>
      <c r="M580" s="5054">
        <f>'Tab. 6C - Ochrona zdrowia'!L109</f>
        <v>4067017</v>
      </c>
      <c r="N580" s="5054">
        <f>'Tab. 6C - Ochrona zdrowia'!N109</f>
        <v>4067017</v>
      </c>
      <c r="O580" s="5054">
        <f>'Tab. 6C - Ochrona zdrowia'!O109</f>
        <v>4067017</v>
      </c>
      <c r="P580" s="5054">
        <f>'Tab. 6C - Ochrona zdrowia'!P109</f>
        <v>4067017</v>
      </c>
      <c r="Q580" s="5054">
        <f>'Tab. 6C - Ochrona zdrowia'!Q109</f>
        <v>4067017</v>
      </c>
      <c r="R580" s="5054">
        <f>'Tab. 6C - Ochrona zdrowia'!R109</f>
        <v>3950354</v>
      </c>
      <c r="S580" s="5054">
        <f>'Tab. 6C - Ochrona zdrowia'!S109</f>
        <v>3833684</v>
      </c>
      <c r="T580" s="5054">
        <f>'Tab. 6C - Ochrona zdrowia'!T109</f>
        <v>3833684</v>
      </c>
      <c r="U580" s="5054">
        <f>'Tab. 6C - Ochrona zdrowia'!U109</f>
        <v>3833684</v>
      </c>
      <c r="V580" s="5054">
        <f>'Tab. 6C - Ochrona zdrowia'!V109</f>
        <v>1916851</v>
      </c>
    </row>
    <row r="581" spans="1:22" ht="4.5" customHeight="1">
      <c r="A581" s="5028"/>
      <c r="B581" s="5029"/>
      <c r="C581" s="5030"/>
      <c r="D581" s="5031"/>
      <c r="E581" s="5032"/>
      <c r="F581" s="5033"/>
      <c r="G581" s="5033"/>
      <c r="H581" s="5033"/>
      <c r="I581" s="5033"/>
      <c r="J581" s="5033"/>
      <c r="K581" s="5033"/>
      <c r="L581" s="5033"/>
      <c r="M581" s="5033"/>
      <c r="N581" s="5033"/>
      <c r="O581" s="5033"/>
      <c r="P581" s="5033"/>
      <c r="Q581" s="5033"/>
      <c r="R581" s="4746"/>
      <c r="S581" s="5033"/>
      <c r="T581" s="5033"/>
      <c r="U581" s="5033"/>
      <c r="V581" s="5033"/>
    </row>
    <row r="582" spans="1:22" ht="54.75" customHeight="1">
      <c r="A582" s="5028"/>
      <c r="B582" s="5050" t="s">
        <v>799</v>
      </c>
      <c r="C582" s="5051"/>
      <c r="D582" s="5052"/>
      <c r="E582" s="5053"/>
      <c r="F582" s="5053"/>
      <c r="G582" s="5054">
        <f>G583-G584</f>
        <v>43336913</v>
      </c>
      <c r="H582" s="5054">
        <f>H583-H584</f>
        <v>57622874</v>
      </c>
      <c r="I582" s="5054">
        <f>I583-I584</f>
        <v>69415335</v>
      </c>
      <c r="J582" s="5054">
        <f>J583-J584</f>
        <v>42475572</v>
      </c>
      <c r="K582" s="5054">
        <f t="shared" ref="K582:M582" si="11">K583-K584</f>
        <v>37155043</v>
      </c>
      <c r="L582" s="5054">
        <f t="shared" si="11"/>
        <v>34096428</v>
      </c>
      <c r="M582" s="5054">
        <f t="shared" si="11"/>
        <v>31209651</v>
      </c>
      <c r="N582" s="5053"/>
      <c r="O582" s="5053"/>
      <c r="P582" s="5053"/>
      <c r="Q582" s="5053"/>
      <c r="R582" s="5055"/>
      <c r="S582" s="5056"/>
      <c r="T582" s="5056"/>
      <c r="U582" s="5056"/>
      <c r="V582" s="5056"/>
    </row>
    <row r="583" spans="1:22" s="5067" customFormat="1" ht="50.25" customHeight="1">
      <c r="A583" s="5028"/>
      <c r="B583" s="5057" t="s">
        <v>814</v>
      </c>
      <c r="C583" s="5058"/>
      <c r="D583" s="5059"/>
      <c r="E583" s="5060"/>
      <c r="F583" s="5061"/>
      <c r="G583" s="5062">
        <v>43336913</v>
      </c>
      <c r="H583" s="5062">
        <v>57622874</v>
      </c>
      <c r="I583" s="5062">
        <v>69415335</v>
      </c>
      <c r="J583" s="5062">
        <v>42475572</v>
      </c>
      <c r="K583" s="5063">
        <v>37478806</v>
      </c>
      <c r="L583" s="5063">
        <v>34096428</v>
      </c>
      <c r="M583" s="5064">
        <f>M207</f>
        <v>31209651</v>
      </c>
      <c r="N583" s="5065"/>
      <c r="O583" s="5065"/>
      <c r="P583" s="5065"/>
      <c r="Q583" s="5065"/>
      <c r="R583" s="5066"/>
      <c r="S583" s="5033"/>
      <c r="T583" s="5033"/>
      <c r="U583" s="5033"/>
      <c r="V583" s="5033"/>
    </row>
    <row r="584" spans="1:22" ht="63" customHeight="1">
      <c r="A584" s="5028"/>
      <c r="B584" s="5068" t="s">
        <v>800</v>
      </c>
      <c r="C584" s="5069"/>
      <c r="D584" s="5070"/>
      <c r="E584" s="5071"/>
      <c r="F584" s="5065"/>
      <c r="G584" s="5072">
        <f>G529</f>
        <v>0</v>
      </c>
      <c r="H584" s="5072">
        <f>H529</f>
        <v>0</v>
      </c>
      <c r="I584" s="5072">
        <f t="shared" ref="I584:M584" si="12">I529</f>
        <v>0</v>
      </c>
      <c r="J584" s="5072">
        <f t="shared" si="12"/>
        <v>0</v>
      </c>
      <c r="K584" s="5072">
        <f>K529</f>
        <v>323763</v>
      </c>
      <c r="L584" s="5073">
        <f>L529</f>
        <v>0</v>
      </c>
      <c r="M584" s="5074">
        <f t="shared" si="12"/>
        <v>0</v>
      </c>
      <c r="N584" s="5065"/>
      <c r="O584" s="5065"/>
      <c r="P584" s="5065"/>
      <c r="Q584" s="5065"/>
      <c r="R584" s="5066"/>
      <c r="S584" s="5033"/>
      <c r="T584" s="5033"/>
      <c r="U584" s="5033"/>
      <c r="V584" s="5033"/>
    </row>
    <row r="585" spans="1:22" ht="4.5" customHeight="1">
      <c r="A585" s="5028"/>
      <c r="B585" s="5029"/>
      <c r="C585" s="5030"/>
      <c r="D585" s="5031"/>
      <c r="E585" s="5032"/>
      <c r="F585" s="5033"/>
      <c r="G585" s="5033"/>
      <c r="H585" s="5033"/>
      <c r="I585" s="5033"/>
      <c r="J585" s="5033"/>
      <c r="K585" s="5033"/>
      <c r="L585" s="5033"/>
      <c r="M585" s="5033"/>
      <c r="N585" s="5033"/>
      <c r="O585" s="5033"/>
      <c r="P585" s="5033"/>
      <c r="Q585" s="5033"/>
      <c r="R585" s="4746"/>
      <c r="S585" s="5033"/>
      <c r="T585" s="5033"/>
      <c r="U585" s="5033"/>
      <c r="V585" s="5033"/>
    </row>
    <row r="586" spans="1:22" ht="54" customHeight="1">
      <c r="A586" s="5028"/>
      <c r="B586" s="5050" t="s">
        <v>672</v>
      </c>
      <c r="C586" s="5051"/>
      <c r="D586" s="5052"/>
      <c r="E586" s="5053"/>
      <c r="F586" s="5053"/>
      <c r="G586" s="5054">
        <f>G587-G588</f>
        <v>189500478</v>
      </c>
      <c r="H586" s="5054">
        <f t="shared" ref="H586:K586" si="13">H587-H588</f>
        <v>308322201</v>
      </c>
      <c r="I586" s="5054">
        <f t="shared" si="13"/>
        <v>118056499</v>
      </c>
      <c r="J586" s="5054">
        <f t="shared" si="13"/>
        <v>123136029</v>
      </c>
      <c r="K586" s="5054">
        <f t="shared" si="13"/>
        <v>26170719</v>
      </c>
      <c r="L586" s="5054">
        <f t="shared" ref="L586:M586" si="14">L587-L588</f>
        <v>200000</v>
      </c>
      <c r="M586" s="5054">
        <f t="shared" si="14"/>
        <v>144500</v>
      </c>
      <c r="N586" s="5053"/>
      <c r="O586" s="5053"/>
      <c r="P586" s="5053"/>
      <c r="Q586" s="5053"/>
      <c r="R586" s="5055"/>
      <c r="S586" s="5056"/>
      <c r="T586" s="5056"/>
      <c r="U586" s="5056"/>
      <c r="V586" s="5056"/>
    </row>
    <row r="587" spans="1:22" s="5067" customFormat="1" ht="53.25" customHeight="1">
      <c r="A587" s="5028"/>
      <c r="B587" s="5057" t="s">
        <v>815</v>
      </c>
      <c r="C587" s="5058"/>
      <c r="D587" s="5075"/>
      <c r="E587" s="5060"/>
      <c r="F587" s="5061"/>
      <c r="G587" s="5062">
        <v>189500478</v>
      </c>
      <c r="H587" s="5062">
        <v>313069082</v>
      </c>
      <c r="I587" s="5062">
        <v>212877553</v>
      </c>
      <c r="J587" s="5062">
        <v>221119902</v>
      </c>
      <c r="K587" s="5063">
        <v>90562112</v>
      </c>
      <c r="L587" s="5063">
        <v>200000</v>
      </c>
      <c r="M587" s="5064">
        <f>M11</f>
        <v>144500</v>
      </c>
      <c r="N587" s="5065"/>
      <c r="O587" s="5065"/>
      <c r="P587" s="5065"/>
      <c r="Q587" s="5065"/>
      <c r="R587" s="5066"/>
      <c r="S587" s="5033"/>
      <c r="T587" s="5033"/>
      <c r="U587" s="5033"/>
      <c r="V587" s="5033"/>
    </row>
    <row r="588" spans="1:22" ht="38.25" customHeight="1">
      <c r="A588" s="5028"/>
      <c r="B588" s="5068" t="s">
        <v>801</v>
      </c>
      <c r="C588" s="5069"/>
      <c r="D588" s="5070"/>
      <c r="E588" s="5071"/>
      <c r="F588" s="5065"/>
      <c r="G588" s="5072">
        <f t="shared" ref="G588:M588" si="15">G415</f>
        <v>0</v>
      </c>
      <c r="H588" s="5072">
        <f>H415</f>
        <v>4746881</v>
      </c>
      <c r="I588" s="5072">
        <f t="shared" si="15"/>
        <v>94821054</v>
      </c>
      <c r="J588" s="5072">
        <f t="shared" si="15"/>
        <v>97983873</v>
      </c>
      <c r="K588" s="5072">
        <f t="shared" si="15"/>
        <v>64391393</v>
      </c>
      <c r="L588" s="5073">
        <f t="shared" si="15"/>
        <v>0</v>
      </c>
      <c r="M588" s="5074">
        <f t="shared" si="15"/>
        <v>0</v>
      </c>
      <c r="N588" s="5065"/>
      <c r="O588" s="5065"/>
      <c r="P588" s="5065"/>
      <c r="Q588" s="5065"/>
      <c r="R588" s="5066"/>
      <c r="S588" s="5033"/>
      <c r="T588" s="5033"/>
      <c r="U588" s="5033"/>
      <c r="V588" s="5033"/>
    </row>
    <row r="589" spans="1:22" ht="3" customHeight="1">
      <c r="A589" s="5028"/>
      <c r="B589" s="5029"/>
      <c r="C589" s="5030"/>
      <c r="D589" s="5031"/>
      <c r="E589" s="5032"/>
      <c r="F589" s="5033"/>
      <c r="G589" s="5033"/>
      <c r="H589" s="5033"/>
      <c r="I589" s="5033"/>
      <c r="J589" s="5033"/>
      <c r="K589" s="5033"/>
      <c r="L589" s="5033"/>
      <c r="M589" s="5033"/>
      <c r="N589" s="5033"/>
      <c r="O589" s="5033"/>
      <c r="P589" s="5033"/>
      <c r="Q589" s="5033"/>
      <c r="R589" s="4746"/>
      <c r="S589" s="5033"/>
      <c r="T589" s="5033"/>
      <c r="U589" s="5033"/>
      <c r="V589" s="5033"/>
    </row>
    <row r="590" spans="1:22" ht="42.75" customHeight="1">
      <c r="A590" s="5028"/>
      <c r="B590" s="5050" t="s">
        <v>673</v>
      </c>
      <c r="C590" s="5051"/>
      <c r="D590" s="5052"/>
      <c r="E590" s="5053"/>
      <c r="F590" s="5053"/>
      <c r="G590" s="5054">
        <f>G591+G592</f>
        <v>59162170</v>
      </c>
      <c r="H590" s="5054">
        <f>H591+H592</f>
        <v>87740365</v>
      </c>
      <c r="I590" s="5054">
        <f t="shared" ref="I590:K590" si="16">I591+I592</f>
        <v>104348739</v>
      </c>
      <c r="J590" s="5054">
        <f t="shared" si="16"/>
        <v>75712211</v>
      </c>
      <c r="K590" s="5054">
        <f t="shared" si="16"/>
        <v>49952903</v>
      </c>
      <c r="L590" s="5054">
        <f>L591+L592</f>
        <v>43752135</v>
      </c>
      <c r="M590" s="5054">
        <f>M591+M592</f>
        <v>35819679</v>
      </c>
      <c r="N590" s="5053"/>
      <c r="O590" s="5053"/>
      <c r="P590" s="5053"/>
      <c r="Q590" s="5053"/>
      <c r="R590" s="5055"/>
      <c r="S590" s="5056"/>
      <c r="T590" s="5056"/>
      <c r="U590" s="5056"/>
      <c r="V590" s="5056"/>
    </row>
    <row r="591" spans="1:22" ht="61.5" customHeight="1">
      <c r="A591" s="5028"/>
      <c r="B591" s="5057" t="s">
        <v>816</v>
      </c>
      <c r="C591" s="5058"/>
      <c r="D591" s="5075"/>
      <c r="E591" s="5060"/>
      <c r="F591" s="5061"/>
      <c r="G591" s="5062">
        <v>56007461</v>
      </c>
      <c r="H591" s="5062">
        <v>81250769</v>
      </c>
      <c r="I591" s="5062">
        <v>81869909</v>
      </c>
      <c r="J591" s="5062">
        <v>54287067</v>
      </c>
      <c r="K591" s="5063">
        <v>29539632</v>
      </c>
      <c r="L591" s="5063">
        <v>24433039</v>
      </c>
      <c r="M591" s="5074">
        <f>M208+M528-M592</f>
        <v>16091016</v>
      </c>
      <c r="N591" s="5065"/>
      <c r="O591" s="5065"/>
      <c r="P591" s="5065"/>
      <c r="Q591" s="5065"/>
      <c r="R591" s="5066"/>
      <c r="S591" s="5033"/>
      <c r="T591" s="5033"/>
      <c r="U591" s="5033"/>
      <c r="V591" s="5033"/>
    </row>
    <row r="592" spans="1:22" ht="41.25" customHeight="1">
      <c r="A592" s="5028"/>
      <c r="B592" s="5076" t="s">
        <v>802</v>
      </c>
      <c r="C592" s="5077"/>
      <c r="D592" s="5078"/>
      <c r="E592" s="5079"/>
      <c r="F592" s="5079"/>
      <c r="G592" s="5073">
        <f>'Tab. 6E - Administracja'!F110+'Tab. 6E - Administracja'!F100</f>
        <v>3154709</v>
      </c>
      <c r="H592" s="5073">
        <f>'Tab. 6E - Administracja'!G110+'Tab. 6E - Administracja'!G100</f>
        <v>6489596</v>
      </c>
      <c r="I592" s="5073">
        <f>'Tab. 6E - Administracja'!H110+'Tab. 6E - Administracja'!H100</f>
        <v>22478830</v>
      </c>
      <c r="J592" s="5073">
        <f>'Tab. 6E - Administracja'!I110+'Tab. 6E - Administracja'!I100</f>
        <v>21425144</v>
      </c>
      <c r="K592" s="5073">
        <f>'Tab. 6E - Administracja'!J110+'Tab. 6E - Administracja'!J100</f>
        <v>20413271</v>
      </c>
      <c r="L592" s="5073">
        <f>'Tab. 6E - Administracja'!K110+'Tab. 6E - Administracja'!K100</f>
        <v>19319096</v>
      </c>
      <c r="M592" s="5074">
        <f>'Tab. 6E - Administracja'!L110+'Tab. 6E - Administracja'!L100</f>
        <v>19728663</v>
      </c>
      <c r="N592" s="5072"/>
      <c r="O592" s="5065"/>
      <c r="P592" s="5065"/>
      <c r="Q592" s="5065"/>
      <c r="R592" s="5066"/>
      <c r="S592" s="5033"/>
      <c r="T592" s="5033"/>
      <c r="U592" s="5033"/>
      <c r="V592" s="5033"/>
    </row>
    <row r="593" spans="1:22" ht="3" customHeight="1">
      <c r="A593" s="5028"/>
      <c r="B593" s="5029"/>
      <c r="C593" s="5030"/>
      <c r="D593" s="5031"/>
      <c r="E593" s="5032"/>
      <c r="F593" s="5033"/>
      <c r="G593" s="5033"/>
      <c r="H593" s="5033"/>
      <c r="I593" s="5033"/>
      <c r="J593" s="5033"/>
      <c r="K593" s="5033"/>
      <c r="L593" s="5033"/>
      <c r="M593" s="5033"/>
      <c r="N593" s="5033"/>
      <c r="O593" s="5033"/>
      <c r="P593" s="5033"/>
      <c r="Q593" s="5033"/>
      <c r="R593" s="4746"/>
      <c r="S593" s="5033"/>
      <c r="T593" s="5033"/>
      <c r="U593" s="5033"/>
      <c r="V593" s="5033"/>
    </row>
    <row r="594" spans="1:22" ht="41.25" customHeight="1">
      <c r="A594" s="5028"/>
      <c r="B594" s="5050" t="s">
        <v>803</v>
      </c>
      <c r="C594" s="5051"/>
      <c r="D594" s="5052"/>
      <c r="E594" s="5053"/>
      <c r="F594" s="5053"/>
      <c r="G594" s="5054">
        <f>G595+G596</f>
        <v>40236696</v>
      </c>
      <c r="H594" s="5054">
        <f>H595+H596</f>
        <v>57908201</v>
      </c>
      <c r="I594" s="5054">
        <f t="shared" ref="I594:M594" si="17">I595+I596</f>
        <v>68453542</v>
      </c>
      <c r="J594" s="5054">
        <f t="shared" si="17"/>
        <v>53579557</v>
      </c>
      <c r="K594" s="5054">
        <f t="shared" si="17"/>
        <v>36206321</v>
      </c>
      <c r="L594" s="5054">
        <f>L595+L596</f>
        <v>34984111</v>
      </c>
      <c r="M594" s="5054">
        <f t="shared" si="17"/>
        <v>30811463</v>
      </c>
      <c r="N594" s="5053"/>
      <c r="O594" s="5053"/>
      <c r="P594" s="5053"/>
      <c r="Q594" s="5053"/>
      <c r="R594" s="5055"/>
      <c r="S594" s="5056"/>
      <c r="T594" s="5056"/>
      <c r="U594" s="5056"/>
      <c r="V594" s="5056"/>
    </row>
    <row r="595" spans="1:22" ht="61.5" customHeight="1">
      <c r="A595" s="5028"/>
      <c r="B595" s="5057" t="s">
        <v>817</v>
      </c>
      <c r="C595" s="5058"/>
      <c r="D595" s="5075"/>
      <c r="E595" s="5060"/>
      <c r="F595" s="5061"/>
      <c r="G595" s="5062">
        <v>37906646</v>
      </c>
      <c r="H595" s="5062">
        <v>52827733</v>
      </c>
      <c r="I595" s="5062">
        <v>51117090</v>
      </c>
      <c r="J595" s="5062">
        <v>37256498</v>
      </c>
      <c r="K595" s="5063">
        <v>20216415</v>
      </c>
      <c r="L595" s="5063">
        <v>18653525</v>
      </c>
      <c r="M595" s="5074">
        <f>M210+M528-M596</f>
        <v>14132756</v>
      </c>
      <c r="N595" s="5065"/>
      <c r="O595" s="5065"/>
      <c r="P595" s="5065"/>
      <c r="Q595" s="5065"/>
      <c r="R595" s="5066"/>
      <c r="S595" s="5033"/>
      <c r="T595" s="5033"/>
      <c r="U595" s="5033"/>
      <c r="V595" s="5033"/>
    </row>
    <row r="596" spans="1:22" ht="29.25" customHeight="1">
      <c r="A596" s="5028"/>
      <c r="B596" s="5068" t="s">
        <v>393</v>
      </c>
      <c r="C596" s="5069"/>
      <c r="D596" s="5070"/>
      <c r="E596" s="5071"/>
      <c r="F596" s="5065"/>
      <c r="G596" s="5072">
        <f>'Tab. 6E - Administracja'!F110</f>
        <v>2330050</v>
      </c>
      <c r="H596" s="5072">
        <f>'Tab. 6E - Administracja'!G110</f>
        <v>5080468</v>
      </c>
      <c r="I596" s="5072">
        <f>'Tab. 6E - Administracja'!H110</f>
        <v>17336452</v>
      </c>
      <c r="J596" s="5072">
        <f>'Tab. 6E - Administracja'!I110</f>
        <v>16323059</v>
      </c>
      <c r="K596" s="5072">
        <f>'Tab. 6E - Administracja'!J110</f>
        <v>15989906</v>
      </c>
      <c r="L596" s="5073">
        <f>'Tab. 6E - Administracja'!K110</f>
        <v>16330586</v>
      </c>
      <c r="M596" s="5074">
        <f>'Tab. 6E - Administracja'!L110</f>
        <v>16678707</v>
      </c>
      <c r="N596" s="5065"/>
      <c r="O596" s="5065"/>
      <c r="P596" s="5065"/>
      <c r="Q596" s="5065"/>
      <c r="R596" s="5066"/>
      <c r="S596" s="5033"/>
      <c r="T596" s="5033"/>
      <c r="U596" s="5033"/>
      <c r="V596" s="5033"/>
    </row>
    <row r="597" spans="1:22" ht="108.75" customHeight="1">
      <c r="A597" s="5028"/>
      <c r="B597" s="5050" t="s">
        <v>804</v>
      </c>
      <c r="C597" s="5051"/>
      <c r="D597" s="5052"/>
      <c r="E597" s="5053"/>
      <c r="F597" s="5053"/>
      <c r="G597" s="5054">
        <f>G594-G533-G538-G548-G543-G553-G558-G563-G568</f>
        <v>40236696</v>
      </c>
      <c r="H597" s="5054">
        <f>H594-H533-H538-H548-H543-H553-H558-H563-H568-H573</f>
        <v>57908201</v>
      </c>
      <c r="I597" s="5054">
        <f t="shared" ref="I597:M597" si="18">I594-I533-I538-I548-I543-I553-I558-I563-I568-I573</f>
        <v>68453542</v>
      </c>
      <c r="J597" s="5054">
        <f t="shared" si="18"/>
        <v>53255794</v>
      </c>
      <c r="K597" s="5054">
        <f t="shared" si="18"/>
        <v>36206321</v>
      </c>
      <c r="L597" s="5054">
        <f t="shared" si="18"/>
        <v>34984111</v>
      </c>
      <c r="M597" s="5054">
        <f t="shared" si="18"/>
        <v>30811463</v>
      </c>
      <c r="N597" s="5053"/>
      <c r="O597" s="5053"/>
      <c r="P597" s="5053"/>
      <c r="Q597" s="5053"/>
      <c r="R597" s="5055"/>
      <c r="S597" s="5056"/>
      <c r="T597" s="5056"/>
      <c r="U597" s="5056"/>
      <c r="V597" s="5056"/>
    </row>
    <row r="598" spans="1:22" ht="54.75" customHeight="1">
      <c r="A598" s="5028"/>
      <c r="B598" s="5050" t="s">
        <v>805</v>
      </c>
      <c r="C598" s="5051"/>
      <c r="D598" s="5052"/>
      <c r="E598" s="5053"/>
      <c r="F598" s="5053"/>
      <c r="G598" s="5054">
        <f>+G599</f>
        <v>253943928</v>
      </c>
      <c r="H598" s="5054">
        <f>+H599+H600</f>
        <v>374347918</v>
      </c>
      <c r="I598" s="5054">
        <f t="shared" ref="I598:M598" si="19">+I599+I600</f>
        <v>303467340</v>
      </c>
      <c r="J598" s="5054">
        <f t="shared" si="19"/>
        <v>291054916</v>
      </c>
      <c r="K598" s="5054">
        <f t="shared" si="19"/>
        <v>94793546</v>
      </c>
      <c r="L598" s="5054">
        <f t="shared" si="19"/>
        <v>11624000</v>
      </c>
      <c r="M598" s="5054">
        <f t="shared" si="19"/>
        <v>144500</v>
      </c>
      <c r="N598" s="5053"/>
      <c r="O598" s="5053"/>
      <c r="P598" s="5053"/>
      <c r="Q598" s="5053"/>
      <c r="R598" s="5055"/>
      <c r="S598" s="5056"/>
      <c r="T598" s="5056"/>
      <c r="U598" s="5056"/>
      <c r="V598" s="5056"/>
    </row>
    <row r="599" spans="1:22" ht="53.25" customHeight="1">
      <c r="A599" s="5028"/>
      <c r="B599" s="5057" t="s">
        <v>818</v>
      </c>
      <c r="C599" s="5058"/>
      <c r="D599" s="5075"/>
      <c r="E599" s="5060"/>
      <c r="F599" s="5061"/>
      <c r="G599" s="5062">
        <v>253943928</v>
      </c>
      <c r="H599" s="5062">
        <v>374312676</v>
      </c>
      <c r="I599" s="5062">
        <v>298042111</v>
      </c>
      <c r="J599" s="5062">
        <v>278712369</v>
      </c>
      <c r="K599" s="5063">
        <v>83734173</v>
      </c>
      <c r="L599" s="5063">
        <v>11624000</v>
      </c>
      <c r="M599" s="5074">
        <f>M12+M414</f>
        <v>144500</v>
      </c>
      <c r="N599" s="5065"/>
      <c r="O599" s="5065"/>
      <c r="P599" s="5065"/>
      <c r="Q599" s="5065"/>
      <c r="R599" s="5066"/>
      <c r="S599" s="5033"/>
      <c r="T599" s="5033"/>
      <c r="U599" s="5033"/>
      <c r="V599" s="5033"/>
    </row>
    <row r="600" spans="1:22" ht="33.75" customHeight="1">
      <c r="A600" s="5028"/>
      <c r="B600" s="5068" t="s">
        <v>768</v>
      </c>
      <c r="C600" s="5030"/>
      <c r="D600" s="5080"/>
      <c r="E600" s="5032"/>
      <c r="F600" s="5033"/>
      <c r="G600" s="5033"/>
      <c r="H600" s="5072">
        <f>'Tab. 6E - Administracja'!G140</f>
        <v>35242</v>
      </c>
      <c r="I600" s="5072">
        <f>'Tab. 6E - Administracja'!H140</f>
        <v>5425229</v>
      </c>
      <c r="J600" s="5072">
        <f>'Tab. 6E - Administracja'!I140</f>
        <v>12342547</v>
      </c>
      <c r="K600" s="5072">
        <f>'Tab. 6E - Administracja'!J140</f>
        <v>11059373</v>
      </c>
      <c r="L600" s="5072">
        <f>'Tab. 6E - Administracja'!K140</f>
        <v>0</v>
      </c>
      <c r="M600" s="5074"/>
      <c r="N600" s="5033"/>
      <c r="O600" s="5033"/>
      <c r="P600" s="5033"/>
      <c r="Q600" s="5033"/>
      <c r="R600" s="4746"/>
      <c r="S600" s="5033"/>
      <c r="T600" s="5033"/>
      <c r="U600" s="5033"/>
      <c r="V600" s="5033"/>
    </row>
    <row r="601" spans="1:22" ht="53.25" customHeight="1">
      <c r="A601" s="5028"/>
      <c r="B601" s="5050" t="s">
        <v>806</v>
      </c>
      <c r="C601" s="5051"/>
      <c r="D601" s="5052"/>
      <c r="E601" s="5053"/>
      <c r="F601" s="5053"/>
      <c r="G601" s="5054">
        <f>G603-G602</f>
        <v>203052261</v>
      </c>
      <c r="H601" s="5054">
        <f>H603-H602</f>
        <v>295922473</v>
      </c>
      <c r="I601" s="5054">
        <f>I603-I602</f>
        <v>118338098</v>
      </c>
      <c r="J601" s="5054">
        <f>J603-J602</f>
        <v>120650652</v>
      </c>
      <c r="K601" s="5054">
        <f>K603-K602</f>
        <v>24670719</v>
      </c>
      <c r="L601" s="5054">
        <f t="shared" ref="L601:M601" si="20">L603-L602</f>
        <v>200000</v>
      </c>
      <c r="M601" s="5054">
        <f t="shared" si="20"/>
        <v>144500</v>
      </c>
      <c r="N601" s="5053"/>
      <c r="O601" s="5053"/>
      <c r="P601" s="5053"/>
      <c r="Q601" s="5053"/>
      <c r="R601" s="5055"/>
      <c r="S601" s="5056"/>
      <c r="T601" s="5056"/>
      <c r="U601" s="5056"/>
      <c r="V601" s="5056"/>
    </row>
    <row r="602" spans="1:22" ht="42" customHeight="1">
      <c r="A602" s="5028"/>
      <c r="B602" s="5068" t="s">
        <v>807</v>
      </c>
      <c r="C602" s="5069"/>
      <c r="D602" s="5070"/>
      <c r="E602" s="5071"/>
      <c r="F602" s="5065"/>
      <c r="G602" s="5072">
        <f>+G494+G419+G424+G499+G504+G429+G520+G434+G439+G444+G449+G454+G459+G515+G464+G509+G469+G474+G525+G479+G489+G484</f>
        <v>861342</v>
      </c>
      <c r="H602" s="5072">
        <f>+H494+H419+H424+H499+H504+H429+H520+H434+H439+H444+H449+H454+H459+H515+H464+H509+H469+H474+H525+H479+H489+H484</f>
        <v>11894478</v>
      </c>
      <c r="I602" s="5072">
        <f t="shared" ref="I602:M602" si="21">+I494+I419+I424+I499+I504+I429+I520+I434+I439+I444+I449+I454+I459+I515+I464+I509+I469+I474+I525+I479+I489+I484</f>
        <v>102751220</v>
      </c>
      <c r="J602" s="5072">
        <f t="shared" si="21"/>
        <v>105543573</v>
      </c>
      <c r="K602" s="5072">
        <f t="shared" si="21"/>
        <v>39950000</v>
      </c>
      <c r="L602" s="5072">
        <f t="shared" si="21"/>
        <v>0</v>
      </c>
      <c r="M602" s="5072">
        <f t="shared" si="21"/>
        <v>0</v>
      </c>
      <c r="N602" s="5065"/>
      <c r="O602" s="5065"/>
      <c r="P602" s="5065"/>
      <c r="Q602" s="5065"/>
      <c r="R602" s="5066"/>
      <c r="S602" s="5033"/>
      <c r="T602" s="5033"/>
      <c r="U602" s="5033"/>
      <c r="V602" s="5033"/>
    </row>
    <row r="603" spans="1:22" ht="51.75" customHeight="1">
      <c r="A603" s="5028"/>
      <c r="B603" s="5057" t="s">
        <v>819</v>
      </c>
      <c r="C603" s="5058"/>
      <c r="D603" s="5075"/>
      <c r="E603" s="5060"/>
      <c r="F603" s="5061"/>
      <c r="G603" s="5062">
        <v>203913603</v>
      </c>
      <c r="H603" s="5062">
        <v>307816951</v>
      </c>
      <c r="I603" s="5062">
        <v>221089318</v>
      </c>
      <c r="J603" s="5062">
        <v>226194225</v>
      </c>
      <c r="K603" s="5063">
        <v>64620719</v>
      </c>
      <c r="L603" s="5063">
        <f>L14</f>
        <v>200000</v>
      </c>
      <c r="M603" s="5074">
        <f>M14</f>
        <v>144500</v>
      </c>
      <c r="N603" s="5065"/>
      <c r="O603" s="5065"/>
      <c r="P603" s="5065"/>
      <c r="Q603" s="5065"/>
      <c r="R603" s="5066"/>
      <c r="S603" s="5033"/>
      <c r="T603" s="5033"/>
      <c r="U603" s="5033"/>
      <c r="V603" s="5033"/>
    </row>
    <row r="604" spans="1:22" ht="6" customHeight="1">
      <c r="A604" s="5028"/>
      <c r="B604" s="5029"/>
      <c r="C604" s="5030"/>
      <c r="D604" s="5031"/>
      <c r="E604" s="5032"/>
      <c r="F604" s="5033"/>
      <c r="G604" s="5033"/>
      <c r="H604" s="5033"/>
      <c r="I604" s="5033"/>
      <c r="J604" s="5033"/>
      <c r="K604" s="5033"/>
      <c r="L604" s="5033"/>
      <c r="M604" s="5033"/>
      <c r="N604" s="5033"/>
      <c r="O604" s="5033"/>
      <c r="P604" s="5033"/>
      <c r="Q604" s="5033"/>
      <c r="R604" s="4746"/>
      <c r="S604" s="5033"/>
      <c r="T604" s="5033"/>
      <c r="U604" s="5033"/>
      <c r="V604" s="5033"/>
    </row>
    <row r="605" spans="1:22" ht="63.75" customHeight="1">
      <c r="A605" s="5028"/>
      <c r="B605" s="5050" t="s">
        <v>808</v>
      </c>
      <c r="C605" s="5051"/>
      <c r="D605" s="5052"/>
      <c r="E605" s="5053"/>
      <c r="F605" s="5053"/>
      <c r="G605" s="5054">
        <f>G606+G607</f>
        <v>68829363</v>
      </c>
      <c r="H605" s="5081">
        <f>H606+H607</f>
        <v>96260341</v>
      </c>
      <c r="I605" s="5054">
        <f>I606+I607</f>
        <v>112847990</v>
      </c>
      <c r="J605" s="5054">
        <f>J606+J607</f>
        <v>74650798</v>
      </c>
      <c r="K605" s="5054">
        <f t="shared" ref="K605:M605" si="22">K606+K607</f>
        <v>32860036</v>
      </c>
      <c r="L605" s="5054">
        <f>L606+L607</f>
        <v>20192024</v>
      </c>
      <c r="M605" s="5054">
        <f t="shared" si="22"/>
        <v>5008216</v>
      </c>
      <c r="N605" s="5053"/>
      <c r="O605" s="5053"/>
      <c r="P605" s="5053"/>
      <c r="Q605" s="5053"/>
      <c r="R605" s="5055"/>
      <c r="S605" s="5056"/>
      <c r="T605" s="5056"/>
      <c r="U605" s="5056"/>
      <c r="V605" s="5056"/>
    </row>
    <row r="606" spans="1:22" ht="62.25" customHeight="1">
      <c r="A606" s="5028"/>
      <c r="B606" s="5082" t="s">
        <v>813</v>
      </c>
      <c r="C606" s="5069"/>
      <c r="D606" s="5070"/>
      <c r="E606" s="5071"/>
      <c r="F606" s="5065"/>
      <c r="G606" s="5072">
        <v>68004704</v>
      </c>
      <c r="H606" s="5062">
        <v>94851213</v>
      </c>
      <c r="I606" s="5062">
        <f>99540+30653279+76952793</f>
        <v>107705612</v>
      </c>
      <c r="J606" s="5062">
        <f>99540+16931029+52518144</f>
        <v>69548713</v>
      </c>
      <c r="K606" s="5063">
        <f>9323217+19113454</f>
        <v>28436671</v>
      </c>
      <c r="L606" s="5063">
        <f>5779514+11424000</f>
        <v>17203514</v>
      </c>
      <c r="M606" s="5074">
        <f>'Tabela nr 6'!I17-'Tabela nr 6'!I23-M607</f>
        <v>1958260</v>
      </c>
      <c r="N606" s="5065"/>
      <c r="O606" s="5065"/>
      <c r="P606" s="5065"/>
      <c r="Q606" s="5065"/>
      <c r="R606" s="5066"/>
      <c r="S606" s="5033"/>
      <c r="T606" s="5033"/>
      <c r="U606" s="5033"/>
      <c r="V606" s="5033"/>
    </row>
    <row r="607" spans="1:22" ht="57" customHeight="1">
      <c r="A607" s="5028"/>
      <c r="B607" s="5068" t="s">
        <v>674</v>
      </c>
      <c r="C607" s="5069"/>
      <c r="D607" s="5070"/>
      <c r="E607" s="5071"/>
      <c r="F607" s="5065"/>
      <c r="G607" s="5072">
        <f>+'Tab. 6E - Administracja'!F100</f>
        <v>824659</v>
      </c>
      <c r="H607" s="5062">
        <f>+'Tab. 6E - Administracja'!G100</f>
        <v>1409128</v>
      </c>
      <c r="I607" s="5062">
        <f>+'Tab. 6E - Administracja'!H100</f>
        <v>5142378</v>
      </c>
      <c r="J607" s="5062">
        <f>+'Tab. 6E - Administracja'!I100</f>
        <v>5102085</v>
      </c>
      <c r="K607" s="5062">
        <f>+'Tab. 6E - Administracja'!J100</f>
        <v>4423365</v>
      </c>
      <c r="L607" s="5063">
        <f>+'Tab. 6E - Administracja'!K100</f>
        <v>2988510</v>
      </c>
      <c r="M607" s="5074">
        <f>+'Tab. 6E - Administracja'!L100</f>
        <v>3049956</v>
      </c>
      <c r="N607" s="5065"/>
      <c r="O607" s="5065"/>
      <c r="P607" s="5065"/>
      <c r="Q607" s="5065"/>
      <c r="R607" s="5066"/>
      <c r="S607" s="5033"/>
      <c r="T607" s="5033"/>
      <c r="U607" s="5033"/>
      <c r="V607" s="5033"/>
    </row>
    <row r="608" spans="1:22" ht="5.25" customHeight="1">
      <c r="A608" s="5028"/>
      <c r="B608" s="5029"/>
      <c r="C608" s="5030"/>
      <c r="D608" s="5031"/>
      <c r="E608" s="5032"/>
      <c r="F608" s="5033"/>
      <c r="G608" s="5033"/>
      <c r="H608" s="5033"/>
      <c r="I608" s="5033"/>
      <c r="J608" s="5033"/>
      <c r="K608" s="5033"/>
      <c r="L608" s="5033"/>
      <c r="M608" s="5033"/>
      <c r="N608" s="5033"/>
      <c r="O608" s="5033"/>
      <c r="P608" s="5033"/>
      <c r="Q608" s="5033"/>
      <c r="R608" s="4746"/>
      <c r="S608" s="5033"/>
      <c r="T608" s="5033"/>
      <c r="U608" s="5033"/>
      <c r="V608" s="5033"/>
    </row>
    <row r="609" spans="1:22" ht="69.75" customHeight="1">
      <c r="A609" s="5028"/>
      <c r="B609" s="5050" t="s">
        <v>809</v>
      </c>
      <c r="C609" s="5051"/>
      <c r="D609" s="5052"/>
      <c r="E609" s="5053"/>
      <c r="F609" s="5053"/>
      <c r="G609" s="5054">
        <f>G610-G611</f>
        <v>68631646</v>
      </c>
      <c r="H609" s="5054">
        <f>H610-H611</f>
        <v>93774458</v>
      </c>
      <c r="I609" s="5054">
        <f>I610-I611</f>
        <v>81760690</v>
      </c>
      <c r="J609" s="5054">
        <f>J610-J611</f>
        <v>48325920</v>
      </c>
      <c r="K609" s="5054">
        <f t="shared" ref="K609:M609" si="23">K610-K611</f>
        <v>25810036</v>
      </c>
      <c r="L609" s="5054">
        <f t="shared" si="23"/>
        <v>20192024</v>
      </c>
      <c r="M609" s="5054">
        <f t="shared" si="23"/>
        <v>5008216</v>
      </c>
      <c r="N609" s="5053"/>
      <c r="O609" s="5053"/>
      <c r="P609" s="5053"/>
      <c r="Q609" s="5053"/>
      <c r="R609" s="5055"/>
      <c r="S609" s="5056"/>
      <c r="T609" s="5056"/>
      <c r="U609" s="5056"/>
      <c r="V609" s="5056"/>
    </row>
    <row r="610" spans="1:22" ht="20.25" customHeight="1">
      <c r="A610" s="5028"/>
      <c r="B610" s="5083" t="s">
        <v>337</v>
      </c>
      <c r="C610" s="5069"/>
      <c r="D610" s="5070"/>
      <c r="E610" s="5071"/>
      <c r="F610" s="5065"/>
      <c r="G610" s="5072">
        <f>G605</f>
        <v>68829363</v>
      </c>
      <c r="H610" s="5072">
        <f>H605</f>
        <v>96260341</v>
      </c>
      <c r="I610" s="5072">
        <f>I605</f>
        <v>112847990</v>
      </c>
      <c r="J610" s="5072">
        <f>J605</f>
        <v>74650798</v>
      </c>
      <c r="K610" s="5072">
        <f t="shared" ref="K610:M610" si="24">K605</f>
        <v>32860036</v>
      </c>
      <c r="L610" s="5073">
        <f t="shared" si="24"/>
        <v>20192024</v>
      </c>
      <c r="M610" s="5074">
        <f t="shared" si="24"/>
        <v>5008216</v>
      </c>
      <c r="N610" s="5065"/>
      <c r="O610" s="5065"/>
      <c r="P610" s="5065"/>
      <c r="Q610" s="5065"/>
      <c r="R610" s="5066"/>
      <c r="S610" s="5033"/>
      <c r="T610" s="5033"/>
      <c r="U610" s="5033"/>
      <c r="V610" s="5033"/>
    </row>
    <row r="611" spans="1:22" ht="27" customHeight="1">
      <c r="A611" s="5028"/>
      <c r="B611" s="5083" t="s">
        <v>810</v>
      </c>
      <c r="C611" s="5069"/>
      <c r="D611" s="5070"/>
      <c r="E611" s="5071"/>
      <c r="F611" s="5065"/>
      <c r="G611" s="5072">
        <f>+G493+G418+G423+G498+G503+G428+G519+G433+G438+G443+G448+G453+G458+G514+G463+G508+G468+G473+G524+G532+G537+G478+G483+G488+G547+G542+G552+G557+G562+G567</f>
        <v>197717</v>
      </c>
      <c r="H611" s="5072">
        <f>+H493+H418+H423+H498+H503+H428+H519+H433+H438+H443+H448+H453+H458+H514+H463+H508+H468+H473+H524+H532+H537+H478+H483+H488+H547+H542+H552+H557+H562+H567+H572</f>
        <v>2485883</v>
      </c>
      <c r="I611" s="5072">
        <f t="shared" ref="I611:L611" si="25">+I493+I418+I423+I498+I503+I428+I519+I433+I438+I443+I448+I453+I458+I514+I463+I508+I468+I473+I524+I532+I537+I478+I483+I488+I547+I542+I552+I557+I562+I567+I572</f>
        <v>31087300</v>
      </c>
      <c r="J611" s="5072">
        <f t="shared" si="25"/>
        <v>26324878</v>
      </c>
      <c r="K611" s="5072">
        <f t="shared" si="25"/>
        <v>7050000</v>
      </c>
      <c r="L611" s="5073">
        <f t="shared" si="25"/>
        <v>0</v>
      </c>
      <c r="M611" s="5074">
        <f>+M493+M418+M423+M498+M503+M428+M519+M433+M438+M443+M448+M453+M458+M514+M463+M508+M468+M473+M524+M532+M537+M478+M483+M488+M547+M542+M552+M557+M562+M567+M572</f>
        <v>0</v>
      </c>
      <c r="N611" s="5065"/>
      <c r="O611" s="5065"/>
      <c r="P611" s="5065"/>
      <c r="Q611" s="5065"/>
      <c r="R611" s="5066"/>
      <c r="S611" s="5033"/>
      <c r="T611" s="5033"/>
      <c r="U611" s="5033"/>
      <c r="V611" s="5033"/>
    </row>
    <row r="612" spans="1:22" ht="4.5" customHeight="1">
      <c r="A612" s="5028"/>
      <c r="B612" s="5029"/>
      <c r="C612" s="5030"/>
      <c r="D612" s="5031"/>
      <c r="E612" s="5032"/>
      <c r="F612" s="5033"/>
      <c r="G612" s="5033"/>
      <c r="H612" s="5033"/>
      <c r="I612" s="5033"/>
      <c r="J612" s="5033"/>
      <c r="K612" s="5033"/>
      <c r="L612" s="5033"/>
      <c r="M612" s="5033"/>
      <c r="N612" s="5033"/>
      <c r="O612" s="5033"/>
      <c r="P612" s="5033"/>
      <c r="Q612" s="5033"/>
      <c r="R612" s="4746"/>
      <c r="S612" s="5033"/>
      <c r="T612" s="5033"/>
      <c r="U612" s="5033"/>
      <c r="V612" s="5033"/>
    </row>
    <row r="613" spans="1:22" ht="51" customHeight="1">
      <c r="A613" s="5028"/>
      <c r="B613" s="5050" t="s">
        <v>675</v>
      </c>
      <c r="C613" s="5051"/>
      <c r="D613" s="5052"/>
      <c r="E613" s="5053"/>
      <c r="F613" s="5053"/>
      <c r="G613" s="5054">
        <f>G614-G615</f>
        <v>67576105</v>
      </c>
      <c r="H613" s="5054">
        <f>H614-H615</f>
        <v>92031705</v>
      </c>
      <c r="I613" s="5054">
        <f>I614-I615</f>
        <v>102338444</v>
      </c>
      <c r="J613" s="5054">
        <f>J614-J615</f>
        <v>74551258</v>
      </c>
      <c r="K613" s="5054">
        <f t="shared" ref="K613:M613" si="26">K614-K615</f>
        <v>32860036</v>
      </c>
      <c r="L613" s="5054">
        <f t="shared" si="26"/>
        <v>20192024</v>
      </c>
      <c r="M613" s="5054">
        <f t="shared" si="26"/>
        <v>5008216</v>
      </c>
      <c r="N613" s="5053"/>
      <c r="O613" s="5053"/>
      <c r="P613" s="5053"/>
      <c r="Q613" s="5053"/>
      <c r="R613" s="5055"/>
      <c r="S613" s="5056"/>
      <c r="T613" s="5056"/>
      <c r="U613" s="5056"/>
      <c r="V613" s="5056"/>
    </row>
    <row r="614" spans="1:22" ht="18" customHeight="1">
      <c r="A614" s="5028"/>
      <c r="B614" s="5083" t="s">
        <v>337</v>
      </c>
      <c r="C614" s="5069"/>
      <c r="D614" s="5070"/>
      <c r="E614" s="5071"/>
      <c r="F614" s="5065"/>
      <c r="G614" s="5072">
        <f>G605</f>
        <v>68829363</v>
      </c>
      <c r="H614" s="5072">
        <f>H605</f>
        <v>96260341</v>
      </c>
      <c r="I614" s="5072">
        <f>I605</f>
        <v>112847990</v>
      </c>
      <c r="J614" s="5072">
        <f>J605</f>
        <v>74650798</v>
      </c>
      <c r="K614" s="5072">
        <f t="shared" ref="K614:M614" si="27">K605</f>
        <v>32860036</v>
      </c>
      <c r="L614" s="5073">
        <f t="shared" si="27"/>
        <v>20192024</v>
      </c>
      <c r="M614" s="5074">
        <f t="shared" si="27"/>
        <v>5008216</v>
      </c>
      <c r="N614" s="5065"/>
      <c r="O614" s="5065"/>
      <c r="P614" s="5065"/>
      <c r="Q614" s="5065"/>
      <c r="R614" s="5066"/>
      <c r="S614" s="5033"/>
      <c r="T614" s="5033"/>
      <c r="U614" s="5033"/>
      <c r="V614" s="5033"/>
    </row>
    <row r="615" spans="1:22" ht="38.25" customHeight="1">
      <c r="A615" s="5028"/>
      <c r="B615" s="5084" t="s">
        <v>419</v>
      </c>
      <c r="C615" s="5069"/>
      <c r="D615" s="5070"/>
      <c r="E615" s="5071"/>
      <c r="F615" s="5065"/>
      <c r="G615" s="5072">
        <f>+G163+G401+G158</f>
        <v>1253258</v>
      </c>
      <c r="H615" s="5072">
        <f>+H163+H401+H158</f>
        <v>4228636</v>
      </c>
      <c r="I615" s="5072">
        <f t="shared" ref="I615:L615" si="28">+I163+I401+I158</f>
        <v>10509546</v>
      </c>
      <c r="J615" s="5072">
        <f t="shared" si="28"/>
        <v>99540</v>
      </c>
      <c r="K615" s="5072">
        <f t="shared" si="28"/>
        <v>0</v>
      </c>
      <c r="L615" s="5072">
        <f t="shared" si="28"/>
        <v>0</v>
      </c>
      <c r="M615" s="5074">
        <f>M185+M190+M401+M428</f>
        <v>0</v>
      </c>
      <c r="N615" s="5065"/>
      <c r="O615" s="5065"/>
      <c r="P615" s="5065"/>
      <c r="Q615" s="5065"/>
      <c r="R615" s="5066"/>
      <c r="S615" s="5033"/>
      <c r="T615" s="5033"/>
      <c r="U615" s="5033"/>
      <c r="V615" s="5033"/>
    </row>
    <row r="616" spans="1:22" ht="3" customHeight="1">
      <c r="A616" s="5028"/>
      <c r="B616" s="5029"/>
      <c r="C616" s="5030"/>
      <c r="D616" s="5031"/>
      <c r="E616" s="5032"/>
      <c r="F616" s="5033"/>
      <c r="G616" s="5033"/>
      <c r="H616" s="5033"/>
      <c r="I616" s="5033"/>
      <c r="J616" s="5033"/>
      <c r="K616" s="5033"/>
      <c r="L616" s="5033"/>
      <c r="M616" s="5033"/>
      <c r="N616" s="5033"/>
      <c r="O616" s="5033"/>
      <c r="P616" s="5033"/>
      <c r="Q616" s="5033"/>
      <c r="R616" s="4746"/>
      <c r="S616" s="5033"/>
      <c r="T616" s="5033"/>
      <c r="U616" s="5033"/>
      <c r="V616" s="5033"/>
    </row>
    <row r="617" spans="1:22" ht="39" customHeight="1">
      <c r="A617" s="5028"/>
      <c r="B617" s="5050" t="s">
        <v>630</v>
      </c>
      <c r="C617" s="5051"/>
      <c r="D617" s="5052"/>
      <c r="E617" s="5053"/>
      <c r="F617" s="5053"/>
      <c r="G617" s="5054">
        <f>G618-G619</f>
        <v>67426730</v>
      </c>
      <c r="H617" s="5054">
        <f>H618-H619</f>
        <v>89545822</v>
      </c>
      <c r="I617" s="5054">
        <f>I618-I619</f>
        <v>85123422</v>
      </c>
      <c r="J617" s="5054">
        <f>J618-J619</f>
        <v>53214954</v>
      </c>
      <c r="K617" s="5054">
        <f t="shared" ref="K617:L617" si="29">K618-K619</f>
        <v>25810036</v>
      </c>
      <c r="L617" s="5054">
        <f t="shared" si="29"/>
        <v>20192024</v>
      </c>
      <c r="M617" s="5054">
        <f>M618-M619</f>
        <v>5008216</v>
      </c>
      <c r="N617" s="5053"/>
      <c r="O617" s="5053"/>
      <c r="P617" s="5053"/>
      <c r="Q617" s="5053"/>
      <c r="R617" s="5055"/>
      <c r="S617" s="5056"/>
      <c r="T617" s="5056"/>
      <c r="U617" s="5056"/>
      <c r="V617" s="5056"/>
    </row>
    <row r="618" spans="1:22" ht="18.75" customHeight="1">
      <c r="A618" s="5028"/>
      <c r="B618" s="5083" t="s">
        <v>340</v>
      </c>
      <c r="C618" s="5069"/>
      <c r="D618" s="5070"/>
      <c r="E618" s="5071"/>
      <c r="F618" s="5065"/>
      <c r="G618" s="5072">
        <f>G613</f>
        <v>67576105</v>
      </c>
      <c r="H618" s="5072">
        <f>H613</f>
        <v>92031705</v>
      </c>
      <c r="I618" s="5072">
        <f>I613</f>
        <v>102338444</v>
      </c>
      <c r="J618" s="5072">
        <f>J613</f>
        <v>74551258</v>
      </c>
      <c r="K618" s="5072">
        <f t="shared" ref="K618:L618" si="30">K613</f>
        <v>32860036</v>
      </c>
      <c r="L618" s="5072">
        <f t="shared" si="30"/>
        <v>20192024</v>
      </c>
      <c r="M618" s="5074">
        <f>M613</f>
        <v>5008216</v>
      </c>
      <c r="N618" s="5065"/>
      <c r="O618" s="5065"/>
      <c r="P618" s="5065"/>
      <c r="Q618" s="5065"/>
      <c r="R618" s="5066"/>
      <c r="S618" s="5033"/>
      <c r="T618" s="5033"/>
      <c r="U618" s="5033"/>
      <c r="V618" s="5033"/>
    </row>
    <row r="619" spans="1:22" ht="29.25" customHeight="1">
      <c r="A619" s="5028"/>
      <c r="B619" s="5083" t="s">
        <v>631</v>
      </c>
      <c r="C619" s="5069"/>
      <c r="D619" s="5070"/>
      <c r="E619" s="5071"/>
      <c r="F619" s="5065"/>
      <c r="G619" s="5072">
        <f>+G493+G418+G423+G498+G519+G433+G438+G443+G448+G463+G508+G468+G473+G514+G524+G503+G478+G532+G537+G483+G488+G547+G542+G552+G557+G562+G567</f>
        <v>149375</v>
      </c>
      <c r="H619" s="5072">
        <f>+H493+H418+H423+H498+H519+H433+H438+H443+H448+H463+H508+H468+H473+H514+H524+H503+H478+H532+H537+H483+H488+H547+H542+H552+H557+H562+H567</f>
        <v>2485883</v>
      </c>
      <c r="I619" s="5072">
        <f t="shared" ref="I619:J619" si="31">+I493+I418+I423+I498+I519+I433+I438+I443+I448+I463+I508+I468+I473+I514+I524+I503+I478+I532+I537+I483+I488+I547+I542+I552+I557+I562+I567</f>
        <v>17215022</v>
      </c>
      <c r="J619" s="5072">
        <f t="shared" si="31"/>
        <v>21336304</v>
      </c>
      <c r="K619" s="5072">
        <f>+K493+K418+K423+K498+K519+K433+K438+K443+K448+K463+K508+K468+K473+K514+K524+K503+K478+K532+K537+K483+K488+K547+K542+K552+K557+K562+K567</f>
        <v>7050000</v>
      </c>
      <c r="L619" s="5072">
        <f>+L493+L418+L423+L498+L519+L433+L438+L443+L448+L463+L508+L468+L473+L514+L524+L503+L478+L532+L537+L483+L488+L547+L542+L552+L557+L562+L567</f>
        <v>0</v>
      </c>
      <c r="M619" s="5074">
        <f>+M493+M418+M423+M498+M519+M433+M438+M443+M448+M453+M458+M463+M508+M468+M473+M514+M524+M503+M478+M532+M537+M483+M488+M547+M542+M552+M557+M562+M567+M572</f>
        <v>0</v>
      </c>
      <c r="N619" s="5065"/>
      <c r="O619" s="5065"/>
      <c r="P619" s="5065"/>
      <c r="Q619" s="5065"/>
      <c r="R619" s="5066"/>
      <c r="S619" s="5033"/>
      <c r="T619" s="5033"/>
      <c r="U619" s="5033"/>
      <c r="V619" s="5033"/>
    </row>
    <row r="620" spans="1:22" ht="39.75" customHeight="1">
      <c r="A620" s="5028"/>
      <c r="B620" s="5085" t="s">
        <v>820</v>
      </c>
      <c r="C620" s="5086"/>
      <c r="D620" s="5087"/>
      <c r="E620" s="5088"/>
      <c r="F620" s="5088"/>
      <c r="G620" s="5089"/>
      <c r="H620" s="5089">
        <v>482945069</v>
      </c>
      <c r="I620" s="5089">
        <v>446683282</v>
      </c>
      <c r="J620" s="5089">
        <v>411116219</v>
      </c>
      <c r="K620" s="5089">
        <v>194961977</v>
      </c>
      <c r="L620" s="5089">
        <v>126901028</v>
      </c>
      <c r="M620" s="5089">
        <v>120112300</v>
      </c>
      <c r="N620" s="5090"/>
      <c r="O620" s="5090"/>
      <c r="P620" s="5090"/>
      <c r="Q620" s="5090"/>
      <c r="R620" s="5091"/>
      <c r="S620" s="5091"/>
      <c r="T620" s="5091"/>
      <c r="U620" s="5091"/>
      <c r="V620" s="5091"/>
    </row>
    <row r="621" spans="1:22" ht="55.5" customHeight="1">
      <c r="A621" s="5028"/>
      <c r="B621" s="5092" t="s">
        <v>811</v>
      </c>
      <c r="C621" s="5093"/>
      <c r="D621" s="5094"/>
      <c r="E621" s="5095"/>
      <c r="F621" s="5095"/>
      <c r="G621" s="5096"/>
      <c r="H621" s="5089">
        <v>29095981</v>
      </c>
      <c r="I621" s="5097">
        <v>84248743</v>
      </c>
      <c r="J621" s="5097">
        <v>43747316</v>
      </c>
      <c r="K621" s="5097">
        <v>30727970</v>
      </c>
      <c r="L621" s="5097">
        <v>10843995</v>
      </c>
      <c r="M621" s="5097">
        <v>11115095</v>
      </c>
      <c r="N621" s="5098"/>
      <c r="O621" s="5098"/>
      <c r="P621" s="5098"/>
      <c r="Q621" s="5098"/>
      <c r="R621" s="5098"/>
      <c r="S621" s="5098"/>
      <c r="T621" s="5098"/>
      <c r="U621" s="5098"/>
      <c r="V621" s="5098"/>
    </row>
    <row r="622" spans="1:22" ht="70.5" customHeight="1">
      <c r="A622" s="5028"/>
      <c r="B622" s="5050" t="s">
        <v>661</v>
      </c>
      <c r="C622" s="5051"/>
      <c r="D622" s="5052"/>
      <c r="E622" s="5053"/>
      <c r="F622" s="5053"/>
      <c r="G622" s="5054">
        <f>G624-G623</f>
        <v>0</v>
      </c>
      <c r="H622" s="5054">
        <f>H624-H623</f>
        <v>211899741</v>
      </c>
      <c r="I622" s="5054">
        <f t="shared" ref="I622:K622" si="32">I624-I623</f>
        <v>175561382</v>
      </c>
      <c r="J622" s="5054">
        <f t="shared" si="32"/>
        <v>140808554</v>
      </c>
      <c r="K622" s="5054">
        <f t="shared" si="32"/>
        <v>61409373</v>
      </c>
      <c r="L622" s="5054">
        <f>'Tabela nr 6'!H14+'Tabela nr 6'!H50</f>
        <v>1672245</v>
      </c>
      <c r="M622" s="5054">
        <f>'Tabela nr 6'!I14+'Tabela nr 6'!I50</f>
        <v>144500</v>
      </c>
      <c r="N622" s="5053"/>
      <c r="O622" s="5053"/>
      <c r="P622" s="5053"/>
      <c r="Q622" s="5053"/>
      <c r="R622" s="5055"/>
      <c r="S622" s="5056"/>
      <c r="T622" s="5056"/>
      <c r="U622" s="5056"/>
      <c r="V622" s="5056"/>
    </row>
    <row r="623" spans="1:22" ht="69" customHeight="1">
      <c r="A623" s="5028"/>
      <c r="B623" s="5050" t="s">
        <v>634</v>
      </c>
      <c r="C623" s="5051"/>
      <c r="D623" s="5052"/>
      <c r="E623" s="5053"/>
      <c r="F623" s="5053"/>
      <c r="G623" s="5054">
        <f>G627+G626+G630</f>
        <v>0</v>
      </c>
      <c r="H623" s="5054">
        <f>H627+H626+H630</f>
        <v>210298110</v>
      </c>
      <c r="I623" s="5054">
        <f t="shared" ref="I623" si="33">I627+I626+I630</f>
        <v>159724041</v>
      </c>
      <c r="J623" s="5054">
        <f>J627+J626+J630</f>
        <v>174934328</v>
      </c>
      <c r="K623" s="5054">
        <f>K627+K626+K630</f>
        <v>58586760</v>
      </c>
      <c r="L623" s="5054">
        <f>L627+L626+L630</f>
        <v>2797679</v>
      </c>
      <c r="M623" s="5054">
        <f>M620-M622-M621</f>
        <v>108852705</v>
      </c>
      <c r="N623" s="5099"/>
      <c r="O623" s="5099"/>
      <c r="P623" s="5099"/>
      <c r="Q623" s="5099"/>
      <c r="R623" s="5099"/>
      <c r="S623" s="5099"/>
      <c r="T623" s="5099"/>
      <c r="U623" s="5099"/>
      <c r="V623" s="5100"/>
    </row>
    <row r="624" spans="1:22" s="4708" customFormat="1" ht="27" customHeight="1">
      <c r="A624" s="4828"/>
      <c r="B624" s="5101" t="s">
        <v>645</v>
      </c>
      <c r="C624" s="5102"/>
      <c r="D624" s="5103"/>
      <c r="E624" s="5104"/>
      <c r="F624" s="5104"/>
      <c r="G624" s="5105">
        <f>G625+G626</f>
        <v>0</v>
      </c>
      <c r="H624" s="5105">
        <f>H625+H626</f>
        <v>422197851</v>
      </c>
      <c r="I624" s="5105">
        <f t="shared" ref="I624:L624" si="34">I625+I626</f>
        <v>335285423</v>
      </c>
      <c r="J624" s="5105">
        <f t="shared" si="34"/>
        <v>315742882</v>
      </c>
      <c r="K624" s="5105">
        <f t="shared" si="34"/>
        <v>119996133</v>
      </c>
      <c r="L624" s="5105">
        <f t="shared" si="34"/>
        <v>36147679</v>
      </c>
      <c r="M624" s="5079"/>
      <c r="N624" s="5079"/>
      <c r="O624" s="5079"/>
      <c r="P624" s="5079"/>
      <c r="Q624" s="5079"/>
      <c r="R624" s="5106"/>
      <c r="S624" s="5107"/>
      <c r="T624" s="5107"/>
      <c r="U624" s="5107"/>
      <c r="V624" s="5107"/>
    </row>
    <row r="625" spans="1:22" ht="19.5" customHeight="1">
      <c r="A625" s="5028"/>
      <c r="B625" s="5108" t="s">
        <v>812</v>
      </c>
      <c r="C625" s="5109">
        <v>605</v>
      </c>
      <c r="D625" s="5110"/>
      <c r="E625" s="5111"/>
      <c r="F625" s="5111"/>
      <c r="G625" s="5112"/>
      <c r="H625" s="5113">
        <v>234040109</v>
      </c>
      <c r="I625" s="5113">
        <v>331484296</v>
      </c>
      <c r="J625" s="5113">
        <v>295953528</v>
      </c>
      <c r="K625" s="5113">
        <v>117508454</v>
      </c>
      <c r="L625" s="5113">
        <v>33660000</v>
      </c>
      <c r="M625" s="5065"/>
      <c r="N625" s="5065"/>
      <c r="O625" s="5065"/>
      <c r="P625" s="5065"/>
      <c r="Q625" s="5065"/>
      <c r="R625" s="5066"/>
      <c r="S625" s="5033"/>
      <c r="T625" s="5033"/>
      <c r="U625" s="5033"/>
      <c r="V625" s="5033"/>
    </row>
    <row r="626" spans="1:22" ht="48" customHeight="1">
      <c r="A626" s="5028"/>
      <c r="B626" s="5114" t="s">
        <v>676</v>
      </c>
      <c r="C626" s="5109">
        <v>606</v>
      </c>
      <c r="D626" s="5110"/>
      <c r="E626" s="5111"/>
      <c r="F626" s="5111"/>
      <c r="G626" s="5112"/>
      <c r="H626" s="5113">
        <v>188157742</v>
      </c>
      <c r="I626" s="5113">
        <v>3801127</v>
      </c>
      <c r="J626" s="5113">
        <v>19789354</v>
      </c>
      <c r="K626" s="5113">
        <v>2487679</v>
      </c>
      <c r="L626" s="5113">
        <v>2487679</v>
      </c>
      <c r="M626" s="5065"/>
      <c r="N626" s="5065"/>
      <c r="O626" s="5065"/>
      <c r="P626" s="5065"/>
      <c r="Q626" s="5065"/>
      <c r="R626" s="5066"/>
      <c r="S626" s="5033"/>
      <c r="T626" s="5033"/>
      <c r="U626" s="5033"/>
      <c r="V626" s="5033"/>
    </row>
    <row r="627" spans="1:22" ht="41.25" customHeight="1">
      <c r="A627" s="5028"/>
      <c r="B627" s="5114" t="s">
        <v>677</v>
      </c>
      <c r="C627" s="5109">
        <v>605</v>
      </c>
      <c r="D627" s="5110"/>
      <c r="E627" s="5111"/>
      <c r="F627" s="5111"/>
      <c r="G627" s="5112"/>
      <c r="H627" s="5113">
        <f>292572+31500+41445+212</f>
        <v>365729</v>
      </c>
      <c r="I627" s="5113">
        <f>306617</f>
        <v>306617</v>
      </c>
      <c r="J627" s="5113">
        <v>310000</v>
      </c>
      <c r="K627" s="5113">
        <v>310000</v>
      </c>
      <c r="L627" s="5113">
        <v>310000</v>
      </c>
      <c r="M627" s="5115"/>
      <c r="N627" s="5079"/>
      <c r="O627" s="5079"/>
      <c r="P627" s="5079"/>
      <c r="Q627" s="5079"/>
      <c r="R627" s="5106"/>
      <c r="S627" s="5107"/>
      <c r="T627" s="5107"/>
      <c r="U627" s="5107"/>
      <c r="V627" s="5107"/>
    </row>
    <row r="628" spans="1:22" ht="198.75" customHeight="1">
      <c r="A628" s="5028"/>
      <c r="B628" s="5116" t="s">
        <v>478</v>
      </c>
      <c r="C628" s="5117"/>
      <c r="D628" s="5118"/>
      <c r="E628" s="5119"/>
      <c r="F628" s="5119"/>
      <c r="G628" s="5120">
        <f t="shared" ref="G628" si="35">SUM(G632:G644)</f>
        <v>0</v>
      </c>
      <c r="H628" s="5120">
        <f>SUM(H632:H647)</f>
        <v>21808639</v>
      </c>
      <c r="I628" s="5120">
        <f t="shared" ref="I628:M628" si="36">SUM(I632:I647)</f>
        <v>155616297</v>
      </c>
      <c r="J628" s="5120">
        <f t="shared" si="36"/>
        <v>154834974</v>
      </c>
      <c r="K628" s="5120">
        <f t="shared" si="36"/>
        <v>55789081</v>
      </c>
      <c r="L628" s="5120">
        <f t="shared" si="36"/>
        <v>0</v>
      </c>
      <c r="M628" s="5120">
        <f t="shared" si="36"/>
        <v>0</v>
      </c>
      <c r="N628" s="5119"/>
      <c r="O628" s="5119"/>
      <c r="P628" s="5119"/>
      <c r="Q628" s="5119"/>
      <c r="R628" s="5121"/>
      <c r="S628" s="5122"/>
      <c r="T628" s="5122"/>
      <c r="U628" s="5122"/>
      <c r="V628" s="5122"/>
    </row>
    <row r="629" spans="1:22" s="4708" customFormat="1" ht="16.5" customHeight="1">
      <c r="A629" s="4828"/>
      <c r="B629" s="5123" t="s">
        <v>141</v>
      </c>
      <c r="C629" s="5124"/>
      <c r="D629" s="5078"/>
      <c r="E629" s="5079"/>
      <c r="F629" s="5079"/>
      <c r="G629" s="5079">
        <f>G628-G630-G631</f>
        <v>0</v>
      </c>
      <c r="H629" s="5079">
        <f>H628-H630-H631</f>
        <v>0</v>
      </c>
      <c r="I629" s="5079">
        <f>I628-I630-I631</f>
        <v>0</v>
      </c>
      <c r="J629" s="5079">
        <f t="shared" ref="J629:K629" si="37">J628-J630-J631</f>
        <v>0</v>
      </c>
      <c r="K629" s="5079">
        <f t="shared" si="37"/>
        <v>0</v>
      </c>
      <c r="L629" s="5115"/>
      <c r="M629" s="5115"/>
      <c r="N629" s="5079"/>
      <c r="O629" s="5079"/>
      <c r="P629" s="5079"/>
      <c r="Q629" s="5079"/>
      <c r="R629" s="5106"/>
      <c r="S629" s="5107"/>
      <c r="T629" s="5107"/>
      <c r="U629" s="5107"/>
      <c r="V629" s="5107"/>
    </row>
    <row r="630" spans="1:22" ht="19.5" customHeight="1">
      <c r="A630" s="5125"/>
      <c r="B630" s="5126" t="s">
        <v>644</v>
      </c>
      <c r="C630" s="5127">
        <v>605</v>
      </c>
      <c r="D630" s="5128"/>
      <c r="E630" s="5129"/>
      <c r="F630" s="5129"/>
      <c r="G630" s="5130">
        <f>+G633+G634+G635+G636+G637+G638</f>
        <v>0</v>
      </c>
      <c r="H630" s="5131">
        <f>+H633+H634+H635+H636+H637+H638+H640+H641+H642+H643+H644+H645+H646+H647</f>
        <v>21774639</v>
      </c>
      <c r="I630" s="5130">
        <f t="shared" ref="I630:M630" si="38">+I633+I634+I635+I636+I637+I638+I640+I641+I642+I643+I644+I645+I646+I647</f>
        <v>155616297</v>
      </c>
      <c r="J630" s="5130">
        <f t="shared" si="38"/>
        <v>154834974</v>
      </c>
      <c r="K630" s="5130">
        <f t="shared" si="38"/>
        <v>55789081</v>
      </c>
      <c r="L630" s="5130">
        <f t="shared" si="38"/>
        <v>0</v>
      </c>
      <c r="M630" s="5130">
        <f t="shared" si="38"/>
        <v>0</v>
      </c>
      <c r="N630" s="5129"/>
      <c r="O630" s="5129"/>
      <c r="P630" s="5129"/>
      <c r="Q630" s="5129"/>
      <c r="R630" s="5132"/>
      <c r="S630" s="5133"/>
      <c r="T630" s="5133"/>
      <c r="U630" s="5133"/>
      <c r="V630" s="5133"/>
    </row>
    <row r="631" spans="1:22" ht="19.5" customHeight="1" thickBot="1">
      <c r="A631" s="5134"/>
      <c r="B631" s="5126" t="s">
        <v>643</v>
      </c>
      <c r="C631" s="5127">
        <v>606</v>
      </c>
      <c r="D631" s="5128"/>
      <c r="E631" s="5129"/>
      <c r="F631" s="5129"/>
      <c r="G631" s="5135">
        <f t="shared" ref="G631:M631" si="39">G632+G639</f>
        <v>0</v>
      </c>
      <c r="H631" s="5131">
        <f>H632+H639</f>
        <v>34000</v>
      </c>
      <c r="I631" s="5130">
        <f t="shared" si="39"/>
        <v>0</v>
      </c>
      <c r="J631" s="5130">
        <f t="shared" si="39"/>
        <v>0</v>
      </c>
      <c r="K631" s="5130">
        <f t="shared" si="39"/>
        <v>0</v>
      </c>
      <c r="L631" s="5130">
        <f t="shared" si="39"/>
        <v>0</v>
      </c>
      <c r="M631" s="5130">
        <f t="shared" si="39"/>
        <v>0</v>
      </c>
      <c r="N631" s="5130"/>
      <c r="O631" s="5129"/>
      <c r="P631" s="5129"/>
      <c r="Q631" s="5129"/>
      <c r="R631" s="5132"/>
      <c r="S631" s="5133"/>
      <c r="T631" s="5133"/>
      <c r="U631" s="5133"/>
      <c r="V631" s="5133"/>
    </row>
    <row r="632" spans="1:22" ht="25.5" customHeight="1" thickBot="1">
      <c r="A632" s="5136" t="s">
        <v>55</v>
      </c>
      <c r="B632" s="5137" t="s">
        <v>553</v>
      </c>
      <c r="C632" s="5138">
        <v>606</v>
      </c>
      <c r="D632" s="5139"/>
      <c r="E632" s="5139"/>
      <c r="F632" s="5140"/>
      <c r="G632" s="5140"/>
      <c r="H632" s="5141">
        <f>'Tab. 6B Polit społ i rozwój prz'!G176</f>
        <v>34000</v>
      </c>
      <c r="I632" s="5142">
        <f>'Tab. 6B Polit społ i rozwój prz'!H176</f>
        <v>0</v>
      </c>
      <c r="J632" s="5142">
        <f>'Tab. 6B Polit społ i rozwój prz'!I176</f>
        <v>0</v>
      </c>
      <c r="K632" s="5143">
        <f>'Tab. 6B Polit społ i rozwój prz'!J176</f>
        <v>0</v>
      </c>
      <c r="L632" s="5144"/>
      <c r="M632" s="5145"/>
      <c r="N632" s="5146"/>
      <c r="O632" s="5146"/>
      <c r="P632" s="5146"/>
      <c r="Q632" s="5146"/>
      <c r="R632" s="5147"/>
    </row>
    <row r="633" spans="1:22" ht="27.75" customHeight="1">
      <c r="A633" s="5148" t="s">
        <v>56</v>
      </c>
      <c r="B633" s="5149" t="s">
        <v>294</v>
      </c>
      <c r="C633" s="5150">
        <v>605</v>
      </c>
      <c r="D633" s="5145"/>
      <c r="E633" s="5145"/>
      <c r="F633" s="5145"/>
      <c r="G633" s="5151">
        <f>'Tab. 6A -Drogi'!F417</f>
        <v>0</v>
      </c>
      <c r="H633" s="5151">
        <f>'Tab. 6A -Drogi'!G417</f>
        <v>0</v>
      </c>
      <c r="I633" s="5151">
        <f>'Tab. 6A -Drogi'!H417</f>
        <v>6622789</v>
      </c>
      <c r="J633" s="5151">
        <f>'Tab. 6A -Drogi'!I417</f>
        <v>4415192</v>
      </c>
      <c r="K633" s="5151">
        <f>'Tab. 6A -Drogi'!J417</f>
        <v>0</v>
      </c>
      <c r="L633" s="5145"/>
      <c r="M633" s="5145"/>
      <c r="N633" s="5146"/>
      <c r="O633" s="5146"/>
      <c r="P633" s="5146"/>
      <c r="Q633" s="5146"/>
      <c r="R633" s="5147"/>
    </row>
    <row r="634" spans="1:22" ht="25.5" customHeight="1">
      <c r="A634" s="5148" t="s">
        <v>57</v>
      </c>
      <c r="B634" s="5149" t="s">
        <v>295</v>
      </c>
      <c r="C634" s="5150">
        <v>605</v>
      </c>
      <c r="D634" s="5145"/>
      <c r="E634" s="5145"/>
      <c r="F634" s="5145"/>
      <c r="G634" s="5145">
        <f>'Tab. 6A -Drogi'!F426</f>
        <v>0</v>
      </c>
      <c r="H634" s="5145">
        <f>'Tab. 6A -Drogi'!G426</f>
        <v>0</v>
      </c>
      <c r="I634" s="5145">
        <f>'Tab. 6A -Drogi'!H426</f>
        <v>5488789</v>
      </c>
      <c r="J634" s="5145">
        <f>'Tab. 6A -Drogi'!I426</f>
        <v>3659192</v>
      </c>
      <c r="K634" s="5145">
        <f>'Tab. 6A -Drogi'!J426</f>
        <v>0</v>
      </c>
      <c r="L634" s="5145"/>
      <c r="M634" s="5145"/>
      <c r="N634" s="5146"/>
      <c r="O634" s="5146"/>
      <c r="P634" s="5146"/>
      <c r="Q634" s="5146"/>
      <c r="R634" s="5147"/>
    </row>
    <row r="635" spans="1:22" ht="24" customHeight="1">
      <c r="A635" s="5148" t="s">
        <v>58</v>
      </c>
      <c r="B635" s="5152" t="s">
        <v>400</v>
      </c>
      <c r="C635" s="5153">
        <v>605</v>
      </c>
      <c r="D635" s="5154"/>
      <c r="E635" s="5154"/>
      <c r="F635" s="5154"/>
      <c r="G635" s="5154">
        <f>'Tab. 6H - Kultura fiz. i turyst'!F74</f>
        <v>0</v>
      </c>
      <c r="H635" s="5154">
        <f>'Tab. 6H - Kultura fiz. i turyst'!G74</f>
        <v>2100000</v>
      </c>
      <c r="I635" s="5154">
        <f>'Tab. 6H - Kultura fiz. i turyst'!H74</f>
        <v>5050000</v>
      </c>
      <c r="J635" s="5154">
        <f>'Tab. 6H - Kultura fiz. i turyst'!I74</f>
        <v>350000</v>
      </c>
      <c r="K635" s="5154">
        <f>'Tab. 6H - Kultura fiz. i turyst'!J74</f>
        <v>0</v>
      </c>
      <c r="L635" s="5154">
        <f>'Tab. 6H - Kultura fiz. i turyst'!K74</f>
        <v>0</v>
      </c>
      <c r="M635" s="5145"/>
      <c r="N635" s="5146"/>
      <c r="O635" s="5146"/>
      <c r="P635" s="5146"/>
      <c r="Q635" s="5146"/>
      <c r="R635" s="5147"/>
    </row>
    <row r="636" spans="1:22" ht="27.75" customHeight="1">
      <c r="A636" s="5148" t="s">
        <v>59</v>
      </c>
      <c r="B636" s="5149" t="s">
        <v>717</v>
      </c>
      <c r="C636" s="5150">
        <v>605</v>
      </c>
      <c r="D636" s="5145"/>
      <c r="E636" s="5145"/>
      <c r="F636" s="5145"/>
      <c r="G636" s="5145">
        <f>'Tab. 6H - Kultura fiz. i turyst'!F83</f>
        <v>0</v>
      </c>
      <c r="H636" s="5145">
        <f>'Tab. 6H - Kultura fiz. i turyst'!G83+'Tab. 6H - Kultura fiz. i turyst'!G96</f>
        <v>4249359</v>
      </c>
      <c r="I636" s="5145">
        <f>'Tab. 6H - Kultura fiz. i turyst'!H83+'Tab. 6H - Kultura fiz. i turyst'!H96</f>
        <v>6460365</v>
      </c>
      <c r="J636" s="5145">
        <f>'Tab. 6H - Kultura fiz. i turyst'!I83+'Tab. 6H - Kultura fiz. i turyst'!I96</f>
        <v>0</v>
      </c>
      <c r="K636" s="5145">
        <f>'Tab. 6H - Kultura fiz. i turyst'!J83+'Tab. 6H - Kultura fiz. i turyst'!J96</f>
        <v>0</v>
      </c>
      <c r="L636" s="5145">
        <f>'Tab. 6H - Kultura fiz. i turyst'!K83+'Tab. 6H - Kultura fiz. i turyst'!K96</f>
        <v>0</v>
      </c>
      <c r="M636" s="5145"/>
      <c r="N636" s="5146"/>
      <c r="O636" s="5146"/>
      <c r="P636" s="5146"/>
      <c r="Q636" s="5146"/>
      <c r="R636" s="5147"/>
    </row>
    <row r="637" spans="1:22" ht="51" customHeight="1">
      <c r="A637" s="5148" t="s">
        <v>107</v>
      </c>
      <c r="B637" s="5149" t="s">
        <v>535</v>
      </c>
      <c r="C637" s="5150">
        <v>605</v>
      </c>
      <c r="D637" s="5145"/>
      <c r="E637" s="5145"/>
      <c r="F637" s="5145"/>
      <c r="G637" s="5145">
        <f>'Tab. 6G - Roln i ochrona środ.'!F69</f>
        <v>0</v>
      </c>
      <c r="H637" s="5145">
        <f>'Tab. 6G - Roln i ochrona środ.'!G69</f>
        <v>223530</v>
      </c>
      <c r="I637" s="5145">
        <f>'Tab. 6G - Roln i ochrona środ.'!H69</f>
        <v>564990</v>
      </c>
      <c r="J637" s="5145">
        <f>'Tab. 6G - Roln i ochrona środ.'!I69</f>
        <v>178400</v>
      </c>
      <c r="K637" s="5145">
        <f>'Tab. 6G - Roln i ochrona środ.'!J69</f>
        <v>0</v>
      </c>
      <c r="L637" s="5145">
        <f>'Tab. 6G - Roln i ochrona środ.'!K69</f>
        <v>0</v>
      </c>
      <c r="M637" s="5145"/>
      <c r="N637" s="5146"/>
      <c r="O637" s="5146"/>
      <c r="P637" s="5146"/>
      <c r="Q637" s="5146"/>
      <c r="R637" s="5147"/>
    </row>
    <row r="638" spans="1:22" ht="15.75" customHeight="1" thickBot="1">
      <c r="A638" s="5148" t="s">
        <v>80</v>
      </c>
      <c r="B638" s="5149" t="s">
        <v>433</v>
      </c>
      <c r="C638" s="5150">
        <v>605</v>
      </c>
      <c r="D638" s="5145"/>
      <c r="E638" s="5145"/>
      <c r="F638" s="5145"/>
      <c r="G638" s="5154">
        <f>'Tab. 6A -Drogi'!F666</f>
        <v>0</v>
      </c>
      <c r="H638" s="5154">
        <f>'Tab. 6A -Drogi'!G666</f>
        <v>3000000</v>
      </c>
      <c r="I638" s="5154">
        <f>'Tab. 6A -Drogi'!H666</f>
        <v>0</v>
      </c>
      <c r="J638" s="5154">
        <f>'Tab. 6A -Drogi'!I666</f>
        <v>0</v>
      </c>
      <c r="K638" s="5154">
        <f>'Tab. 6A -Drogi'!J666</f>
        <v>0</v>
      </c>
      <c r="L638" s="5145"/>
      <c r="M638" s="5145"/>
      <c r="N638" s="5146"/>
      <c r="O638" s="5146"/>
      <c r="P638" s="5146"/>
      <c r="Q638" s="5146"/>
      <c r="R638" s="5147"/>
    </row>
    <row r="639" spans="1:22" ht="13.5" thickBot="1">
      <c r="A639" s="5136" t="s">
        <v>81</v>
      </c>
      <c r="B639" s="5137"/>
      <c r="C639" s="5138"/>
      <c r="D639" s="5139"/>
      <c r="E639" s="5139"/>
      <c r="F639" s="5139"/>
      <c r="G639" s="5140"/>
      <c r="H639" s="5141"/>
      <c r="I639" s="5155"/>
      <c r="J639" s="5156"/>
      <c r="K639" s="5157"/>
      <c r="L639" s="5144"/>
      <c r="M639" s="5145"/>
      <c r="N639" s="5146"/>
      <c r="O639" s="5146"/>
      <c r="P639" s="5146"/>
      <c r="Q639" s="5146"/>
      <c r="R639" s="5147"/>
    </row>
    <row r="640" spans="1:22" ht="42" customHeight="1">
      <c r="A640" s="5148" t="s">
        <v>82</v>
      </c>
      <c r="B640" s="5149" t="s">
        <v>580</v>
      </c>
      <c r="C640" s="5150">
        <v>605</v>
      </c>
      <c r="D640" s="5145"/>
      <c r="E640" s="5145"/>
      <c r="F640" s="5145"/>
      <c r="G640" s="5154"/>
      <c r="H640" s="5151">
        <f>'Tab. 6A -Drogi'!G265</f>
        <v>4280014</v>
      </c>
      <c r="I640" s="5151">
        <f>'Tab. 6A -Drogi'!H265</f>
        <v>24500000</v>
      </c>
      <c r="J640" s="5151">
        <f>'Tab. 6A -Drogi'!I265</f>
        <v>10556594</v>
      </c>
      <c r="K640" s="5151">
        <f>'Tab. 6A -Drogi'!J265</f>
        <v>0</v>
      </c>
      <c r="L640" s="5151">
        <f>'Tab. 6A -Drogi'!K265</f>
        <v>0</v>
      </c>
      <c r="M640" s="5151">
        <f>'Tab. 6A -Drogi'!L265</f>
        <v>0</v>
      </c>
      <c r="N640" s="5146"/>
      <c r="O640" s="5146"/>
      <c r="P640" s="5146"/>
      <c r="Q640" s="5146"/>
      <c r="R640" s="5147"/>
    </row>
    <row r="641" spans="1:18" ht="31.5" customHeight="1">
      <c r="A641" s="5148">
        <v>10</v>
      </c>
      <c r="B641" s="5149" t="str">
        <f>'Tab. 6A -Drogi'!B276</f>
        <v>Rozbudowa drogi wojewódzkiej nr 151 na odcinku Płotno-Pełczyce w ramach Osi V RPO WZ (2018-2019)</v>
      </c>
      <c r="C641" s="5150">
        <v>605</v>
      </c>
      <c r="D641" s="5145"/>
      <c r="E641" s="5145"/>
      <c r="F641" s="5145"/>
      <c r="G641" s="5154"/>
      <c r="H641" s="5145">
        <f>'Tab. 6A -Drogi'!G277</f>
        <v>2290650</v>
      </c>
      <c r="I641" s="5145">
        <f>'Tab. 6A -Drogi'!H277</f>
        <v>15509350</v>
      </c>
      <c r="J641" s="5145">
        <f>'Tab. 6A -Drogi'!I277</f>
        <v>0</v>
      </c>
      <c r="K641" s="5145">
        <f>'Tab. 6A -Drogi'!J277</f>
        <v>0</v>
      </c>
      <c r="L641" s="5145">
        <f>'Tab. 6A -Drogi'!K277</f>
        <v>0</v>
      </c>
      <c r="M641" s="5145">
        <f>'Tab. 6A -Drogi'!L277</f>
        <v>0</v>
      </c>
      <c r="N641" s="5146"/>
      <c r="O641" s="5146"/>
      <c r="P641" s="5146"/>
      <c r="Q641" s="5146"/>
      <c r="R641" s="5147"/>
    </row>
    <row r="642" spans="1:18" ht="27.75" customHeight="1">
      <c r="A642" s="5148" t="s">
        <v>84</v>
      </c>
      <c r="B642" s="5149" t="str">
        <f>'Tab. 6A -Drogi'!B192</f>
        <v>Rozbudowa drogi wojewódzkiej nr 111 na odcinku Recław - Stepnica w ramach Osi V RPO WZ (2018-2021)</v>
      </c>
      <c r="C642" s="5150">
        <v>605</v>
      </c>
      <c r="D642" s="5145"/>
      <c r="E642" s="5145"/>
      <c r="F642" s="5145"/>
      <c r="G642" s="5154"/>
      <c r="H642" s="5145">
        <f>'Tab. 6A -Drogi'!G193</f>
        <v>0</v>
      </c>
      <c r="I642" s="5145">
        <f>'Tab. 6A -Drogi'!H193</f>
        <v>39650000</v>
      </c>
      <c r="J642" s="5145">
        <f>'Tab. 6A -Drogi'!I193</f>
        <v>40350000</v>
      </c>
      <c r="K642" s="5145">
        <f>'Tab. 6A -Drogi'!J193</f>
        <v>30000000</v>
      </c>
      <c r="L642" s="5145">
        <f>'Tab. 6A -Drogi'!K193</f>
        <v>0</v>
      </c>
      <c r="M642" s="5145">
        <f>'Tab. 6A -Drogi'!L193</f>
        <v>0</v>
      </c>
      <c r="N642" s="5146"/>
      <c r="O642" s="5146"/>
      <c r="P642" s="5146"/>
      <c r="Q642" s="5146"/>
      <c r="R642" s="5147"/>
    </row>
    <row r="643" spans="1:18" ht="24" customHeight="1">
      <c r="A643" s="5148" t="s">
        <v>85</v>
      </c>
      <c r="B643" s="5149" t="str">
        <f>'Tab. 6C - Ochrona zdrowia'!B21</f>
        <v>Zachodniopomorskie e-zdrowie (2018-2021) w ramach Osi IX RPO WZ - wydatki majątkowe</v>
      </c>
      <c r="C643" s="5150">
        <v>605</v>
      </c>
      <c r="D643" s="5145"/>
      <c r="E643" s="5145"/>
      <c r="F643" s="5145"/>
      <c r="G643" s="5154"/>
      <c r="H643" s="5145">
        <f>'Tab. 6C - Ochrona zdrowia'!G24+'Tab. 6C - Ochrona zdrowia'!G26+'Tab. 6C - Ochrona zdrowia'!G28</f>
        <v>5508086</v>
      </c>
      <c r="I643" s="5145">
        <f>'Tab. 6C - Ochrona zdrowia'!H24+'Tab. 6C - Ochrona zdrowia'!H26+'Tab. 6C - Ochrona zdrowia'!H28</f>
        <v>15012716</v>
      </c>
      <c r="J643" s="5145">
        <f>'Tab. 6C - Ochrona zdrowia'!I24+'Tab. 6C - Ochrona zdrowia'!I26+'Tab. 6C - Ochrona zdrowia'!I28</f>
        <v>15011977</v>
      </c>
      <c r="K643" s="5145">
        <f>'Tab. 6C - Ochrona zdrowia'!J24+'Tab. 6C - Ochrona zdrowia'!J26+'Tab. 6C - Ochrona zdrowia'!J28</f>
        <v>2193698</v>
      </c>
      <c r="L643" s="5145">
        <f>'Tab. 6C - Ochrona zdrowia'!K24+'Tab. 6C - Ochrona zdrowia'!K26+'Tab. 6C - Ochrona zdrowia'!K28</f>
        <v>0</v>
      </c>
      <c r="M643" s="5145">
        <f>'Tab. 6C - Ochrona zdrowia'!L24+'Tab. 6C - Ochrona zdrowia'!L26+'Tab. 6C - Ochrona zdrowia'!L28</f>
        <v>0</v>
      </c>
      <c r="N643" s="5146"/>
      <c r="O643" s="5146"/>
      <c r="P643" s="5146"/>
      <c r="Q643" s="5146"/>
      <c r="R643" s="5147"/>
    </row>
    <row r="644" spans="1:18" ht="24" customHeight="1">
      <c r="A644" s="5148" t="s">
        <v>86</v>
      </c>
      <c r="B644" s="5149" t="str">
        <f>'Tab.6I - Planow. przestrz.'!B73</f>
        <v>Budowa Regionalnej Infrastruktury Informacji Przestrzennej Województwa Zachodniopomorskiego w ramach działania 9.10 RPO WZ (2019 - 2021)</v>
      </c>
      <c r="C644" s="5150">
        <v>605</v>
      </c>
      <c r="D644" s="5145"/>
      <c r="E644" s="5145"/>
      <c r="F644" s="5145"/>
      <c r="G644" s="5145"/>
      <c r="H644" s="5145">
        <f>'Tab.6I - Planow. przestrz.'!G74</f>
        <v>0</v>
      </c>
      <c r="I644" s="5145">
        <f>'Tab.6I - Planow. przestrz.'!H74</f>
        <v>15657298</v>
      </c>
      <c r="J644" s="5145">
        <f>'Tab.6I - Planow. przestrz.'!I74</f>
        <v>30313619</v>
      </c>
      <c r="K644" s="5145">
        <f>'Tab.6I - Planow. przestrz.'!J74</f>
        <v>6595383</v>
      </c>
      <c r="L644" s="5145">
        <f>'Tab.6I - Planow. przestrz.'!K74</f>
        <v>0</v>
      </c>
      <c r="M644" s="5145">
        <f>'Tab.6I - Planow. przestrz.'!L74</f>
        <v>0</v>
      </c>
      <c r="N644" s="5146"/>
      <c r="O644" s="5146"/>
      <c r="P644" s="5146"/>
      <c r="Q644" s="5146"/>
      <c r="R644" s="5147"/>
    </row>
    <row r="645" spans="1:18" ht="24" customHeight="1">
      <c r="A645" s="5148" t="s">
        <v>87</v>
      </c>
      <c r="B645" s="5149" t="str">
        <f>'Tab. 6H - Kultura fiz. i turyst'!B61</f>
        <v>Budowa sieci tras rowerowych Pomorza Zachodniego - Trasa Nadmorska odc. Pleśna - Mielno w ramach Osi IV RPO WZ (2018-2019)</v>
      </c>
      <c r="C645" s="5150">
        <v>605</v>
      </c>
      <c r="D645" s="5145"/>
      <c r="E645" s="5145"/>
      <c r="F645" s="5145"/>
      <c r="G645" s="5145"/>
      <c r="H645" s="5145">
        <f>'Tab. 6H - Kultura fiz. i turyst'!G62</f>
        <v>123000</v>
      </c>
      <c r="I645" s="5145">
        <f>'Tab. 6H - Kultura fiz. i turyst'!H62</f>
        <v>8100000</v>
      </c>
      <c r="J645" s="5145">
        <f>'Tab. 6H - Kultura fiz. i turyst'!I62</f>
        <v>0</v>
      </c>
      <c r="K645" s="5145">
        <f>'Tab. 6H - Kultura fiz. i turyst'!J62</f>
        <v>0</v>
      </c>
      <c r="L645" s="5145">
        <f>'Tab. 6H - Kultura fiz. i turyst'!K62</f>
        <v>0</v>
      </c>
      <c r="M645" s="5145">
        <f>'Tab. 6H - Kultura fiz. i turyst'!L62</f>
        <v>0</v>
      </c>
      <c r="N645" s="5145"/>
      <c r="O645" s="5146"/>
      <c r="P645" s="5146"/>
      <c r="Q645" s="5146"/>
      <c r="R645" s="5147"/>
    </row>
    <row r="646" spans="1:18" ht="24" customHeight="1">
      <c r="A646" s="5148" t="s">
        <v>88</v>
      </c>
      <c r="B646" s="5158" t="str">
        <f>'Tab. 6A -Drogi'!B288</f>
        <v>Budowa obejścia Gryfic - połączenie dróg woj. nr 110 (ul. Niechorska) i nr 105 (ul. Piastów) w ramach Osi V RPO WZ (2019-2021)</v>
      </c>
      <c r="C646" s="5150">
        <v>605</v>
      </c>
      <c r="D646" s="5145"/>
      <c r="E646" s="5145"/>
      <c r="F646" s="5145"/>
      <c r="G646" s="5145"/>
      <c r="H646" s="5159">
        <f>'Tab. 6A -Drogi'!G289</f>
        <v>0</v>
      </c>
      <c r="I646" s="5159">
        <f>'Tab. 6A -Drogi'!H289</f>
        <v>7000000</v>
      </c>
      <c r="J646" s="5159">
        <f>'Tab. 6A -Drogi'!I289</f>
        <v>31000000</v>
      </c>
      <c r="K646" s="5159">
        <f>'Tab. 6A -Drogi'!J289</f>
        <v>17000000</v>
      </c>
      <c r="L646" s="5159">
        <f>'Tab. 6A -Drogi'!K289</f>
        <v>0</v>
      </c>
      <c r="M646" s="5159">
        <f>'Tab. 6A -Drogi'!L289</f>
        <v>0</v>
      </c>
      <c r="N646" s="5145"/>
      <c r="O646" s="5146"/>
      <c r="P646" s="5146"/>
      <c r="Q646" s="5146"/>
      <c r="R646" s="5147"/>
    </row>
    <row r="647" spans="1:18" ht="24" customHeight="1">
      <c r="A647" s="5148" t="s">
        <v>89</v>
      </c>
      <c r="B647" s="5158" t="str">
        <f>'Tab. 6A -Drogi'!B300</f>
        <v>Budowa obejścia m. Trzebiatów - połączenie drogi woj. nr 103 i nr 102 w ramach Osi V RPO WZ (2019-2020)</v>
      </c>
      <c r="C647" s="5150">
        <v>605</v>
      </c>
      <c r="D647" s="5145"/>
      <c r="E647" s="5145"/>
      <c r="F647" s="5145"/>
      <c r="G647" s="5145"/>
      <c r="H647" s="5159">
        <f>'Tab. 6A -Drogi'!G301</f>
        <v>0</v>
      </c>
      <c r="I647" s="5159">
        <f>'Tab. 6A -Drogi'!H301</f>
        <v>6000000</v>
      </c>
      <c r="J647" s="5159">
        <f>'Tab. 6A -Drogi'!I301</f>
        <v>19000000</v>
      </c>
      <c r="K647" s="5159">
        <f>'Tab. 6A -Drogi'!J301</f>
        <v>0</v>
      </c>
      <c r="L647" s="5159">
        <f>'Tab. 6A -Drogi'!K301</f>
        <v>0</v>
      </c>
      <c r="M647" s="5159">
        <f>'Tab. 6A -Drogi'!L301</f>
        <v>0</v>
      </c>
      <c r="N647" s="5145"/>
      <c r="O647" s="5146"/>
      <c r="P647" s="5146"/>
      <c r="Q647" s="5146"/>
      <c r="R647" s="5147"/>
    </row>
    <row r="650" spans="1:18" ht="21" customHeight="1">
      <c r="B650" s="5160"/>
      <c r="C650" s="5160"/>
      <c r="D650" s="5160"/>
      <c r="E650" s="5160"/>
      <c r="F650" s="5160"/>
      <c r="G650" s="5161"/>
      <c r="H650" s="5161"/>
      <c r="I650" s="5161"/>
      <c r="J650" s="5161"/>
      <c r="K650" s="5161"/>
      <c r="L650" s="5161"/>
      <c r="M650" s="5161"/>
    </row>
    <row r="651" spans="1:18">
      <c r="B651" s="5160"/>
      <c r="C651" s="5160"/>
      <c r="D651" s="5160"/>
      <c r="E651" s="5160"/>
      <c r="F651" s="5160"/>
      <c r="G651" s="5161"/>
      <c r="H651" s="5161"/>
      <c r="I651" s="5161"/>
      <c r="J651" s="5161"/>
      <c r="K651" s="5161"/>
      <c r="L651" s="5161"/>
      <c r="M651" s="5161"/>
    </row>
    <row r="652" spans="1:18">
      <c r="B652" s="4626" t="s">
        <v>608</v>
      </c>
      <c r="G652" s="5162">
        <f>G9+G414+G528</f>
        <v>269940314</v>
      </c>
    </row>
    <row r="653" spans="1:18">
      <c r="A653" s="4627" t="s">
        <v>614</v>
      </c>
      <c r="B653" s="5163" t="s">
        <v>611</v>
      </c>
      <c r="G653" s="5162">
        <f>88527215+282981842</f>
        <v>371509057</v>
      </c>
      <c r="H653" s="5151"/>
      <c r="I653" s="5151"/>
      <c r="J653" s="5151"/>
      <c r="K653" s="5151"/>
    </row>
    <row r="654" spans="1:18">
      <c r="B654" s="4626" t="s">
        <v>612</v>
      </c>
      <c r="C654" s="4626" t="s">
        <v>609</v>
      </c>
      <c r="G654" s="5162">
        <f>G653-G652</f>
        <v>101568743</v>
      </c>
      <c r="H654" s="5164"/>
      <c r="I654" s="5164"/>
      <c r="J654" s="5164"/>
      <c r="K654" s="5164"/>
    </row>
    <row r="655" spans="1:18">
      <c r="A655" s="4627" t="s">
        <v>615</v>
      </c>
      <c r="B655" s="4626" t="s">
        <v>613</v>
      </c>
      <c r="G655" s="5165">
        <f>307000+7140341+754822+828673+807722+1064380+3388731+1252208+337921+963753+1665360+479178+465313+1621959+1007924+395387+841602+1181223+476442+467318+361298+381642+6777+11819777+60000+148944+101414+9823+34091+1900+9700+35202+25350+11000+49400+420+102100+1993223</f>
        <v>40599318</v>
      </c>
      <c r="H655" s="5164"/>
      <c r="I655" s="5164"/>
      <c r="J655" s="5164"/>
      <c r="K655" s="5164"/>
    </row>
    <row r="656" spans="1:18">
      <c r="B656" s="4626" t="s">
        <v>610</v>
      </c>
      <c r="G656" s="5164">
        <f>G654-G655</f>
        <v>60969425</v>
      </c>
      <c r="H656" s="5166"/>
      <c r="I656" s="5166"/>
      <c r="J656" s="5166"/>
      <c r="K656" s="5166"/>
    </row>
  </sheetData>
  <mergeCells count="117">
    <mergeCell ref="A351:A355"/>
    <mergeCell ref="A416:A420"/>
    <mergeCell ref="A496:A500"/>
    <mergeCell ref="A481:A485"/>
    <mergeCell ref="A486:A490"/>
    <mergeCell ref="A431:A435"/>
    <mergeCell ref="A421:A425"/>
    <mergeCell ref="A426:A430"/>
    <mergeCell ref="A471:A475"/>
    <mergeCell ref="A356:A360"/>
    <mergeCell ref="A361:A365"/>
    <mergeCell ref="A366:A370"/>
    <mergeCell ref="A371:A375"/>
    <mergeCell ref="A381:A385"/>
    <mergeCell ref="A386:A390"/>
    <mergeCell ref="A391:A395"/>
    <mergeCell ref="A565:A569"/>
    <mergeCell ref="A376:A380"/>
    <mergeCell ref="A281:A285"/>
    <mergeCell ref="A286:A290"/>
    <mergeCell ref="A399:A403"/>
    <mergeCell ref="A241:A245"/>
    <mergeCell ref="A246:A250"/>
    <mergeCell ref="A251:A255"/>
    <mergeCell ref="A261:A265"/>
    <mergeCell ref="A266:A270"/>
    <mergeCell ref="A271:A275"/>
    <mergeCell ref="A276:A280"/>
    <mergeCell ref="A256:A260"/>
    <mergeCell ref="A406:A410"/>
    <mergeCell ref="A296:A300"/>
    <mergeCell ref="A306:A310"/>
    <mergeCell ref="A301:A305"/>
    <mergeCell ref="A311:A315"/>
    <mergeCell ref="A316:A320"/>
    <mergeCell ref="A321:A325"/>
    <mergeCell ref="A326:A330"/>
    <mergeCell ref="A331:A335"/>
    <mergeCell ref="A336:A340"/>
    <mergeCell ref="A341:A345"/>
    <mergeCell ref="A346:A350"/>
    <mergeCell ref="A579:B579"/>
    <mergeCell ref="A512:A516"/>
    <mergeCell ref="A436:A440"/>
    <mergeCell ref="A441:A445"/>
    <mergeCell ref="A446:A450"/>
    <mergeCell ref="A451:A455"/>
    <mergeCell ref="A456:A460"/>
    <mergeCell ref="A530:A534"/>
    <mergeCell ref="A517:A521"/>
    <mergeCell ref="A545:A549"/>
    <mergeCell ref="A550:A554"/>
    <mergeCell ref="A540:A544"/>
    <mergeCell ref="A555:A559"/>
    <mergeCell ref="A522:A526"/>
    <mergeCell ref="A461:A465"/>
    <mergeCell ref="A506:A510"/>
    <mergeCell ref="A560:A564"/>
    <mergeCell ref="A535:A539"/>
    <mergeCell ref="A476:A480"/>
    <mergeCell ref="A466:A470"/>
    <mergeCell ref="A501:A505"/>
    <mergeCell ref="A491:A495"/>
    <mergeCell ref="A570:A574"/>
    <mergeCell ref="A101:A105"/>
    <mergeCell ref="A21:A25"/>
    <mergeCell ref="A51:A55"/>
    <mergeCell ref="A56:A60"/>
    <mergeCell ref="A46:A50"/>
    <mergeCell ref="A126:A129"/>
    <mergeCell ref="A146:A149"/>
    <mergeCell ref="A91:A95"/>
    <mergeCell ref="A16:A20"/>
    <mergeCell ref="A71:A75"/>
    <mergeCell ref="A76:A80"/>
    <mergeCell ref="A81:A85"/>
    <mergeCell ref="A96:A100"/>
    <mergeCell ref="A86:A90"/>
    <mergeCell ref="A66:A70"/>
    <mergeCell ref="A1:V1"/>
    <mergeCell ref="A4:A7"/>
    <mergeCell ref="B4:B7"/>
    <mergeCell ref="C4:C7"/>
    <mergeCell ref="D4:D7"/>
    <mergeCell ref="E4:E7"/>
    <mergeCell ref="F4:F7"/>
    <mergeCell ref="A61:A65"/>
    <mergeCell ref="A26:A30"/>
    <mergeCell ref="A31:A35"/>
    <mergeCell ref="A36:A40"/>
    <mergeCell ref="A41:A45"/>
    <mergeCell ref="G4:G7"/>
    <mergeCell ref="H4:M6"/>
    <mergeCell ref="A291:A295"/>
    <mergeCell ref="A151:A154"/>
    <mergeCell ref="A231:A235"/>
    <mergeCell ref="A236:A240"/>
    <mergeCell ref="A111:A115"/>
    <mergeCell ref="A106:A110"/>
    <mergeCell ref="A221:A225"/>
    <mergeCell ref="A194:A198"/>
    <mergeCell ref="A226:A230"/>
    <mergeCell ref="A216:A220"/>
    <mergeCell ref="A116:A120"/>
    <mergeCell ref="A121:A125"/>
    <mergeCell ref="A188:A192"/>
    <mergeCell ref="A201:A205"/>
    <mergeCell ref="A183:A187"/>
    <mergeCell ref="A131:A134"/>
    <mergeCell ref="A136:A139"/>
    <mergeCell ref="A141:A144"/>
    <mergeCell ref="A211:A215"/>
    <mergeCell ref="A156:A159"/>
    <mergeCell ref="A161:A164"/>
    <mergeCell ref="A166:A169"/>
    <mergeCell ref="A171:A174"/>
    <mergeCell ref="A176:A179"/>
  </mergeCells>
  <pageMargins left="0.19685039370078741" right="0.11811023622047245" top="0.27559055118110237" bottom="0.23622047244094491" header="0.19685039370078741" footer="0.15748031496062992"/>
  <pageSetup paperSize="9" scale="62" orientation="landscape" r:id="rId1"/>
  <headerFooter alignWithMargins="0">
    <oddFooter>&amp;C&amp;P</oddFooter>
  </headerFooter>
  <rowBreaks count="2" manualBreakCount="2">
    <brk id="576" max="22" man="1"/>
    <brk id="628" max="2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3"/>
  </sheetPr>
  <dimension ref="A1:Q1005"/>
  <sheetViews>
    <sheetView showGridLines="0" tabSelected="1" view="pageBreakPreview" zoomScaleNormal="110" zoomScaleSheetLayoutView="100" workbookViewId="0">
      <selection activeCell="B17" sqref="B17"/>
    </sheetView>
  </sheetViews>
  <sheetFormatPr defaultColWidth="9.140625" defaultRowHeight="12.75" outlineLevelCol="1"/>
  <cols>
    <col min="1" max="1" width="49.140625" style="855" customWidth="1"/>
    <col min="2" max="2" width="16" style="856" customWidth="1"/>
    <col min="3" max="3" width="13.85546875" style="856" customWidth="1"/>
    <col min="4" max="4" width="17.85546875" style="856" customWidth="1"/>
    <col min="5" max="5" width="14.7109375" style="856" bestFit="1" customWidth="1"/>
    <col min="6" max="6" width="12.85546875" style="856" customWidth="1"/>
    <col min="7" max="8" width="13.140625" style="856" customWidth="1"/>
    <col min="9" max="9" width="14.42578125" style="856" customWidth="1"/>
    <col min="10" max="10" width="16.140625" style="855" customWidth="1"/>
    <col min="11" max="11" width="14.5703125" style="2825" hidden="1" customWidth="1" outlineLevel="1"/>
    <col min="12" max="12" width="14.5703125" style="2825" customWidth="1" outlineLevel="1"/>
    <col min="13" max="13" width="17.28515625" style="2825" customWidth="1" outlineLevel="1"/>
    <col min="14" max="14" width="14.7109375" style="855" customWidth="1"/>
    <col min="15" max="15" width="14.28515625" style="855" customWidth="1"/>
    <col min="16" max="16" width="9.140625" style="855"/>
    <col min="17" max="17" width="9.7109375" style="855" bestFit="1" customWidth="1"/>
    <col min="18" max="16384" width="9.140625" style="855"/>
  </cols>
  <sheetData>
    <row r="1" spans="1:15" ht="23.25" customHeight="1">
      <c r="A1" s="854"/>
      <c r="E1" s="857"/>
      <c r="G1" s="857"/>
      <c r="H1" s="857"/>
      <c r="I1" s="857"/>
    </row>
    <row r="2" spans="1:15" ht="15">
      <c r="C2" s="859"/>
      <c r="D2" s="859"/>
      <c r="E2" s="859"/>
      <c r="G2" s="859"/>
      <c r="H2" s="859"/>
      <c r="I2" s="857" t="s">
        <v>404</v>
      </c>
      <c r="J2" s="858"/>
    </row>
    <row r="3" spans="1:15">
      <c r="B3" s="862"/>
      <c r="C3" s="859"/>
      <c r="D3" s="859"/>
      <c r="E3" s="859"/>
      <c r="F3" s="859"/>
      <c r="G3" s="859"/>
      <c r="H3" s="859"/>
      <c r="I3" s="859"/>
      <c r="J3" s="858"/>
    </row>
    <row r="4" spans="1:15" ht="12.75" customHeight="1">
      <c r="C4" s="858"/>
      <c r="D4" s="858"/>
      <c r="E4" s="858"/>
      <c r="F4" s="858"/>
      <c r="G4" s="858"/>
      <c r="H4" s="858"/>
      <c r="I4" s="858"/>
      <c r="J4" s="1202"/>
    </row>
    <row r="5" spans="1:15" ht="72" customHeight="1">
      <c r="A5" s="3281" t="s">
        <v>0</v>
      </c>
      <c r="B5" s="3281"/>
      <c r="C5" s="3281"/>
      <c r="D5" s="3281"/>
      <c r="E5" s="3281"/>
      <c r="F5" s="3281"/>
      <c r="G5" s="3281"/>
      <c r="H5" s="3281"/>
      <c r="I5" s="3281"/>
      <c r="J5" s="3281"/>
      <c r="K5" s="2930"/>
      <c r="L5" s="2930"/>
    </row>
    <row r="6" spans="1:15" ht="12" customHeight="1">
      <c r="A6" s="860"/>
      <c r="B6" s="860"/>
      <c r="C6" s="860"/>
      <c r="D6" s="2220"/>
      <c r="E6" s="860"/>
      <c r="F6" s="860"/>
      <c r="G6" s="860"/>
      <c r="H6" s="860"/>
      <c r="I6" s="860"/>
      <c r="J6" s="860"/>
    </row>
    <row r="7" spans="1:15" ht="48.75" customHeight="1" thickBot="1">
      <c r="A7" s="3282" t="s">
        <v>1</v>
      </c>
      <c r="B7" s="3282"/>
      <c r="C7" s="3282"/>
      <c r="D7" s="3282"/>
      <c r="E7" s="3282"/>
      <c r="F7" s="3282"/>
      <c r="G7" s="3282"/>
      <c r="H7" s="3282"/>
      <c r="I7" s="3282"/>
      <c r="J7" s="3282"/>
      <c r="K7" s="1129"/>
      <c r="L7" s="1129"/>
    </row>
    <row r="8" spans="1:15" s="856" customFormat="1" ht="24.75" customHeight="1">
      <c r="A8" s="861"/>
      <c r="B8" s="3286" t="s">
        <v>255</v>
      </c>
      <c r="C8" s="3293" t="s">
        <v>574</v>
      </c>
      <c r="D8" s="3289" t="s">
        <v>511</v>
      </c>
      <c r="E8" s="3289"/>
      <c r="F8" s="3289"/>
      <c r="G8" s="3289"/>
      <c r="H8" s="3289"/>
      <c r="I8" s="3290"/>
      <c r="J8" s="3283" t="s">
        <v>3</v>
      </c>
      <c r="K8" s="3296" t="s">
        <v>529</v>
      </c>
      <c r="L8" s="3301" t="s">
        <v>512</v>
      </c>
      <c r="M8" s="862"/>
    </row>
    <row r="9" spans="1:15" ht="27" customHeight="1">
      <c r="A9" s="863" t="s">
        <v>4</v>
      </c>
      <c r="B9" s="3287"/>
      <c r="C9" s="3294"/>
      <c r="D9" s="3291"/>
      <c r="E9" s="3291"/>
      <c r="F9" s="3291"/>
      <c r="G9" s="3291"/>
      <c r="H9" s="3291"/>
      <c r="I9" s="3292"/>
      <c r="J9" s="3284"/>
      <c r="K9" s="3297"/>
      <c r="L9" s="3302"/>
      <c r="M9" s="862" t="s">
        <v>2</v>
      </c>
    </row>
    <row r="10" spans="1:15" ht="19.5" customHeight="1" thickBot="1">
      <c r="A10" s="863"/>
      <c r="B10" s="864" t="s">
        <v>496</v>
      </c>
      <c r="C10" s="3295"/>
      <c r="D10" s="865" t="s">
        <v>6</v>
      </c>
      <c r="E10" s="865" t="s">
        <v>202</v>
      </c>
      <c r="F10" s="865" t="s">
        <v>204</v>
      </c>
      <c r="G10" s="865" t="s">
        <v>246</v>
      </c>
      <c r="H10" s="865" t="s">
        <v>247</v>
      </c>
      <c r="I10" s="866" t="s">
        <v>245</v>
      </c>
      <c r="J10" s="3285"/>
      <c r="K10" s="3297"/>
      <c r="L10" s="3302"/>
      <c r="M10" s="2826"/>
      <c r="N10" s="867"/>
    </row>
    <row r="11" spans="1:15" ht="13.5" customHeight="1" thickBot="1">
      <c r="A11" s="868">
        <v>1</v>
      </c>
      <c r="B11" s="869">
        <v>2</v>
      </c>
      <c r="C11" s="870">
        <v>3</v>
      </c>
      <c r="D11" s="869">
        <v>4</v>
      </c>
      <c r="E11" s="871">
        <v>5</v>
      </c>
      <c r="F11" s="872">
        <v>6</v>
      </c>
      <c r="G11" s="873">
        <v>7</v>
      </c>
      <c r="H11" s="869">
        <v>8</v>
      </c>
      <c r="I11" s="873">
        <v>9</v>
      </c>
      <c r="J11" s="1541">
        <v>10</v>
      </c>
      <c r="K11" s="1652">
        <v>11</v>
      </c>
      <c r="L11" s="874">
        <v>11</v>
      </c>
      <c r="N11" s="3306" t="s">
        <v>41</v>
      </c>
      <c r="O11" s="3307"/>
    </row>
    <row r="12" spans="1:15" s="879" customFormat="1" ht="18.75" customHeight="1">
      <c r="A12" s="875" t="s">
        <v>7</v>
      </c>
      <c r="B12" s="876">
        <f>+B13+B14</f>
        <v>93026756</v>
      </c>
      <c r="C12" s="876">
        <f t="shared" ref="C12:D12" si="0">+C13+C14</f>
        <v>269940314</v>
      </c>
      <c r="D12" s="876">
        <f t="shared" si="0"/>
        <v>438304687</v>
      </c>
      <c r="E12" s="876">
        <f t="shared" ref="E12:L12" si="1">+E13+E14</f>
        <v>369326156</v>
      </c>
      <c r="F12" s="876">
        <f t="shared" si="1"/>
        <v>327014229</v>
      </c>
      <c r="G12" s="876">
        <f t="shared" si="1"/>
        <v>127517730</v>
      </c>
      <c r="H12" s="876">
        <f t="shared" si="1"/>
        <v>39006835</v>
      </c>
      <c r="I12" s="876">
        <f t="shared" si="1"/>
        <v>35964179</v>
      </c>
      <c r="J12" s="1542">
        <f>+J13+J14</f>
        <v>1700100886</v>
      </c>
      <c r="K12" s="1653">
        <f>+K13+K14</f>
        <v>1607074130</v>
      </c>
      <c r="L12" s="877">
        <f t="shared" si="1"/>
        <v>1337133816</v>
      </c>
      <c r="M12" s="2827"/>
      <c r="N12" s="398">
        <f t="shared" ref="N12:N26" si="2">+C12+D12+E12+F12+G12+H12+I12+B12</f>
        <v>1700100886</v>
      </c>
      <c r="O12" s="878">
        <f>J12-N12</f>
        <v>0</v>
      </c>
    </row>
    <row r="13" spans="1:15" s="879" customFormat="1" ht="17.25" customHeight="1">
      <c r="A13" s="880" t="s">
        <v>8</v>
      </c>
      <c r="B13" s="881">
        <f>+'Tab. 6B Polit społ i rozwój prz'!E8+'Tab. 6D - Oświata'!E11+'Tab. 6A -Drogi'!E9+'Tab. 6E - Administracja'!E10+'Tab. 6G - Roln i ochrona środ.'!E9+'Tab. 6H - Kultura fiz. i turyst'!E8+'Tab.6I - Planow. przestrz.'!E9</f>
        <v>45879756</v>
      </c>
      <c r="C13" s="881">
        <f>+'Tab. 6B Polit społ i rozwój prz'!F8+'Tab. 6D - Oświata'!F11+'Tab. 6A -Drogi'!F9+'Tab. 6E - Administracja'!F10+'Tab. 6G - Roln i ochrona środ.'!F9+'Tab. 6H - Kultura fiz. i turyst'!F8+'Tab.6I - Planow. przestrz.'!F9</f>
        <v>46351953</v>
      </c>
      <c r="D13" s="881">
        <f>+'Tab. 6B Polit społ i rozwój prz'!G8+'Tab. 6D - Oświata'!G11+'Tab. 6A -Drogi'!G9+'Tab. 6E - Administracja'!G10+'Tab. 6G - Roln i ochrona środ.'!G9+'Tab. 6H - Kultura fiz. i turyst'!G8+'Tab.6I - Planow. przestrz.'!G9+'Tab. 6C - Ochrona zdrowia'!G7</f>
        <v>69028103</v>
      </c>
      <c r="E13" s="881">
        <f>+'Tab. 6B Polit społ i rozwój prz'!H8+'Tab. 6D - Oświata'!H11+'Tab. 6A -Drogi'!H9+'Tab. 6E - Administracja'!H10+'Tab. 6G - Roln i ochrona środ.'!H9+'Tab. 6H - Kultura fiz. i turyst'!H8+'Tab.6I - Planow. przestrz.'!H9+'Tab. 6C - Ochrona zdrowia'!H7</f>
        <v>80473842</v>
      </c>
      <c r="F13" s="881">
        <f>+'Tab. 6B Polit społ i rozwój prz'!I8+'Tab. 6D - Oświata'!I11+'Tab. 6A -Drogi'!I9+'Tab. 6E - Administracja'!I10+'Tab. 6G - Roln i ochrona środ.'!I9+'Tab. 6H - Kultura fiz. i turyst'!I8+'Tab.6I - Planow. przestrz.'!I9+'Tab. 6C - Ochrona zdrowia'!I7</f>
        <v>64708428</v>
      </c>
      <c r="G13" s="881">
        <f>+'Tab. 6B Polit społ i rozwój prz'!J8+'Tab. 6D - Oświata'!J11+'Tab. 6A -Drogi'!J9+'Tab. 6E - Administracja'!J10+'Tab. 6G - Roln i ochrona środ.'!J9+'Tab. 6H - Kultura fiz. i turyst'!J8+'Tab.6I - Planow. przestrz.'!J9+'Tab. 6C - Ochrona zdrowia'!J7</f>
        <v>43469276</v>
      </c>
      <c r="H13" s="881">
        <f>+'Tab. 6B Polit społ i rozwój prz'!K8+'Tab. 6D - Oświata'!K11+'Tab. 6A -Drogi'!K9+'Tab. 6E - Administracja'!K10+'Tab. 6G - Roln i ochrona środ.'!K9+'Tab. 6H - Kultura fiz. i turyst'!K8+'Tab.6I - Planow. przestrz.'!K9+'Tab. 6C - Ochrona zdrowia'!K7</f>
        <v>38806835</v>
      </c>
      <c r="I13" s="881">
        <f>+'Tab. 6B Polit społ i rozwój prz'!L8+'Tab. 6D - Oświata'!L11+'Tab. 6A -Drogi'!L9+'Tab. 6E - Administracja'!L10+'Tab. 6G - Roln i ochrona środ.'!L9+'Tab. 6H - Kultura fiz. i turyst'!L8+'Tab.6I - Planow. przestrz.'!L9+'Tab. 6C - Ochrona zdrowia'!L7</f>
        <v>35819679</v>
      </c>
      <c r="J13" s="1543">
        <f>'Tab. 6A -Drogi'!D9+'Tab. 6B Polit społ i rozwój prz'!D8+'Tab. 6D - Oświata'!D11+'Tab. 6E - Administracja'!D10+'Tab. 6G - Roln i ochrona środ.'!D9+'Tab. 6H - Kultura fiz. i turyst'!D8+'Tab.6I - Planow. przestrz.'!D9+'Tab. 6C - Ochrona zdrowia'!D7</f>
        <v>424537872</v>
      </c>
      <c r="K13" s="1654">
        <f>SUM(C13:I13)</f>
        <v>378658116</v>
      </c>
      <c r="L13" s="1084">
        <f>SUM(D13:I13)</f>
        <v>332306163</v>
      </c>
      <c r="M13" s="2291">
        <f>K13-C13-D13-E13-F13-G13-H13-I13</f>
        <v>0</v>
      </c>
      <c r="N13" s="398">
        <f t="shared" si="2"/>
        <v>424537872</v>
      </c>
      <c r="O13" s="399">
        <f>J13-N13</f>
        <v>0</v>
      </c>
    </row>
    <row r="14" spans="1:15" s="879" customFormat="1" ht="17.25" customHeight="1" thickBot="1">
      <c r="A14" s="883" t="s">
        <v>9</v>
      </c>
      <c r="B14" s="884">
        <f>+'Tab. 6D - Oświata'!E12+'Tab. 6A -Drogi'!E10+'Tab. 6E - Administracja'!E11+'Tab. 6G - Roln i ochrona środ.'!E10+'Tab. 6H - Kultura fiz. i turyst'!E9+'Tab. 6B Polit społ i rozwój prz'!E9+'Tab.6I - Planow. przestrz.'!E10</f>
        <v>47147000</v>
      </c>
      <c r="C14" s="884">
        <f>+'Tab. 6D - Oświata'!F12+'Tab. 6A -Drogi'!F10+'Tab. 6E - Administracja'!F11+'Tab. 6G - Roln i ochrona środ.'!F10+'Tab. 6H - Kultura fiz. i turyst'!F9+'Tab. 6B Polit społ i rozwój prz'!F9+'Tab.6I - Planow. przestrz.'!F10</f>
        <v>223588361</v>
      </c>
      <c r="D14" s="884">
        <f>+'Tab. 6D - Oświata'!G12+'Tab. 6A -Drogi'!G10+'Tab. 6E - Administracja'!G11+'Tab. 6G - Roln i ochrona środ.'!G10+'Tab. 6H - Kultura fiz. i turyst'!G9+'Tab. 6B Polit społ i rozwój prz'!G9+'Tab.6I - Planow. przestrz.'!G10+'Tab. 6C - Ochrona zdrowia'!G8</f>
        <v>369276584</v>
      </c>
      <c r="E14" s="884">
        <f>+'Tab. 6D - Oświata'!H12+'Tab. 6A -Drogi'!H10+'Tab. 6E - Administracja'!H11+'Tab. 6G - Roln i ochrona środ.'!H10+'Tab. 6H - Kultura fiz. i turyst'!H9+'Tab. 6B Polit społ i rozwój prz'!H9+'Tab.6I - Planow. przestrz.'!H10+'Tab. 6C - Ochrona zdrowia'!H8</f>
        <v>288852314</v>
      </c>
      <c r="F14" s="884">
        <f>+'Tab. 6D - Oświata'!I12+'Tab. 6A -Drogi'!I10+'Tab. 6E - Administracja'!I11+'Tab. 6G - Roln i ochrona środ.'!I10+'Tab. 6H - Kultura fiz. i turyst'!I9+'Tab. 6B Polit społ i rozwój prz'!I9+'Tab.6I - Planow. przestrz.'!I10+'Tab. 6C - Ochrona zdrowia'!I8</f>
        <v>262305801</v>
      </c>
      <c r="G14" s="884">
        <f>+'Tab. 6D - Oświata'!J12+'Tab. 6A -Drogi'!J10+'Tab. 6E - Administracja'!J11+'Tab. 6G - Roln i ochrona środ.'!J10+'Tab. 6H - Kultura fiz. i turyst'!J9+'Tab. 6B Polit społ i rozwój prz'!J9+'Tab.6I - Planow. przestrz.'!J10+'Tab. 6C - Ochrona zdrowia'!J8</f>
        <v>84048454</v>
      </c>
      <c r="H14" s="884">
        <f>+'Tab. 6D - Oświata'!K12+'Tab. 6A -Drogi'!K10+'Tab. 6E - Administracja'!K11+'Tab. 6G - Roln i ochrona środ.'!K10+'Tab. 6H - Kultura fiz. i turyst'!K9+'Tab. 6B Polit społ i rozwój prz'!K9+'Tab.6I - Planow. przestrz.'!K10+'Tab. 6C - Ochrona zdrowia'!K8</f>
        <v>200000</v>
      </c>
      <c r="I14" s="884">
        <f>+'Tab. 6D - Oświata'!L12+'Tab. 6A -Drogi'!L10+'Tab. 6E - Administracja'!L11+'Tab. 6G - Roln i ochrona środ.'!L10+'Tab. 6H - Kultura fiz. i turyst'!L9+'Tab. 6B Polit społ i rozwój prz'!L9+'Tab.6I - Planow. przestrz.'!L10+'Tab. 6C - Ochrona zdrowia'!L8</f>
        <v>144500</v>
      </c>
      <c r="J14" s="1544">
        <f>'Tab. 6A -Drogi'!D10+'Tab. 6B Polit społ i rozwój prz'!D9+'Tab. 6D - Oświata'!D12+'Tab. 6E - Administracja'!D11+'Tab. 6G - Roln i ochrona środ.'!D10+'Tab. 6H - Kultura fiz. i turyst'!D9+'Tab.6I - Planow. przestrz.'!D10+'Tab. 6C - Ochrona zdrowia'!D8</f>
        <v>1275563014</v>
      </c>
      <c r="K14" s="1655">
        <f>SUM(C14:I14)</f>
        <v>1228416014</v>
      </c>
      <c r="L14" s="1085">
        <f>SUM(D14:I14)</f>
        <v>1004827653</v>
      </c>
      <c r="M14" s="2291">
        <f>K14-C14-D14-E14-F14-G14-H14-I14</f>
        <v>0</v>
      </c>
      <c r="N14" s="398">
        <f t="shared" si="2"/>
        <v>1275563014</v>
      </c>
      <c r="O14" s="399">
        <f>J14-N14</f>
        <v>0</v>
      </c>
    </row>
    <row r="15" spans="1:15" s="400" customFormat="1">
      <c r="A15" s="885"/>
      <c r="B15" s="886"/>
      <c r="C15" s="886"/>
      <c r="D15" s="886"/>
      <c r="E15" s="886"/>
      <c r="F15" s="886"/>
      <c r="G15" s="886"/>
      <c r="H15" s="886"/>
      <c r="I15" s="886"/>
      <c r="J15" s="886"/>
      <c r="K15" s="1656"/>
      <c r="L15" s="1554"/>
      <c r="M15" s="397"/>
      <c r="N15" s="398">
        <f t="shared" si="2"/>
        <v>0</v>
      </c>
      <c r="O15" s="399">
        <f t="shared" ref="O15:O26" si="3">J15-N15</f>
        <v>0</v>
      </c>
    </row>
    <row r="16" spans="1:15" s="889" customFormat="1" ht="18" customHeight="1">
      <c r="A16" s="887" t="s">
        <v>10</v>
      </c>
      <c r="B16" s="888">
        <f t="shared" ref="B16:L16" si="4">+B17+B24</f>
        <v>93417872.299999997</v>
      </c>
      <c r="C16" s="888">
        <f t="shared" si="4"/>
        <v>270330193</v>
      </c>
      <c r="D16" s="888">
        <f t="shared" si="4"/>
        <v>439092513</v>
      </c>
      <c r="E16" s="888">
        <f t="shared" si="4"/>
        <v>370441152</v>
      </c>
      <c r="F16" s="888">
        <f t="shared" si="4"/>
        <v>327349703</v>
      </c>
      <c r="G16" s="888">
        <f t="shared" si="4"/>
        <v>127581749</v>
      </c>
      <c r="H16" s="888">
        <f t="shared" si="4"/>
        <v>39070853</v>
      </c>
      <c r="I16" s="888">
        <f t="shared" si="4"/>
        <v>36028197</v>
      </c>
      <c r="J16" s="1545">
        <f t="shared" si="4"/>
        <v>1703312232.3</v>
      </c>
      <c r="K16" s="1657">
        <f t="shared" si="4"/>
        <v>1607074130</v>
      </c>
      <c r="L16" s="1555">
        <f t="shared" si="4"/>
        <v>1337133816</v>
      </c>
      <c r="M16" s="2291"/>
      <c r="N16" s="398">
        <f t="shared" si="2"/>
        <v>1703312232.3</v>
      </c>
      <c r="O16" s="399">
        <f>J16-N16</f>
        <v>0</v>
      </c>
    </row>
    <row r="17" spans="1:15" s="893" customFormat="1" ht="17.25" customHeight="1">
      <c r="A17" s="890" t="s">
        <v>11</v>
      </c>
      <c r="B17" s="891">
        <f t="shared" ref="B17:I17" si="5">SUM(B18:B23)</f>
        <v>23928993.300000001</v>
      </c>
      <c r="C17" s="891">
        <f t="shared" si="5"/>
        <v>43033908</v>
      </c>
      <c r="D17" s="891">
        <f t="shared" si="5"/>
        <v>74052223</v>
      </c>
      <c r="E17" s="891">
        <f>SUM(E18:E23)</f>
        <v>81323494</v>
      </c>
      <c r="F17" s="891">
        <f t="shared" si="5"/>
        <v>59654424</v>
      </c>
      <c r="G17" s="891">
        <f>SUM(G18:G23)</f>
        <v>26843109</v>
      </c>
      <c r="H17" s="891">
        <f>SUM(H18:H23)</f>
        <v>5332165</v>
      </c>
      <c r="I17" s="891">
        <f t="shared" si="5"/>
        <v>5072234</v>
      </c>
      <c r="J17" s="1546">
        <f>SUM(J18:J23)</f>
        <v>319240550.30000001</v>
      </c>
      <c r="K17" s="1658">
        <f>SUM(K18:K23)</f>
        <v>292491327</v>
      </c>
      <c r="L17" s="892">
        <f>SUM(L18:L23)</f>
        <v>249847298</v>
      </c>
      <c r="M17" s="2291"/>
      <c r="N17" s="398">
        <f t="shared" si="2"/>
        <v>319240550.30000001</v>
      </c>
      <c r="O17" s="399">
        <f t="shared" si="3"/>
        <v>0</v>
      </c>
    </row>
    <row r="18" spans="1:15" s="400" customFormat="1" ht="14.25" customHeight="1">
      <c r="A18" s="894" t="s">
        <v>12</v>
      </c>
      <c r="B18" s="895">
        <f>+'Tab. 6B Polit społ i rozwój prz'!E12+'Tab. 6D - Oświata'!E15+'Tab. 6A -Drogi'!E13+'Tab. 6E - Administracja'!E14+'Tab. 6G - Roln i ochrona środ.'!E13+'Tab. 6H - Kultura fiz. i turyst'!E12+'Tab.6I - Planow. przestrz.'!E13+0.3</f>
        <v>11075429.300000001</v>
      </c>
      <c r="C18" s="895">
        <f>+'Tab. 6B Polit społ i rozwój prz'!F12+'Tab. 6D - Oświata'!F15+'Tab. 6A -Drogi'!F13+'Tab. 6E - Administracja'!F14+'Tab. 6G - Roln i ochrona środ.'!F13+'Tab. 6H - Kultura fiz. i turyst'!F12+'Tab.6I - Planow. przestrz.'!F13</f>
        <v>38457466</v>
      </c>
      <c r="D18" s="895">
        <f>+'Tab. 6B Polit społ i rozwój prz'!G12+'Tab. 6D - Oświata'!G15+'Tab. 6A -Drogi'!G13+'Tab. 6E - Administracja'!G14+'Tab. 6G - Roln i ochrona środ.'!G13+'Tab. 6H - Kultura fiz. i turyst'!G12+'Tab.6I - Planow. przestrz.'!G13+'Tab. 6C - Ochrona zdrowia'!G11</f>
        <v>49550314</v>
      </c>
      <c r="E18" s="895">
        <f>+'Tab. 6B Polit społ i rozwój prz'!H12+'Tab. 6D - Oświata'!H15+'Tab. 6A -Drogi'!H13+'Tab. 6E - Administracja'!H14+'Tab. 6G - Roln i ochrona środ.'!H13+'Tab. 6H - Kultura fiz. i turyst'!H12+'Tab.6I - Planow. przestrz.'!H13+'Tab. 6C - Ochrona zdrowia'!H11</f>
        <v>68278696</v>
      </c>
      <c r="F18" s="895">
        <f>+'Tab. 6B Polit społ i rozwój prz'!I12+'Tab. 6D - Oświata'!I15+'Tab. 6A -Drogi'!I13+'Tab. 6E - Administracja'!I14+'Tab. 6G - Roln i ochrona środ.'!I13+'Tab. 6H - Kultura fiz. i turyst'!I12+'Tab.6I - Planow. przestrz.'!I13+'Tab. 6C - Ochrona zdrowia'!I11</f>
        <v>50854853</v>
      </c>
      <c r="G18" s="895">
        <f>+'Tab. 6B Polit społ i rozwój prz'!J12+'Tab. 6D - Oświata'!J15+'Tab. 6A -Drogi'!J13+'Tab. 6E - Administracja'!J14+'Tab. 6G - Roln i ochrona środ.'!J13+'Tab. 6H - Kultura fiz. i turyst'!J12+'Tab.6I - Planow. przestrz.'!J13+'Tab. 6C - Ochrona zdrowia'!J11</f>
        <v>24817617</v>
      </c>
      <c r="H18" s="895">
        <f>+'Tab. 6B Polit społ i rozwój prz'!K12+'Tab. 6D - Oświata'!K15+'Tab. 6A -Drogi'!K13+'Tab. 6E - Administracja'!K14+'Tab. 6G - Roln i ochrona środ.'!K13+'Tab. 6H - Kultura fiz. i turyst'!K12+'Tab.6I - Planow. przestrz.'!K13+'Tab. 6C - Ochrona zdrowia'!K11</f>
        <v>4601835</v>
      </c>
      <c r="I18" s="895">
        <f>+'Tab. 6B Polit społ i rozwój prz'!L12+'Tab. 6D - Oświata'!L15+'Tab. 6A -Drogi'!L13+'Tab. 6E - Administracja'!L14+'Tab. 6G - Roln i ochrona środ.'!L13+'Tab. 6H - Kultura fiz. i turyst'!L12+'Tab.6I - Planow. przestrz.'!L13+'Tab. 6C - Ochrona zdrowia'!L11</f>
        <v>4367630</v>
      </c>
      <c r="J18" s="1547">
        <f t="shared" ref="J18:J23" si="6">B18+C18+D18+E18+F18+G18+H18+I18</f>
        <v>252003840.30000001</v>
      </c>
      <c r="K18" s="1659">
        <f>SUM(C18:I18)</f>
        <v>240928411</v>
      </c>
      <c r="L18" s="882">
        <f>SUM(D18:I18)</f>
        <v>202470945</v>
      </c>
      <c r="M18" s="2291"/>
      <c r="N18" s="398">
        <f t="shared" si="2"/>
        <v>252003840.30000001</v>
      </c>
      <c r="O18" s="399">
        <f t="shared" si="3"/>
        <v>0</v>
      </c>
    </row>
    <row r="19" spans="1:15" s="400" customFormat="1" ht="15.75" customHeight="1">
      <c r="A19" s="401" t="s">
        <v>13</v>
      </c>
      <c r="B19" s="895">
        <f>+'Tab. 6B Polit społ i rozwój prz'!E13+'Tab. 6A -Drogi'!E14+'Tab. 6E - Administracja'!E15+'Tab. 6G - Roln i ochrona środ.'!E14+'Tab.6I - Planow. przestrz.'!E14</f>
        <v>2982123</v>
      </c>
      <c r="C19" s="895">
        <f>+'Tab. 6B Polit społ i rozwój prz'!F13+'Tab. 6A -Drogi'!F14+'Tab. 6E - Administracja'!F15+'Tab. 6G - Roln i ochrona środ.'!F14+'Tab.6I - Planow. przestrz.'!F14</f>
        <v>2052996</v>
      </c>
      <c r="D19" s="895">
        <f>+'Tab. 6B Polit społ i rozwój prz'!G13+'Tab. 6A -Drogi'!G14+'Tab. 6E - Administracja'!G15+'Tab. 6G - Roln i ochrona środ.'!G14+'Tab.6I - Planow. przestrz.'!G14+'Tab. 6D - Oświata'!G16</f>
        <v>3695753</v>
      </c>
      <c r="E19" s="895">
        <f>+'Tab. 6B Polit społ i rozwój prz'!H13+'Tab. 6A -Drogi'!H14+'Tab. 6E - Administracja'!H15+'Tab. 6G - Roln i ochrona środ.'!H14+'Tab.6I - Planow. przestrz.'!H14+'Tab. 6D - Oświata'!H16</f>
        <v>4582983</v>
      </c>
      <c r="F19" s="895">
        <f>+'Tab. 6B Polit społ i rozwój prz'!I13+'Tab. 6A -Drogi'!I14+'Tab. 6E - Administracja'!I15+'Tab. 6G - Roln i ochrona środ.'!I14+'Tab.6I - Planow. przestrz.'!I14</f>
        <v>3882448</v>
      </c>
      <c r="G19" s="895">
        <f>+'Tab. 6B Polit społ i rozwój prz'!J13+'Tab. 6A -Drogi'!J14+'Tab. 6E - Administracja'!J15+'Tab. 6G - Roln i ochrona środ.'!J14+'Tab.6I - Planow. przestrz.'!J14</f>
        <v>1075392</v>
      </c>
      <c r="H19" s="895">
        <f>+'Tab. 6B Polit społ i rozwój prz'!K13+'Tab. 6A -Drogi'!K14+'Tab. 6E - Administracja'!K15+'Tab. 6G - Roln i ochrona środ.'!K14+'Tab.6I - Planow. przestrz.'!K14</f>
        <v>666312</v>
      </c>
      <c r="I19" s="895">
        <f>+'Tab. 6B Polit społ i rozwój prz'!L13+'Tab. 6A -Drogi'!L14+'Tab. 6E - Administracja'!L15+'Tab. 6G - Roln i ochrona środ.'!L14+'Tab.6I - Planow. przestrz.'!L14</f>
        <v>640586</v>
      </c>
      <c r="J19" s="1547">
        <f t="shared" si="6"/>
        <v>19578593</v>
      </c>
      <c r="K19" s="1659">
        <f t="shared" ref="K19:K21" si="7">SUM(C19:I19)</f>
        <v>16596470</v>
      </c>
      <c r="L19" s="882">
        <f>SUM(D19:I19)</f>
        <v>14543474</v>
      </c>
      <c r="M19" s="2291"/>
      <c r="N19" s="398">
        <f t="shared" si="2"/>
        <v>19578593</v>
      </c>
      <c r="O19" s="399">
        <f t="shared" si="3"/>
        <v>0</v>
      </c>
    </row>
    <row r="20" spans="1:15" s="400" customFormat="1" ht="15.75" customHeight="1">
      <c r="A20" s="401" t="s">
        <v>15</v>
      </c>
      <c r="B20" s="236">
        <f>+'Tab. 6A -Drogi'!E15+'Tab. 6H - Kultura fiz. i turyst'!E14</f>
        <v>9480325</v>
      </c>
      <c r="C20" s="895">
        <f>+'Tab. 6A -Drogi'!F15+'Tab. 6H - Kultura fiz. i turyst'!F14</f>
        <v>2133567</v>
      </c>
      <c r="D20" s="895">
        <f>+'Tab. 6A -Drogi'!G15+'Tab. 6H - Kultura fiz. i turyst'!G14</f>
        <v>6828572</v>
      </c>
      <c r="E20" s="895">
        <f>+'Tab. 6A -Drogi'!H15+'Tab. 6H - Kultura fiz. i turyst'!H14</f>
        <v>4157433</v>
      </c>
      <c r="F20" s="1333">
        <f>+'Tab. 6A -Drogi'!I15+'Tab. 6H - Kultura fiz. i turyst'!I14</f>
        <v>0</v>
      </c>
      <c r="G20" s="1333">
        <f>+'Tab. 6A -Drogi'!J15+'Tab. 6H - Kultura fiz. i turyst'!J14</f>
        <v>0</v>
      </c>
      <c r="H20" s="1333">
        <f>+'Tab. 6A -Drogi'!K15+'Tab. 6H - Kultura fiz. i turyst'!K14</f>
        <v>0</v>
      </c>
      <c r="I20" s="1333">
        <f>+'Tab. 6A -Drogi'!L15+'Tab. 6H - Kultura fiz. i turyst'!L14</f>
        <v>0</v>
      </c>
      <c r="J20" s="1547">
        <f t="shared" si="6"/>
        <v>22599897</v>
      </c>
      <c r="K20" s="1659">
        <f t="shared" si="7"/>
        <v>13119572</v>
      </c>
      <c r="L20" s="882">
        <f>SUM(D20:I20)</f>
        <v>10986005</v>
      </c>
      <c r="M20" s="2291"/>
      <c r="N20" s="398">
        <f t="shared" si="2"/>
        <v>22599897</v>
      </c>
      <c r="O20" s="399">
        <f t="shared" si="3"/>
        <v>0</v>
      </c>
    </row>
    <row r="21" spans="1:15" s="400" customFormat="1" ht="15.75" customHeight="1">
      <c r="A21" s="401" t="s">
        <v>16</v>
      </c>
      <c r="B21" s="1333">
        <f>+'Tab. 6A -Drogi'!E16+'Tab. 6G - Roln i ochrona środ.'!E15+'Tab. 6E - Administracja'!E16+'Tab. 6H - Kultura fiz. i turyst'!E13</f>
        <v>0</v>
      </c>
      <c r="C21" s="897">
        <f>+'Tab. 6A -Drogi'!F16+'Tab. 6G - Roln i ochrona środ.'!F15+'Tab. 6E - Administracja'!F16+'Tab. 6H - Kultura fiz. i turyst'!F13</f>
        <v>0</v>
      </c>
      <c r="D21" s="897">
        <f>+'Tab. 6A -Drogi'!G16+'Tab. 6G - Roln i ochrona środ.'!G15+'Tab. 6E - Administracja'!G16+'Tab. 6H - Kultura fiz. i turyst'!G13</f>
        <v>320000</v>
      </c>
      <c r="E21" s="1333">
        <f>+'Tab. 6A -Drogi'!H16+'Tab. 6G - Roln i ochrona środ.'!H15+'Tab. 6E - Administracja'!H16+'Tab. 6H - Kultura fiz. i turyst'!H13</f>
        <v>0</v>
      </c>
      <c r="F21" s="1333">
        <f>+'Tab. 6A -Drogi'!I16+'Tab. 6G - Roln i ochrona środ.'!I15+'Tab. 6E - Administracja'!I16+'Tab. 6H - Kultura fiz. i turyst'!I13</f>
        <v>0</v>
      </c>
      <c r="G21" s="1333">
        <f>+'Tab. 6A -Drogi'!J16+'Tab. 6G - Roln i ochrona środ.'!J15+'Tab. 6E - Administracja'!J16+'Tab. 6H - Kultura fiz. i turyst'!J13</f>
        <v>0</v>
      </c>
      <c r="H21" s="1333">
        <f>+'Tab. 6A -Drogi'!K16+'Tab. 6G - Roln i ochrona środ.'!K15+'Tab. 6E - Administracja'!K16+'Tab. 6H - Kultura fiz. i turyst'!K13</f>
        <v>0</v>
      </c>
      <c r="I21" s="1333">
        <f>+'Tab. 6A -Drogi'!L16+'Tab. 6G - Roln i ochrona środ.'!L15+'Tab. 6E - Administracja'!L16+'Tab. 6H - Kultura fiz. i turyst'!L13</f>
        <v>0</v>
      </c>
      <c r="J21" s="1547">
        <f t="shared" si="6"/>
        <v>320000</v>
      </c>
      <c r="K21" s="1659">
        <f t="shared" si="7"/>
        <v>320000</v>
      </c>
      <c r="L21" s="882">
        <f>SUM(D21:I21)</f>
        <v>320000</v>
      </c>
      <c r="M21" s="2291"/>
      <c r="N21" s="398">
        <f t="shared" si="2"/>
        <v>320000</v>
      </c>
      <c r="O21" s="399">
        <f t="shared" si="3"/>
        <v>0</v>
      </c>
    </row>
    <row r="22" spans="1:15" s="400" customFormat="1" ht="15.75" customHeight="1">
      <c r="A22" s="401" t="s">
        <v>17</v>
      </c>
      <c r="B22" s="1333">
        <f>+'Tab. 6A -Drogi'!E17</f>
        <v>0</v>
      </c>
      <c r="C22" s="2667">
        <f>+'Tab. 6A -Drogi'!F17</f>
        <v>0</v>
      </c>
      <c r="D22" s="897">
        <f>+'Tab. 6A -Drogi'!G17+'Tab. 6C - Ochrona zdrowia'!G13+'Tab.6I - Planow. przestrz.'!G15</f>
        <v>12869758</v>
      </c>
      <c r="E22" s="897">
        <f>+'Tab. 6A -Drogi'!H17+'Tab. 6C - Ochrona zdrowia'!H13+'Tab.6I - Planow. przestrz.'!H15</f>
        <v>3189386</v>
      </c>
      <c r="F22" s="897">
        <f>+'Tab. 6A -Drogi'!I17+'Tab. 6C - Ochrona zdrowia'!I13+'Tab.6I - Planow. przestrz.'!I15</f>
        <v>4581649</v>
      </c>
      <c r="G22" s="897">
        <f>+'Tab. 6A -Drogi'!J17+'Tab. 6C - Ochrona zdrowia'!J13+'Tab.6I - Planow. przestrz.'!J15</f>
        <v>886081</v>
      </c>
      <c r="H22" s="897">
        <f>+'Tab. 6A -Drogi'!K17+'Tab. 6C - Ochrona zdrowia'!K13+'Tab.6I - Planow. przestrz.'!K15</f>
        <v>0</v>
      </c>
      <c r="I22" s="897">
        <f>+'Tab. 6A -Drogi'!L17+'Tab. 6C - Ochrona zdrowia'!L13+'Tab.6I - Planow. przestrz.'!L15</f>
        <v>0</v>
      </c>
      <c r="J22" s="1547">
        <f t="shared" si="6"/>
        <v>21526874</v>
      </c>
      <c r="K22" s="2668">
        <f t="shared" ref="K22:L22" si="8">SUM(C22:H22)</f>
        <v>21526874</v>
      </c>
      <c r="L22" s="2669">
        <f t="shared" si="8"/>
        <v>21526874</v>
      </c>
      <c r="M22" s="2291"/>
      <c r="N22" s="398">
        <f t="shared" si="2"/>
        <v>21526874</v>
      </c>
      <c r="O22" s="399">
        <f t="shared" si="3"/>
        <v>0</v>
      </c>
    </row>
    <row r="23" spans="1:15" s="400" customFormat="1" ht="15.75" customHeight="1">
      <c r="A23" s="401" t="s">
        <v>31</v>
      </c>
      <c r="B23" s="898">
        <f>'Tab. 6E - Administracja'!E17+'Tab. 6B Polit społ i rozwój prz'!E14</f>
        <v>391116</v>
      </c>
      <c r="C23" s="898">
        <f>'Tab. 6E - Administracja'!F17+'Tab. 6B Polit społ i rozwój prz'!F14</f>
        <v>389879</v>
      </c>
      <c r="D23" s="898">
        <f>'Tab. 6E - Administracja'!G17+'Tab. 6B Polit społ i rozwój prz'!G14+'Tab. 6C - Ochrona zdrowia'!G12</f>
        <v>787826</v>
      </c>
      <c r="E23" s="898">
        <f>'Tab. 6E - Administracja'!H17+'Tab. 6B Polit społ i rozwój prz'!H14+'Tab. 6C - Ochrona zdrowia'!H12</f>
        <v>1114996</v>
      </c>
      <c r="F23" s="898">
        <f>'Tab. 6E - Administracja'!I17+'Tab. 6B Polit społ i rozwój prz'!I14+'Tab. 6C - Ochrona zdrowia'!I12</f>
        <v>335474</v>
      </c>
      <c r="G23" s="898">
        <f>'Tab. 6E - Administracja'!J17+'Tab. 6B Polit społ i rozwój prz'!J14+'Tab. 6C - Ochrona zdrowia'!J12</f>
        <v>64019</v>
      </c>
      <c r="H23" s="898">
        <f>'Tab. 6E - Administracja'!K17+'Tab. 6B Polit społ i rozwój prz'!K14+'Tab. 6C - Ochrona zdrowia'!K12</f>
        <v>64018</v>
      </c>
      <c r="I23" s="898">
        <f>'Tab. 6E - Administracja'!L17+'Tab. 6B Polit społ i rozwój prz'!L14+'Tab. 6C - Ochrona zdrowia'!L12</f>
        <v>64018</v>
      </c>
      <c r="J23" s="1547">
        <f t="shared" si="6"/>
        <v>3211346</v>
      </c>
      <c r="K23" s="1660" t="s">
        <v>53</v>
      </c>
      <c r="L23" s="1327" t="s">
        <v>53</v>
      </c>
      <c r="M23" s="2291"/>
      <c r="N23" s="398">
        <f t="shared" si="2"/>
        <v>3211346</v>
      </c>
      <c r="O23" s="399">
        <f t="shared" si="3"/>
        <v>0</v>
      </c>
    </row>
    <row r="24" spans="1:15" s="400" customFormat="1" ht="17.25" customHeight="1">
      <c r="A24" s="394" t="s">
        <v>18</v>
      </c>
      <c r="B24" s="395">
        <f t="shared" ref="B24:L24" si="9">SUM(B25:B26)</f>
        <v>69488879</v>
      </c>
      <c r="C24" s="395">
        <f t="shared" si="9"/>
        <v>227296285</v>
      </c>
      <c r="D24" s="395">
        <f t="shared" si="9"/>
        <v>365040290</v>
      </c>
      <c r="E24" s="395">
        <f t="shared" si="9"/>
        <v>289117658</v>
      </c>
      <c r="F24" s="395">
        <f t="shared" si="9"/>
        <v>267695279</v>
      </c>
      <c r="G24" s="395">
        <f t="shared" si="9"/>
        <v>100738640</v>
      </c>
      <c r="H24" s="395">
        <f t="shared" si="9"/>
        <v>33738688</v>
      </c>
      <c r="I24" s="395">
        <f t="shared" si="9"/>
        <v>30955963</v>
      </c>
      <c r="J24" s="1548">
        <f t="shared" si="9"/>
        <v>1384071682</v>
      </c>
      <c r="K24" s="1661">
        <f t="shared" si="9"/>
        <v>1314582803</v>
      </c>
      <c r="L24" s="1556">
        <f t="shared" si="9"/>
        <v>1087286518</v>
      </c>
      <c r="M24" s="2291"/>
      <c r="N24" s="398">
        <f t="shared" si="2"/>
        <v>1384071682</v>
      </c>
      <c r="O24" s="399">
        <f t="shared" si="3"/>
        <v>0</v>
      </c>
    </row>
    <row r="25" spans="1:15" s="400" customFormat="1" ht="14.25" customHeight="1">
      <c r="A25" s="401" t="s">
        <v>19</v>
      </c>
      <c r="B25" s="895">
        <f>+'Tab. 6D - Oświata'!E19+'Tab. 6A -Drogi'!E19+'Tab. 6G - Roln i ochrona środ.'!E20+'Tab.6I - Planow. przestrz.'!E18+'Tab. 6B Polit społ i rozwój prz'!E16</f>
        <v>729416</v>
      </c>
      <c r="C25" s="895">
        <f>+'Tab. 6D - Oświata'!F19+'Tab. 6A -Drogi'!F19+'Tab. 6G - Roln i ochrona środ.'!F20+'Tab.6I - Planow. przestrz.'!F18+'Tab. 6B Polit społ i rozwój prz'!F16</f>
        <v>872316</v>
      </c>
      <c r="D25" s="895">
        <f>+'Tab. 6D - Oświata'!G19+'Tab. 6A -Drogi'!G19+'Tab. 6G - Roln i ochrona środ.'!G20+'Tab.6I - Planow. przestrz.'!G18+'Tab. 6B Polit społ i rozwój prz'!G16</f>
        <v>966412</v>
      </c>
      <c r="E25" s="895">
        <f>+'Tab. 6D - Oświata'!H19+'Tab. 6A -Drogi'!H19+'Tab. 6G - Roln i ochrona środ.'!H20+'Tab.6I - Planow. przestrz.'!H18+'Tab. 6B Polit społ i rozwój prz'!H16</f>
        <v>13577874</v>
      </c>
      <c r="F25" s="895">
        <f>+'Tab. 6D - Oświata'!I19+'Tab. 6A -Drogi'!I19+'Tab. 6G - Roln i ochrona środ.'!I20+'Tab.6I - Planow. przestrz.'!I18+'Tab. 6B Polit społ i rozwój prz'!I16</f>
        <v>25984348</v>
      </c>
      <c r="G25" s="895">
        <f>+'Tab. 6D - Oświata'!J19+'Tab. 6A -Drogi'!J19+'Tab. 6G - Roln i ochrona środ.'!J20+'Tab.6I - Planow. przestrz.'!J18+'Tab. 6B Polit społ i rozwój prz'!J16</f>
        <v>5606076</v>
      </c>
      <c r="H25" s="895">
        <f>+'Tab. 6D - Oświata'!K19+'Tab. 6A -Drogi'!K19+'Tab. 6G - Roln i ochrona środ.'!K20+'Tab.6I - Planow. przestrz.'!K18+'Tab. 6B Polit społ i rozwój prz'!K16</f>
        <v>0</v>
      </c>
      <c r="I25" s="895">
        <f>+'Tab. 6D - Oświata'!L19+'Tab. 6A -Drogi'!L19+'Tab. 6G - Roln i ochrona środ.'!L20+'Tab.6I - Planow. przestrz.'!L18+'Tab. 6B Polit społ i rozwój prz'!L16</f>
        <v>0</v>
      </c>
      <c r="J25" s="1547">
        <f>B25+C25+D25+E25+F25+G25+H25+I25</f>
        <v>47736442</v>
      </c>
      <c r="K25" s="1659">
        <f t="shared" ref="K25:K26" si="10">SUM(C25:I25)</f>
        <v>47007026</v>
      </c>
      <c r="L25" s="882">
        <f>SUM(D25:I25)</f>
        <v>46134710</v>
      </c>
      <c r="M25" s="2291"/>
      <c r="N25" s="398">
        <f t="shared" si="2"/>
        <v>47736442</v>
      </c>
      <c r="O25" s="399">
        <f t="shared" si="3"/>
        <v>0</v>
      </c>
    </row>
    <row r="26" spans="1:15" s="400" customFormat="1" ht="14.25" customHeight="1">
      <c r="A26" s="401" t="s">
        <v>20</v>
      </c>
      <c r="B26" s="236">
        <f>+'Tab. 6B Polit społ i rozwój prz'!E17+'Tab. 6A -Drogi'!E20+'Tab. 6E - Administracja'!E19+'Tab. 6G - Roln i ochrona środ.'!E18+'Tab. 6H - Kultura fiz. i turyst'!E16+'Tab.6I - Planow. przestrz.'!E17</f>
        <v>68759463</v>
      </c>
      <c r="C26" s="236">
        <f>+'Tab. 6B Polit społ i rozwój prz'!F17+'Tab. 6A -Drogi'!F20+'Tab. 6E - Administracja'!F19+'Tab. 6G - Roln i ochrona środ.'!F18+'Tab. 6H - Kultura fiz. i turyst'!F16+'Tab.6I - Planow. przestrz.'!F17</f>
        <v>226423969</v>
      </c>
      <c r="D26" s="236">
        <f>+'Tab. 6B Polit społ i rozwój prz'!G17+'Tab. 6A -Drogi'!G20+'Tab. 6E - Administracja'!G19+'Tab. 6G - Roln i ochrona środ.'!G18+'Tab. 6H - Kultura fiz. i turyst'!G16+'Tab.6I - Planow. przestrz.'!G17+'Tab. 6D - Oświata'!G18+'Tab. 6C - Ochrona zdrowia'!G15</f>
        <v>364073878</v>
      </c>
      <c r="E26" s="236">
        <f>+'Tab. 6B Polit społ i rozwój prz'!H17+'Tab. 6A -Drogi'!H20+'Tab. 6E - Administracja'!H19+'Tab. 6G - Roln i ochrona środ.'!H18+'Tab. 6H - Kultura fiz. i turyst'!H16+'Tab.6I - Planow. przestrz.'!H17+'Tab. 6D - Oświata'!H18+'Tab. 6C - Ochrona zdrowia'!H15</f>
        <v>275539784</v>
      </c>
      <c r="F26" s="236">
        <f>+'Tab. 6B Polit społ i rozwój prz'!I17+'Tab. 6A -Drogi'!I20+'Tab. 6E - Administracja'!I19+'Tab. 6G - Roln i ochrona środ.'!I18+'Tab. 6H - Kultura fiz. i turyst'!I16+'Tab.6I - Planow. przestrz.'!I17+'Tab. 6D - Oświata'!I18+'Tab. 6C - Ochrona zdrowia'!I15</f>
        <v>241710931</v>
      </c>
      <c r="G26" s="236">
        <f>+'Tab. 6B Polit społ i rozwój prz'!J17+'Tab. 6A -Drogi'!J20+'Tab. 6E - Administracja'!J19+'Tab. 6G - Roln i ochrona środ.'!J18+'Tab. 6H - Kultura fiz. i turyst'!J16+'Tab.6I - Planow. przestrz.'!J17+'Tab. 6D - Oświata'!J18+'Tab. 6C - Ochrona zdrowia'!J15</f>
        <v>95132564</v>
      </c>
      <c r="H26" s="236">
        <f>+'Tab. 6B Polit społ i rozwój prz'!K17+'Tab. 6A -Drogi'!K20+'Tab. 6E - Administracja'!K19+'Tab. 6G - Roln i ochrona środ.'!K18+'Tab. 6H - Kultura fiz. i turyst'!K16+'Tab.6I - Planow. przestrz.'!K17+'Tab. 6D - Oświata'!K18+'Tab. 6C - Ochrona zdrowia'!K15</f>
        <v>33738688</v>
      </c>
      <c r="I26" s="236">
        <f>+'Tab. 6B Polit społ i rozwój prz'!L17+'Tab. 6A -Drogi'!L20+'Tab. 6E - Administracja'!L19+'Tab. 6G - Roln i ochrona środ.'!L18+'Tab. 6H - Kultura fiz. i turyst'!L16+'Tab.6I - Planow. przestrz.'!L17+'Tab. 6D - Oświata'!L18+'Tab. 6C - Ochrona zdrowia'!L15</f>
        <v>30955963</v>
      </c>
      <c r="J26" s="1547">
        <f>B26+C26+D26+E26+F26+G26+H26+I26</f>
        <v>1336335240</v>
      </c>
      <c r="K26" s="1659">
        <f t="shared" si="10"/>
        <v>1267575777</v>
      </c>
      <c r="L26" s="882">
        <f>SUM(D26:I26)</f>
        <v>1041151808</v>
      </c>
      <c r="M26" s="2291"/>
      <c r="N26" s="398">
        <f t="shared" si="2"/>
        <v>1336335240</v>
      </c>
      <c r="O26" s="878">
        <f t="shared" si="3"/>
        <v>0</v>
      </c>
    </row>
    <row r="27" spans="1:15" s="899" customFormat="1" ht="15.75" customHeight="1">
      <c r="A27" s="1203" t="s">
        <v>21</v>
      </c>
      <c r="B27" s="1204">
        <f t="shared" ref="B27:J27" si="11">+B28+B33</f>
        <v>69281470</v>
      </c>
      <c r="C27" s="1204">
        <f t="shared" si="11"/>
        <v>220861716</v>
      </c>
      <c r="D27" s="1204">
        <f t="shared" si="11"/>
        <v>393995959</v>
      </c>
      <c r="E27" s="1204">
        <f t="shared" si="11"/>
        <v>293835141</v>
      </c>
      <c r="F27" s="1204">
        <f t="shared" si="11"/>
        <v>259975251</v>
      </c>
      <c r="G27" s="1204">
        <f t="shared" si="11"/>
        <v>129723318</v>
      </c>
      <c r="H27" s="1204">
        <f t="shared" si="11"/>
        <v>34962740</v>
      </c>
      <c r="I27" s="1204">
        <f t="shared" si="11"/>
        <v>31994737</v>
      </c>
      <c r="J27" s="1549">
        <f t="shared" si="11"/>
        <v>1448097046</v>
      </c>
      <c r="K27" s="3298" t="s">
        <v>22</v>
      </c>
      <c r="L27" s="3303" t="s">
        <v>22</v>
      </c>
      <c r="M27" s="2291"/>
    </row>
    <row r="28" spans="1:15" s="400" customFormat="1" ht="17.25" customHeight="1">
      <c r="A28" s="394" t="s">
        <v>23</v>
      </c>
      <c r="B28" s="1205">
        <f t="shared" ref="B28:J28" si="12">SUM(B29:B32)</f>
        <v>12426672</v>
      </c>
      <c r="C28" s="1205">
        <f t="shared" si="12"/>
        <v>3775316</v>
      </c>
      <c r="D28" s="1205">
        <f t="shared" si="12"/>
        <v>24114391</v>
      </c>
      <c r="E28" s="1205">
        <f t="shared" si="12"/>
        <v>11948050</v>
      </c>
      <c r="F28" s="1205">
        <f t="shared" si="12"/>
        <v>8458280</v>
      </c>
      <c r="G28" s="1205">
        <f t="shared" si="12"/>
        <v>1995757</v>
      </c>
      <c r="H28" s="1205">
        <f t="shared" si="12"/>
        <v>666312</v>
      </c>
      <c r="I28" s="1205">
        <f t="shared" si="12"/>
        <v>640586</v>
      </c>
      <c r="J28" s="1550">
        <f t="shared" si="12"/>
        <v>64025364</v>
      </c>
      <c r="K28" s="3299"/>
      <c r="L28" s="3304"/>
      <c r="M28" s="397" t="s">
        <v>232</v>
      </c>
    </row>
    <row r="29" spans="1:15" s="400" customFormat="1" ht="14.25" customHeight="1">
      <c r="A29" s="1167" t="s">
        <v>13</v>
      </c>
      <c r="B29" s="761">
        <f>+'Tab. 6B Polit społ i rozwój prz'!E20+'Tab. 6A -Drogi'!E24+'Tab. 6E - Administracja'!E22+'Tab. 6G - Roln i ochrona środ.'!E23</f>
        <v>2951841</v>
      </c>
      <c r="C29" s="761">
        <f>+'Tab. 6B Polit społ i rozwój prz'!F20+'Tab. 6A -Drogi'!F24+'Tab. 6E - Administracja'!F22+'Tab. 6G - Roln i ochrona środ.'!F23+'Tab.6I - Planow. przestrz.'!F21</f>
        <v>2035549</v>
      </c>
      <c r="D29" s="761">
        <f>+'Tab. 6B Polit społ i rozwój prz'!G20+'Tab. 6A -Drogi'!G24+'Tab. 6E - Administracja'!G22+'Tab. 6G - Roln i ochrona środ.'!G23+'Tab.6I - Planow. przestrz.'!G21+'Tab. 6D - Oświata'!G22</f>
        <v>3696767</v>
      </c>
      <c r="E29" s="761">
        <f>+'Tab. 6B Polit społ i rozwój prz'!H20+'Tab. 6A -Drogi'!H24+'Tab. 6E - Administracja'!H22+'Tab. 6G - Roln i ochrona środ.'!H23+'Tab.6I - Planow. przestrz.'!H21+'Tab. 6D - Oświata'!H22</f>
        <v>4601231</v>
      </c>
      <c r="F29" s="761">
        <f>+'Tab. 6B Polit społ i rozwój prz'!I20+'Tab. 6A -Drogi'!I24+'Tab. 6E - Administracja'!I22+'Tab. 6G - Roln i ochrona środ.'!I23+'Tab.6I - Planow. przestrz.'!I21</f>
        <v>3876631</v>
      </c>
      <c r="G29" s="761">
        <f>+'Tab. 6B Polit społ i rozwój prz'!J20+'Tab. 6A -Drogi'!J24+'Tab. 6E - Administracja'!J22+'Tab. 6G - Roln i ochrona środ.'!J23+'Tab.6I - Planow. przestrz.'!J21</f>
        <v>1109676</v>
      </c>
      <c r="H29" s="761">
        <f>+'Tab. 6B Polit społ i rozwój prz'!K20+'Tab. 6A -Drogi'!K24+'Tab. 6E - Administracja'!K22+'Tab. 6G - Roln i ochrona środ.'!K23+'Tab.6I - Planow. przestrz.'!K21</f>
        <v>666312</v>
      </c>
      <c r="I29" s="761">
        <f>+'Tab. 6B Polit społ i rozwój prz'!L20+'Tab. 6A -Drogi'!L24+'Tab. 6E - Administracja'!L22+'Tab. 6G - Roln i ochrona środ.'!L23+'Tab.6I - Planow. przestrz.'!L21</f>
        <v>640586</v>
      </c>
      <c r="J29" s="1547">
        <f t="shared" ref="J29:J32" si="13">B29+C29+D29+E29+F29+G29+H29+I29</f>
        <v>19578593</v>
      </c>
      <c r="K29" s="3299"/>
      <c r="L29" s="3304"/>
      <c r="M29" s="397">
        <f>J19-J29</f>
        <v>0</v>
      </c>
    </row>
    <row r="30" spans="1:15" s="400" customFormat="1" ht="14.25" customHeight="1">
      <c r="A30" s="1167" t="s">
        <v>15</v>
      </c>
      <c r="B30" s="895">
        <f>+'Tab. 6A -Drogi'!E25+'Tab. 6H - Kultura fiz. i turyst'!E21</f>
        <v>9474831</v>
      </c>
      <c r="C30" s="895">
        <f>+'Tab. 6A -Drogi'!F25+'Tab. 6H - Kultura fiz. i turyst'!F21</f>
        <v>1739767</v>
      </c>
      <c r="D30" s="895">
        <f>+'Tab. 6A -Drogi'!G25+'Tab. 6H - Kultura fiz. i turyst'!G21</f>
        <v>7227866</v>
      </c>
      <c r="E30" s="895">
        <f>+'Tab. 6A -Drogi'!H25+'Tab. 6H - Kultura fiz. i turyst'!H21</f>
        <v>4157433</v>
      </c>
      <c r="F30" s="1334">
        <f>+'Tab. 6A -Drogi'!I25+'Tab. 6H - Kultura fiz. i turyst'!I21</f>
        <v>0</v>
      </c>
      <c r="G30" s="1334">
        <f>+'Tab. 6A -Drogi'!J25+'Tab. 6H - Kultura fiz. i turyst'!J21</f>
        <v>0</v>
      </c>
      <c r="H30" s="1334">
        <f>+'Tab. 6A -Drogi'!K25+'Tab. 6H - Kultura fiz. i turyst'!K21</f>
        <v>0</v>
      </c>
      <c r="I30" s="1334">
        <f>+'Tab. 6A -Drogi'!L25+'Tab. 6G - Roln i ochrona środ.'!L24+'Tab. 6E - Administracja'!L22+'Tab. 6H - Kultura fiz. i turyst'!L19</f>
        <v>0</v>
      </c>
      <c r="J30" s="1547">
        <f t="shared" si="13"/>
        <v>22599897</v>
      </c>
      <c r="K30" s="3299"/>
      <c r="L30" s="3304"/>
      <c r="M30" s="397">
        <f>J30-J20</f>
        <v>0</v>
      </c>
      <c r="N30" s="901"/>
    </row>
    <row r="31" spans="1:15" s="400" customFormat="1">
      <c r="A31" s="1167" t="s">
        <v>16</v>
      </c>
      <c r="B31" s="1334">
        <f>+'Tab. 6A -Drogi'!E26+'Tab. 6G - Roln i ochrona środ.'!E25+'Tab. 6E - Administracja'!E23+'Tab. 6H - Kultura fiz. i turyst'!E20</f>
        <v>0</v>
      </c>
      <c r="C31" s="1206">
        <f>+'Tab. 6A -Drogi'!F26+'Tab. 6G - Roln i ochrona środ.'!F25+'Tab. 6E - Administracja'!F23+'Tab. 6H - Kultura fiz. i turyst'!F20</f>
        <v>0</v>
      </c>
      <c r="D31" s="1206">
        <f>+'Tab. 6A -Drogi'!G26+'Tab. 6G - Roln i ochrona środ.'!G25+'Tab. 6E - Administracja'!G23+'Tab. 6H - Kultura fiz. i turyst'!G20</f>
        <v>320000</v>
      </c>
      <c r="E31" s="1334">
        <f>+'Tab. 6A -Drogi'!H26+'Tab. 6G - Roln i ochrona środ.'!H25+'Tab. 6E - Administracja'!H23+'Tab. 6H - Kultura fiz. i turyst'!H20</f>
        <v>0</v>
      </c>
      <c r="F31" s="1334">
        <f>+'Tab. 6A -Drogi'!I26+'Tab. 6G - Roln i ochrona środ.'!I25+'Tab. 6E - Administracja'!I23+'Tab. 6H - Kultura fiz. i turyst'!I20</f>
        <v>0</v>
      </c>
      <c r="G31" s="1334">
        <f>+'Tab. 6A -Drogi'!J26+'Tab. 6G - Roln i ochrona środ.'!J25+'Tab. 6E - Administracja'!J23+'Tab. 6H - Kultura fiz. i turyst'!J20</f>
        <v>0</v>
      </c>
      <c r="H31" s="1334">
        <f>+'Tab. 6A -Drogi'!K26+'Tab. 6G - Roln i ochrona środ.'!K25+'Tab. 6E - Administracja'!K23+'Tab. 6H - Kultura fiz. i turyst'!K20</f>
        <v>0</v>
      </c>
      <c r="I31" s="1334">
        <f>+'Tab. 6A -Drogi'!L26+'Tab. 6G - Roln i ochrona środ.'!L25+'Tab. 6E - Administracja'!L23+'Tab. 6H - Kultura fiz. i turyst'!L20</f>
        <v>0</v>
      </c>
      <c r="J31" s="1547">
        <f t="shared" si="13"/>
        <v>320000</v>
      </c>
      <c r="K31" s="3299"/>
      <c r="L31" s="3304"/>
      <c r="M31" s="397">
        <f>J31-J21</f>
        <v>0</v>
      </c>
    </row>
    <row r="32" spans="1:15" s="400" customFormat="1" ht="15" customHeight="1">
      <c r="A32" s="1167" t="s">
        <v>17</v>
      </c>
      <c r="B32" s="896">
        <f>+'Tab. 6A -Drogi'!E27</f>
        <v>0</v>
      </c>
      <c r="C32" s="896">
        <f>+'Tab. 6A -Drogi'!F27</f>
        <v>0</v>
      </c>
      <c r="D32" s="897">
        <f>+'Tab. 6A -Drogi'!G27+'Tab. 6C - Ochrona zdrowia'!G18+'Tab.6I - Planow. przestrz.'!G22</f>
        <v>12869758</v>
      </c>
      <c r="E32" s="897">
        <f>+'Tab. 6A -Drogi'!H27+'Tab. 6C - Ochrona zdrowia'!H18+'Tab.6I - Planow. przestrz.'!H22</f>
        <v>3189386</v>
      </c>
      <c r="F32" s="897">
        <f>+'Tab. 6A -Drogi'!I27+'Tab. 6C - Ochrona zdrowia'!I18+'Tab.6I - Planow. przestrz.'!I22</f>
        <v>4581649</v>
      </c>
      <c r="G32" s="897">
        <f>+'Tab. 6A -Drogi'!J27+'Tab. 6C - Ochrona zdrowia'!J18+'Tab.6I - Planow. przestrz.'!J22</f>
        <v>886081</v>
      </c>
      <c r="H32" s="897">
        <f>+'Tab. 6A -Drogi'!K27+'Tab. 6C - Ochrona zdrowia'!K18+'Tab.6I - Planow. przestrz.'!K22</f>
        <v>0</v>
      </c>
      <c r="I32" s="897">
        <f>+'Tab. 6A -Drogi'!L27+'Tab. 6C - Ochrona zdrowia'!L18+'Tab.6I - Planow. przestrz.'!L22</f>
        <v>0</v>
      </c>
      <c r="J32" s="1547">
        <f t="shared" si="13"/>
        <v>21526874</v>
      </c>
      <c r="K32" s="3299"/>
      <c r="L32" s="3304"/>
      <c r="M32" s="397">
        <f>J32-J22</f>
        <v>0</v>
      </c>
    </row>
    <row r="33" spans="1:15" s="400" customFormat="1" ht="16.5" customHeight="1">
      <c r="A33" s="394" t="s">
        <v>18</v>
      </c>
      <c r="B33" s="1207">
        <f t="shared" ref="B33:J33" si="14">SUM(B34:B35)</f>
        <v>56854798</v>
      </c>
      <c r="C33" s="1207">
        <f t="shared" si="14"/>
        <v>217086400</v>
      </c>
      <c r="D33" s="1207">
        <f t="shared" si="14"/>
        <v>369881568</v>
      </c>
      <c r="E33" s="1207">
        <f t="shared" si="14"/>
        <v>281887091</v>
      </c>
      <c r="F33" s="1207">
        <f t="shared" si="14"/>
        <v>251516971</v>
      </c>
      <c r="G33" s="1207">
        <f t="shared" si="14"/>
        <v>127727561</v>
      </c>
      <c r="H33" s="1207">
        <f t="shared" si="14"/>
        <v>34296428</v>
      </c>
      <c r="I33" s="1207">
        <f t="shared" si="14"/>
        <v>31354151</v>
      </c>
      <c r="J33" s="1550">
        <f t="shared" si="14"/>
        <v>1384071682</v>
      </c>
      <c r="K33" s="3299"/>
      <c r="L33" s="3304"/>
      <c r="M33" s="397"/>
    </row>
    <row r="34" spans="1:15" s="400" customFormat="1" ht="14.25" customHeight="1">
      <c r="A34" s="1167" t="s">
        <v>19</v>
      </c>
      <c r="B34" s="1208">
        <f>+'Tab. 6A -Drogi'!E31+'Tab. 6G - Roln i ochrona środ.'!E31+'Tab. 6D - Oświata'!E25+'Tab.6I - Planow. przestrz.'!E25+'Tab. 6B Polit społ i rozwój prz'!E22</f>
        <v>292115</v>
      </c>
      <c r="C34" s="1208">
        <f>+'Tab. 6A -Drogi'!F31+'Tab. 6G - Roln i ochrona środ.'!F31+'Tab. 6D - Oświata'!F25+'Tab.6I - Planow. przestrz.'!F25+'Tab. 6B Polit społ i rozwój prz'!F22</f>
        <v>650534</v>
      </c>
      <c r="D34" s="1208">
        <f>+'Tab. 6A -Drogi'!G31+'Tab. 6G - Roln i ochrona środ.'!G31+'Tab. 6D - Oświata'!G25+'Tab.6I - Planow. przestrz.'!G25+'Tab. 6B Polit społ i rozwój prz'!G22</f>
        <v>980250</v>
      </c>
      <c r="E34" s="1208">
        <f>+'Tab. 6A -Drogi'!H31+'Tab. 6G - Roln i ochrona środ.'!H31+'Tab. 6D - Oświata'!H25+'Tab.6I - Planow. przestrz.'!H25+'Tab. 6B Polit społ i rozwój prz'!H22</f>
        <v>14147910</v>
      </c>
      <c r="F34" s="1208">
        <f>+'Tab. 6A -Drogi'!I31+'Tab. 6G - Roln i ochrona środ.'!I31+'Tab. 6D - Oświata'!I25+'Tab.6I - Planow. przestrz.'!I25+'Tab. 6B Polit społ i rozwój prz'!I22</f>
        <v>25977542</v>
      </c>
      <c r="G34" s="1208">
        <f>+'Tab. 6A -Drogi'!J31+'Tab. 6G - Roln i ochrona środ.'!J31+'Tab. 6D - Oświata'!J25+'Tab.6I - Planow. przestrz.'!J25+'Tab. 6B Polit społ i rozwój prz'!J22</f>
        <v>5688091</v>
      </c>
      <c r="H34" s="1208">
        <f>+'Tab. 6A -Drogi'!K31+'Tab. 6G - Roln i ochrona środ.'!K31+'Tab. 6D - Oświata'!K25+'Tab.6I - Planow. przestrz.'!K25+'Tab. 6B Polit społ i rozwój prz'!K22</f>
        <v>0</v>
      </c>
      <c r="I34" s="1208">
        <f>+'Tab. 6A -Drogi'!L31+'Tab. 6G - Roln i ochrona środ.'!L31+'Tab. 6D - Oświata'!L25+'Tab.6I - Planow. przestrz.'!L25+'Tab. 6B Polit społ i rozwój prz'!L22</f>
        <v>0</v>
      </c>
      <c r="J34" s="1547">
        <f>B34+C34+D34+E34+F34+G34+H34+I34</f>
        <v>47736442</v>
      </c>
      <c r="K34" s="3299"/>
      <c r="L34" s="3304"/>
      <c r="M34" s="397" t="e">
        <f>J34-J25-#REF!</f>
        <v>#REF!</v>
      </c>
      <c r="N34" s="901" t="s">
        <v>459</v>
      </c>
    </row>
    <row r="35" spans="1:15" s="400" customFormat="1" ht="15.75" customHeight="1" thickBot="1">
      <c r="A35" s="921" t="s">
        <v>20</v>
      </c>
      <c r="B35" s="1209">
        <f>+'Tab. 6B Polit społ i rozwój prz'!E23+'Tab. 6A -Drogi'!E32+'Tab. 6E - Administracja'!E25+'Tab. 6G - Roln i ochrona środ.'!E29+'Tab. 6H - Kultura fiz. i turyst'!E23+'Tab.6I - Planow. przestrz.'!E24+'Tab. 6D - Oświata'!E24+'Tab. 6C - Ochrona zdrowia'!E20</f>
        <v>56562683</v>
      </c>
      <c r="C35" s="1209">
        <f>+'Tab. 6B Polit społ i rozwój prz'!F23+'Tab. 6A -Drogi'!F32+'Tab. 6E - Administracja'!F25+'Tab. 6G - Roln i ochrona środ.'!F29+'Tab. 6H - Kultura fiz. i turyst'!F23+'Tab.6I - Planow. przestrz.'!F24+'Tab. 6D - Oświata'!F24+'Tab. 6C - Ochrona zdrowia'!F20</f>
        <v>216435866</v>
      </c>
      <c r="D35" s="1209">
        <f>+'Tab. 6B Polit społ i rozwój prz'!G23+'Tab. 6A -Drogi'!G32+'Tab. 6E - Administracja'!G25+'Tab. 6G - Roln i ochrona środ.'!G29+'Tab. 6H - Kultura fiz. i turyst'!G23+'Tab.6I - Planow. przestrz.'!G24+'Tab. 6D - Oświata'!G24+'Tab. 6C - Ochrona zdrowia'!G20</f>
        <v>368901318</v>
      </c>
      <c r="E35" s="1209">
        <f>+'Tab. 6B Polit społ i rozwój prz'!H23+'Tab. 6A -Drogi'!H32+'Tab. 6E - Administracja'!H25+'Tab. 6G - Roln i ochrona środ.'!H29+'Tab. 6H - Kultura fiz. i turyst'!H23+'Tab.6I - Planow. przestrz.'!H24+'Tab. 6D - Oświata'!H24+'Tab. 6C - Ochrona zdrowia'!H20</f>
        <v>267739181</v>
      </c>
      <c r="F35" s="1209">
        <f>+'Tab. 6B Polit społ i rozwój prz'!I23+'Tab. 6A -Drogi'!I32+'Tab. 6E - Administracja'!I25+'Tab. 6G - Roln i ochrona środ.'!I29+'Tab. 6H - Kultura fiz. i turyst'!I23+'Tab.6I - Planow. przestrz.'!I24+'Tab. 6D - Oświata'!I24+'Tab. 6C - Ochrona zdrowia'!I20</f>
        <v>225539429</v>
      </c>
      <c r="G35" s="1209">
        <f>+'Tab. 6B Polit społ i rozwój prz'!J23+'Tab. 6A -Drogi'!J32+'Tab. 6E - Administracja'!J25+'Tab. 6G - Roln i ochrona środ.'!J29+'Tab. 6H - Kultura fiz. i turyst'!J23+'Tab.6I - Planow. przestrz.'!J24+'Tab. 6D - Oświata'!J24+'Tab. 6C - Ochrona zdrowia'!J20</f>
        <v>122039470</v>
      </c>
      <c r="H35" s="1209">
        <f>+'Tab. 6B Polit społ i rozwój prz'!K23+'Tab. 6A -Drogi'!K32+'Tab. 6E - Administracja'!K25+'Tab. 6G - Roln i ochrona środ.'!K29+'Tab. 6H - Kultura fiz. i turyst'!K23+'Tab.6I - Planow. przestrz.'!K24+'Tab. 6D - Oświata'!K24+'Tab. 6C - Ochrona zdrowia'!K20</f>
        <v>34296428</v>
      </c>
      <c r="I35" s="1209">
        <f>+'Tab. 6B Polit społ i rozwój prz'!L23+'Tab. 6A -Drogi'!L32+'Tab. 6E - Administracja'!L25+'Tab. 6G - Roln i ochrona środ.'!L29+'Tab. 6H - Kultura fiz. i turyst'!L23+'Tab.6I - Planow. przestrz.'!L24+'Tab. 6D - Oświata'!L24+'Tab. 6C - Ochrona zdrowia'!L20</f>
        <v>31354151</v>
      </c>
      <c r="J35" s="1551">
        <f>B35+C35+D35+E35+F35+G35+H35+I35+2029435+2998719+2055406+3812897+2520257+11590+299481-61071-200000</f>
        <v>1336335240</v>
      </c>
      <c r="K35" s="3300"/>
      <c r="L35" s="3305"/>
      <c r="M35" s="397">
        <f>J35-J26</f>
        <v>0</v>
      </c>
      <c r="N35" s="901"/>
    </row>
    <row r="36" spans="1:15" s="400" customFormat="1" ht="21" customHeight="1" thickBot="1">
      <c r="A36" s="885"/>
      <c r="B36" s="886"/>
      <c r="C36" s="886"/>
      <c r="D36" s="886"/>
      <c r="E36" s="886"/>
      <c r="F36" s="886"/>
      <c r="G36" s="886"/>
      <c r="H36" s="886"/>
      <c r="I36" s="886"/>
      <c r="J36" s="886"/>
      <c r="K36" s="904"/>
      <c r="L36" s="904"/>
      <c r="M36" s="397"/>
    </row>
    <row r="37" spans="1:15" s="889" customFormat="1" ht="18.75" customHeight="1" thickBot="1">
      <c r="A37" s="905" t="s">
        <v>26</v>
      </c>
      <c r="B37" s="906">
        <f t="shared" ref="B37:J37" si="15">+B16-B23</f>
        <v>93026756.299999997</v>
      </c>
      <c r="C37" s="906">
        <f t="shared" si="15"/>
        <v>269940314</v>
      </c>
      <c r="D37" s="906">
        <f t="shared" si="15"/>
        <v>438304687</v>
      </c>
      <c r="E37" s="906">
        <f t="shared" si="15"/>
        <v>369326156</v>
      </c>
      <c r="F37" s="906">
        <f t="shared" si="15"/>
        <v>327014229</v>
      </c>
      <c r="G37" s="906">
        <f t="shared" si="15"/>
        <v>127517730</v>
      </c>
      <c r="H37" s="906">
        <f t="shared" si="15"/>
        <v>39006835</v>
      </c>
      <c r="I37" s="906">
        <f t="shared" si="15"/>
        <v>35964179</v>
      </c>
      <c r="J37" s="1552">
        <f t="shared" si="15"/>
        <v>1700100886.3</v>
      </c>
      <c r="K37" s="1557">
        <f>+C37+D37+E37+F37+G37+H37+I37</f>
        <v>1607074130</v>
      </c>
      <c r="L37" s="907">
        <f>+D37+E37+F37+G37+H37+I37</f>
        <v>1337133816</v>
      </c>
      <c r="M37" s="908">
        <f>B37+C37+D37+E37+F37+G37+H37+I37</f>
        <v>1700100886.3</v>
      </c>
      <c r="N37" s="909">
        <f>M37-J37</f>
        <v>0</v>
      </c>
      <c r="O37" s="909"/>
    </row>
    <row r="38" spans="1:15" s="889" customFormat="1" ht="16.5" customHeight="1" thickBot="1">
      <c r="A38" s="905" t="s">
        <v>27</v>
      </c>
      <c r="B38" s="910">
        <f>+B27</f>
        <v>69281470</v>
      </c>
      <c r="C38" s="910">
        <f>+C27</f>
        <v>220861716</v>
      </c>
      <c r="D38" s="910">
        <f>+D27</f>
        <v>393995959</v>
      </c>
      <c r="E38" s="910">
        <f t="shared" ref="E38:I38" si="16">+E27</f>
        <v>293835141</v>
      </c>
      <c r="F38" s="910">
        <f t="shared" si="16"/>
        <v>259975251</v>
      </c>
      <c r="G38" s="910">
        <f t="shared" si="16"/>
        <v>129723318</v>
      </c>
      <c r="H38" s="910">
        <f t="shared" si="16"/>
        <v>34962740</v>
      </c>
      <c r="I38" s="910">
        <f t="shared" si="16"/>
        <v>31994737</v>
      </c>
      <c r="J38" s="1553">
        <f>+J27</f>
        <v>1448097046</v>
      </c>
      <c r="K38" s="1558" t="s">
        <v>22</v>
      </c>
      <c r="L38" s="911" t="s">
        <v>22</v>
      </c>
      <c r="M38" s="908">
        <v>105067692</v>
      </c>
      <c r="N38" s="909" t="s">
        <v>244</v>
      </c>
    </row>
    <row r="39" spans="1:15" s="400" customFormat="1" ht="18.75" hidden="1" customHeight="1">
      <c r="A39" s="912"/>
      <c r="B39" s="886">
        <f>'Tab. 6A -Drogi'!E16+'Tab. 6E - Administracja'!E16+'Tab. 6G - Roln i ochrona środ.'!E15</f>
        <v>0</v>
      </c>
      <c r="C39" s="886"/>
      <c r="D39" s="886"/>
      <c r="E39" s="886"/>
      <c r="F39" s="886"/>
      <c r="G39" s="886"/>
      <c r="H39" s="886"/>
      <c r="I39" s="886"/>
      <c r="J39" s="904"/>
      <c r="K39" s="901"/>
      <c r="L39" s="901"/>
      <c r="M39" s="901">
        <f>M38+M37</f>
        <v>1805168578.3</v>
      </c>
      <c r="N39" s="901">
        <f>J37-M39</f>
        <v>-105067692</v>
      </c>
    </row>
    <row r="40" spans="1:15" s="400" customFormat="1" ht="12.75" hidden="1" customHeight="1">
      <c r="A40" s="886"/>
      <c r="B40" s="886">
        <f>'Tab. 6A -Drogi'!E32+'Tab. 6B Polit społ i rozwój prz'!E23+'Tab. 6E - Administracja'!E25+'Tab. 6H - Kultura fiz. i turyst'!E23+'Tab.6I - Planow. przestrz.'!E24+'Tab. 6G - Roln i ochrona środ.'!E29</f>
        <v>56562683</v>
      </c>
      <c r="C40" s="886">
        <f>'Tab. 6A -Drogi'!F32+'Tab. 6B Polit społ i rozwój prz'!F23+'Tab. 6E - Administracja'!F25+'Tab. 6H - Kultura fiz. i turyst'!F23+'Tab.6I - Planow. przestrz.'!F24+'Tab. 6G - Roln i ochrona środ.'!F29</f>
        <v>216435866</v>
      </c>
      <c r="D40" s="886">
        <f>'Tab. 6A -Drogi'!G32+'Tab. 6B Polit społ i rozwój prz'!G23+'Tab. 6E - Administracja'!G25+'Tab. 6H - Kultura fiz. i turyst'!G23+'Tab.6I - Planow. przestrz.'!G24+'Tab. 6G - Roln i ochrona środ.'!G29</f>
        <v>363622592</v>
      </c>
      <c r="E40" s="886">
        <f>'Tab. 6A -Drogi'!H32+'Tab. 6B Polit społ i rozwój prz'!H23+'Tab. 6E - Administracja'!H25+'Tab. 6H - Kultura fiz. i turyst'!H23+'Tab.6I - Planow. przestrz.'!H24+'Tab. 6G - Roln i ochrona środ.'!H29</f>
        <v>253916687</v>
      </c>
      <c r="F40" s="886">
        <f>'Tab. 6A -Drogi'!I32+'Tab. 6B Polit społ i rozwój prz'!I23+'Tab. 6E - Administracja'!I25+'Tab. 6H - Kultura fiz. i turyst'!I23+'Tab.6I - Planow. przestrz.'!I24+'Tab. 6G - Roln i ochrona środ.'!I29</f>
        <v>212361990</v>
      </c>
      <c r="G40" s="886">
        <f>'Tab. 6A -Drogi'!J32+'Tab. 6B Polit społ i rozwój prz'!J23+'Tab. 6E - Administracja'!J25+'Tab. 6H - Kultura fiz. i turyst'!J23+'Tab.6I - Planow. przestrz.'!J24+'Tab. 6G - Roln i ochrona środ.'!J29</f>
        <v>120113853</v>
      </c>
      <c r="H40" s="886">
        <f>'Tab. 6A -Drogi'!K32+'Tab. 6B Polit społ i rozwój prz'!K23+'Tab. 6E - Administracja'!K25+'Tab. 6H - Kultura fiz. i turyst'!K23+'Tab.6I - Planow. przestrz.'!K24+'Tab. 6G - Roln i ochrona środ.'!K29</f>
        <v>34296428</v>
      </c>
      <c r="I40" s="886">
        <f>'Tab. 6A -Drogi'!L32+'Tab. 6B Polit społ i rozwój prz'!L23+'Tab. 6E - Administracja'!L25+'Tab. 6H - Kultura fiz. i turyst'!L23+'Tab.6I - Planow. przestrz.'!L24+'Tab. 6G - Roln i ochrona środ.'!L29</f>
        <v>31354151</v>
      </c>
      <c r="J40" s="886" t="e">
        <f>B40+#REF!+#REF!+C40+D40+E40+F40+G40+H40+I40</f>
        <v>#REF!</v>
      </c>
      <c r="K40" s="397"/>
      <c r="L40" s="397"/>
      <c r="M40" s="397"/>
    </row>
    <row r="41" spans="1:15" s="400" customFormat="1" hidden="1">
      <c r="A41" s="913"/>
      <c r="B41" s="886">
        <f>B35-B40</f>
        <v>0</v>
      </c>
      <c r="C41" s="886">
        <f t="shared" ref="C41:I41" si="17">C35-C40</f>
        <v>0</v>
      </c>
      <c r="D41" s="886">
        <f t="shared" si="17"/>
        <v>5278726</v>
      </c>
      <c r="E41" s="886">
        <f t="shared" si="17"/>
        <v>13822494</v>
      </c>
      <c r="F41" s="886">
        <f t="shared" si="17"/>
        <v>13177439</v>
      </c>
      <c r="G41" s="886">
        <f t="shared" si="17"/>
        <v>1925617</v>
      </c>
      <c r="H41" s="886">
        <f t="shared" si="17"/>
        <v>0</v>
      </c>
      <c r="I41" s="886">
        <f t="shared" si="17"/>
        <v>0</v>
      </c>
      <c r="J41" s="886"/>
      <c r="K41" s="397"/>
      <c r="L41" s="397"/>
      <c r="M41" s="397"/>
    </row>
    <row r="42" spans="1:15" s="400" customFormat="1">
      <c r="A42" s="912"/>
      <c r="B42" s="886"/>
      <c r="C42" s="886"/>
      <c r="D42" s="886"/>
      <c r="E42" s="886"/>
      <c r="F42" s="886"/>
      <c r="G42" s="886"/>
      <c r="H42" s="886"/>
      <c r="I42" s="886"/>
      <c r="J42" s="904"/>
      <c r="K42" s="397"/>
      <c r="L42" s="397"/>
      <c r="M42" s="397"/>
    </row>
    <row r="43" spans="1:15" ht="31.5" customHeight="1" thickBot="1">
      <c r="A43" s="3288" t="s">
        <v>28</v>
      </c>
      <c r="B43" s="3288"/>
      <c r="C43" s="3288"/>
      <c r="D43" s="3288"/>
      <c r="E43" s="3288"/>
      <c r="F43" s="3288"/>
      <c r="G43" s="3288"/>
      <c r="H43" s="3288"/>
      <c r="I43" s="3288"/>
      <c r="J43" s="3288"/>
      <c r="K43" s="914"/>
      <c r="L43" s="914"/>
    </row>
    <row r="44" spans="1:15" s="856" customFormat="1" ht="34.5" customHeight="1">
      <c r="A44" s="861"/>
      <c r="B44" s="3286" t="s">
        <v>255</v>
      </c>
      <c r="C44" s="3293" t="s">
        <v>574</v>
      </c>
      <c r="D44" s="3289" t="s">
        <v>511</v>
      </c>
      <c r="E44" s="3289"/>
      <c r="F44" s="3289"/>
      <c r="G44" s="3289"/>
      <c r="H44" s="3289"/>
      <c r="I44" s="3290"/>
      <c r="J44" s="3283" t="s">
        <v>3</v>
      </c>
      <c r="K44" s="3301" t="s">
        <v>529</v>
      </c>
      <c r="L44" s="3301" t="s">
        <v>512</v>
      </c>
    </row>
    <row r="45" spans="1:15" ht="19.5" customHeight="1">
      <c r="A45" s="863" t="s">
        <v>4</v>
      </c>
      <c r="B45" s="3287"/>
      <c r="C45" s="3294"/>
      <c r="D45" s="3291"/>
      <c r="E45" s="3291"/>
      <c r="F45" s="3291"/>
      <c r="G45" s="3291"/>
      <c r="H45" s="3291"/>
      <c r="I45" s="3292"/>
      <c r="J45" s="3284"/>
      <c r="K45" s="3302"/>
      <c r="L45" s="3302"/>
    </row>
    <row r="46" spans="1:15" ht="24" customHeight="1" thickBot="1">
      <c r="A46" s="863"/>
      <c r="B46" s="864" t="s">
        <v>496</v>
      </c>
      <c r="C46" s="3295"/>
      <c r="D46" s="865" t="s">
        <v>6</v>
      </c>
      <c r="E46" s="865" t="s">
        <v>202</v>
      </c>
      <c r="F46" s="865" t="s">
        <v>204</v>
      </c>
      <c r="G46" s="865" t="s">
        <v>246</v>
      </c>
      <c r="H46" s="865" t="s">
        <v>247</v>
      </c>
      <c r="I46" s="866" t="s">
        <v>245</v>
      </c>
      <c r="J46" s="3285"/>
      <c r="K46" s="3302"/>
      <c r="L46" s="3302"/>
    </row>
    <row r="47" spans="1:15" ht="13.5" customHeight="1" thickBot="1">
      <c r="A47" s="868">
        <v>1</v>
      </c>
      <c r="B47" s="869">
        <v>2</v>
      </c>
      <c r="C47" s="870">
        <v>3</v>
      </c>
      <c r="D47" s="869">
        <v>4</v>
      </c>
      <c r="E47" s="871">
        <v>5</v>
      </c>
      <c r="F47" s="872">
        <v>6</v>
      </c>
      <c r="G47" s="873">
        <v>7</v>
      </c>
      <c r="H47" s="869">
        <v>8</v>
      </c>
      <c r="I47" s="873">
        <v>9</v>
      </c>
      <c r="J47" s="1541">
        <v>10</v>
      </c>
      <c r="K47" s="874">
        <v>12</v>
      </c>
      <c r="L47" s="874">
        <v>11</v>
      </c>
    </row>
    <row r="48" spans="1:15" ht="18.75" customHeight="1">
      <c r="A48" s="875" t="s">
        <v>7</v>
      </c>
      <c r="B48" s="876">
        <f>+B49+B50</f>
        <v>403555949</v>
      </c>
      <c r="C48" s="876">
        <f t="shared" ref="C48:L48" si="18">+C49+C50</f>
        <v>181271310</v>
      </c>
      <c r="D48" s="876">
        <f t="shared" si="18"/>
        <v>225178729</v>
      </c>
      <c r="E48" s="876">
        <f>+E49+E50</f>
        <v>286643941</v>
      </c>
      <c r="F48" s="876">
        <f>+F49+F50</f>
        <v>228074212</v>
      </c>
      <c r="G48" s="876">
        <f>+G49+G50</f>
        <v>61311387</v>
      </c>
      <c r="H48" s="876">
        <f>+H49+H50</f>
        <v>33173283</v>
      </c>
      <c r="I48" s="876">
        <f>+I49+I50</f>
        <v>10208912</v>
      </c>
      <c r="J48" s="1559">
        <f t="shared" si="18"/>
        <v>1463054048</v>
      </c>
      <c r="K48" s="877">
        <f t="shared" ref="K48" si="19">+K49+K50</f>
        <v>1059498099</v>
      </c>
      <c r="L48" s="877">
        <f t="shared" si="18"/>
        <v>878226789</v>
      </c>
      <c r="M48" s="2291">
        <f>+L52-L48</f>
        <v>0</v>
      </c>
      <c r="N48" s="398">
        <f>+C48+D48+E48+F48+G48+H48+I48+B48+'Tab. 6C - Ochrona zdrowia'!P92+'Tab. 6C - Ochrona zdrowia'!P97</f>
        <v>1463054048</v>
      </c>
      <c r="O48" s="399">
        <f>J48-N48</f>
        <v>0</v>
      </c>
    </row>
    <row r="49" spans="1:15" s="879" customFormat="1" ht="15" customHeight="1">
      <c r="A49" s="880" t="s">
        <v>405</v>
      </c>
      <c r="B49" s="881">
        <f>'Tab. 6A -Drogi'!E527+'Tab. 6C - Ochrona zdrowia'!E52+'Tab. 6D - Oświata'!E101+'Tab. 6E - Administracja'!E239+'Tab. 6F - Kultura'!E8+'Tab. 6G - Roln i ochrona środ.'!E106+'Tab. 6H - Kultura fiz. i turyst'!E270+'Tab.6I - Planow. przestrz.'!E99+'Tab. 6D - Oświata'!E89</f>
        <v>362255011</v>
      </c>
      <c r="C49" s="881">
        <f>'Tab. 6A -Drogi'!F527+'Tab. 6C - Ochrona zdrowia'!F52+'Tab. 6D - Oświata'!F101+'Tab. 6E - Administracja'!F239+'Tab. 6F - Kultura'!F8+'Tab. 6G - Roln i ochrona środ.'!F106+'Tab. 6H - Kultura fiz. i turyst'!F270+'Tab.6I - Planow. przestrz.'!F99+'Tab. 6D - Oświata'!F89</f>
        <v>138684748</v>
      </c>
      <c r="D49" s="881">
        <f>'Tab. 6A -Drogi'!G527+'Tab. 6C - Ochrona zdrowia'!G52+'Tab. 6D - Oświata'!G101+'Tab. 6E - Administracja'!G239+'Tab. 6F - Kultura'!G8+'Tab. 6G - Roln i ochrona środ.'!G106+'Tab. 6H - Kultura fiz. i turyst'!G270+'Tab.6I - Planow. przestrz.'!G99+'Tab. 6D - Oświata'!G89</f>
        <v>162270734</v>
      </c>
      <c r="E49" s="881">
        <f>'Tab. 6A -Drogi'!H527+'Tab. 6C - Ochrona zdrowia'!H52+'Tab. 6D - Oświata'!H101+'Tab. 6E - Administracja'!H239+'Tab. 6F - Kultura'!H8+'Tab. 6G - Roln i ochrona środ.'!H106+'Tab. 6H - Kultura fiz. i turyst'!H270+'Tab.6I - Planow. przestrz.'!H99+'Tab. 6D - Oświata'!H89</f>
        <v>174272182</v>
      </c>
      <c r="F49" s="881">
        <f>'Tab. 6A -Drogi'!I527+'Tab. 6C - Ochrona zdrowia'!I52+'Tab. 6D - Oświata'!I101+'Tab. 6E - Administracja'!I239+'Tab. 6F - Kultura'!I8+'Tab. 6G - Roln i ochrona środ.'!I106+'Tab. 6H - Kultura fiz. i turyst'!I270+'Tab.6I - Planow. przestrz.'!I99+'Tab. 6D - Oświata'!I89</f>
        <v>158660919</v>
      </c>
      <c r="G49" s="881">
        <f>'Tab. 6A -Drogi'!J527+'Tab. 6C - Ochrona zdrowia'!J52+'Tab. 6D - Oświata'!J101+'Tab. 6E - Administracja'!J239+'Tab. 6F - Kultura'!J8+'Tab. 6G - Roln i ochrona środ.'!J106+'Tab. 6H - Kultura fiz. i turyst'!J270+'Tab.6I - Planow. przestrz.'!J99+'Tab. 6D - Oświata'!J89</f>
        <v>39955167</v>
      </c>
      <c r="H49" s="881">
        <f>'Tab. 6A -Drogi'!K527+'Tab. 6C - Ochrona zdrowia'!K52+'Tab. 6D - Oświata'!K101+'Tab. 6E - Administracja'!K239+'Tab. 6F - Kultura'!K8+'Tab. 6G - Roln i ochrona środ.'!K106+'Tab. 6H - Kultura fiz. i turyst'!K270+'Tab.6I - Planow. przestrz.'!K99+'Tab. 6D - Oświata'!K89</f>
        <v>31701038</v>
      </c>
      <c r="I49" s="881">
        <f>'Tab. 6A -Drogi'!L527+'Tab. 6C - Ochrona zdrowia'!L52+'Tab. 6D - Oświata'!L101+'Tab. 6E - Administracja'!L239+'Tab. 6F - Kultura'!L8+'Tab. 6G - Roln i ochrona środ.'!L106+'Tab. 6H - Kultura fiz. i turyst'!L270+'Tab.6I - Planow. przestrz.'!L99+'Tab. 6D - Oświata'!L89</f>
        <v>10208912</v>
      </c>
      <c r="J49" s="1560">
        <f>'Tab. 6A -Drogi'!D527+'Tab. 6C - Ochrona zdrowia'!D52+'Tab. 6D - Oświata'!D101+'Tab. 6E - Administracja'!D239+'Tab. 6F - Kultura'!D8+'Tab. 6G - Roln i ochrona środ.'!D106+'Tab. 6H - Kultura fiz. i turyst'!D270+'Tab.6I - Planow. przestrz.'!D99+'Tab. 6D - Oświata'!D89</f>
        <v>1111645036</v>
      </c>
      <c r="K49" s="1084">
        <f>SUM(C49:I49)+'Tab. 6C - Ochrona zdrowia'!P92+'Tab. 6C - Ochrona zdrowia'!P97</f>
        <v>749390025</v>
      </c>
      <c r="L49" s="1084">
        <f>SUM(D49:I49)+'Tab. 6C - Ochrona zdrowia'!P92+'Tab. 6C - Ochrona zdrowia'!P97</f>
        <v>610705277</v>
      </c>
      <c r="M49" s="2826"/>
      <c r="N49" s="398">
        <f>+C49+D49+E49+F49+G49+H49+I49+B49+'Tab. 6C - Ochrona zdrowia'!P92+'Tab. 6C - Ochrona zdrowia'!P97</f>
        <v>1111645036</v>
      </c>
      <c r="O49" s="399">
        <f t="shared" ref="O49:O61" si="20">J49-N49</f>
        <v>0</v>
      </c>
    </row>
    <row r="50" spans="1:15" ht="14.25" customHeight="1" thickBot="1">
      <c r="A50" s="915" t="s">
        <v>29</v>
      </c>
      <c r="B50" s="916">
        <f>'Tab. 6A -Drogi'!E528+'Tab. 6C - Ochrona zdrowia'!E53+'Tab. 6D - Oświata'!E102+'Tab. 6E - Administracja'!E240+'Tab. 6F - Kultura'!E9+'Tab. 6G - Roln i ochrona środ.'!E107</f>
        <v>41300938</v>
      </c>
      <c r="C50" s="916">
        <f>'Tab. 6A -Drogi'!F528+'Tab. 6C - Ochrona zdrowia'!F53+'Tab. 6D - Oświata'!F102+'Tab. 6E - Administracja'!F240+'Tab. 6F - Kultura'!F9+'Tab. 6G - Roln i ochrona środ.'!F107</f>
        <v>42586562</v>
      </c>
      <c r="D50" s="916">
        <f>'Tab. 6A -Drogi'!G528+'Tab. 6C - Ochrona zdrowia'!G53+'Tab. 6D - Oświata'!G102+'Tab. 6E - Administracja'!G240+'Tab. 6F - Kultura'!G9+'Tab. 6G - Roln i ochrona środ.'!G107</f>
        <v>62907995</v>
      </c>
      <c r="E50" s="916">
        <f>'Tab. 6A -Drogi'!H528+'Tab. 6C - Ochrona zdrowia'!H53+'Tab. 6D - Oświata'!H102+'Tab. 6E - Administracja'!H240+'Tab. 6F - Kultura'!H9+'Tab. 6G - Roln i ochrona środ.'!H107</f>
        <v>112371759</v>
      </c>
      <c r="F50" s="916">
        <f>'Tab. 6A -Drogi'!I528+'Tab. 6C - Ochrona zdrowia'!I53+'Tab. 6D - Oświata'!I102+'Tab. 6E - Administracja'!I240+'Tab. 6F - Kultura'!I9+'Tab. 6G - Roln i ochrona środ.'!I107</f>
        <v>69413293</v>
      </c>
      <c r="G50" s="916">
        <f>'Tab. 6A -Drogi'!J528+'Tab. 6C - Ochrona zdrowia'!J53+'Tab. 6D - Oświata'!J102+'Tab. 6E - Administracja'!J240+'Tab. 6F - Kultura'!J9+'Tab. 6G - Roln i ochrona środ.'!J107</f>
        <v>21356220</v>
      </c>
      <c r="H50" s="916">
        <f>'Tab. 6A -Drogi'!K528+'Tab. 6C - Ochrona zdrowia'!K53+'Tab. 6D - Oświata'!K102+'Tab. 6E - Administracja'!K240+'Tab. 6F - Kultura'!K9+'Tab. 6G - Roln i ochrona środ.'!K107</f>
        <v>1472245</v>
      </c>
      <c r="I50" s="916">
        <f>'Tab. 6A -Drogi'!L528+'Tab. 6C - Ochrona zdrowia'!L53+'Tab. 6D - Oświata'!L102+'Tab. 6E - Administracja'!L240+'Tab. 6F - Kultura'!L9+'Tab. 6G - Roln i ochrona środ.'!L107</f>
        <v>0</v>
      </c>
      <c r="J50" s="1561">
        <f>'Tab. 6A -Drogi'!D528+'Tab. 6C - Ochrona zdrowia'!D53+'Tab. 6D - Oświata'!D102+'Tab. 6E - Administracja'!D240+'Tab. 6F - Kultura'!D9+'Tab. 6G - Roln i ochrona środ.'!D107</f>
        <v>351409012</v>
      </c>
      <c r="K50" s="1085">
        <f>SUM(C50:I50)</f>
        <v>310108074</v>
      </c>
      <c r="L50" s="1085">
        <f>SUM(D50:I50)</f>
        <v>267521512</v>
      </c>
      <c r="M50" s="2826"/>
      <c r="N50" s="398">
        <f>+C50+D50+E50+F50+G50+H50+I50+B50</f>
        <v>351409012</v>
      </c>
      <c r="O50" s="399">
        <f t="shared" si="20"/>
        <v>0</v>
      </c>
    </row>
    <row r="51" spans="1:15" s="400" customFormat="1" ht="4.5" customHeight="1">
      <c r="A51" s="885"/>
      <c r="B51" s="886"/>
      <c r="C51" s="886"/>
      <c r="D51" s="903"/>
      <c r="E51" s="886"/>
      <c r="F51" s="886"/>
      <c r="G51" s="886"/>
      <c r="H51" s="886"/>
      <c r="I51" s="886"/>
      <c r="J51" s="904"/>
      <c r="K51" s="1566"/>
      <c r="L51" s="1566"/>
      <c r="M51" s="397"/>
      <c r="N51" s="398"/>
      <c r="O51" s="399"/>
    </row>
    <row r="52" spans="1:15" s="899" customFormat="1" ht="18" customHeight="1">
      <c r="A52" s="887" t="s">
        <v>10</v>
      </c>
      <c r="B52" s="888">
        <f t="shared" ref="B52:J52" si="21">+B53+B60</f>
        <v>405874248.63999999</v>
      </c>
      <c r="C52" s="888">
        <f t="shared" si="21"/>
        <v>182661583</v>
      </c>
      <c r="D52" s="888">
        <f t="shared" si="21"/>
        <v>233497300</v>
      </c>
      <c r="E52" s="888">
        <f t="shared" si="21"/>
        <v>320963744</v>
      </c>
      <c r="F52" s="888">
        <f t="shared" si="21"/>
        <v>275789311</v>
      </c>
      <c r="G52" s="888">
        <f t="shared" si="21"/>
        <v>77655879</v>
      </c>
      <c r="H52" s="888">
        <f t="shared" si="21"/>
        <v>43265783</v>
      </c>
      <c r="I52" s="888">
        <f t="shared" si="21"/>
        <v>10208912</v>
      </c>
      <c r="J52" s="1545">
        <f t="shared" si="21"/>
        <v>1583553085.6400001</v>
      </c>
      <c r="K52" s="1555">
        <f>+K53</f>
        <v>1059498099</v>
      </c>
      <c r="L52" s="1555">
        <f>+L53</f>
        <v>878226789</v>
      </c>
      <c r="M52" s="908"/>
      <c r="N52" s="398">
        <f>+C52+D52+E52+F52+G52+H52+I52+B52+'Tab. 6C - Ochrona zdrowia'!P92+'Tab. 6C - Ochrona zdrowia'!P97</f>
        <v>1583553085.6399999</v>
      </c>
      <c r="O52" s="399">
        <f t="shared" si="20"/>
        <v>0</v>
      </c>
    </row>
    <row r="53" spans="1:15" s="893" customFormat="1" ht="18" customHeight="1">
      <c r="A53" s="890" t="s">
        <v>11</v>
      </c>
      <c r="B53" s="917">
        <f t="shared" ref="B53:L53" si="22">SUM(B54:B59)</f>
        <v>405349348.63999999</v>
      </c>
      <c r="C53" s="917">
        <f t="shared" si="22"/>
        <v>182625551</v>
      </c>
      <c r="D53" s="917">
        <f t="shared" si="22"/>
        <v>227119547</v>
      </c>
      <c r="E53" s="917">
        <f t="shared" si="22"/>
        <v>286683941</v>
      </c>
      <c r="F53" s="917">
        <f t="shared" si="22"/>
        <v>228074212</v>
      </c>
      <c r="G53" s="917">
        <f t="shared" si="22"/>
        <v>61311387</v>
      </c>
      <c r="H53" s="917">
        <f t="shared" si="22"/>
        <v>33173283</v>
      </c>
      <c r="I53" s="917">
        <f t="shared" si="22"/>
        <v>10208912</v>
      </c>
      <c r="J53" s="1562">
        <f t="shared" si="22"/>
        <v>1468182506.6400001</v>
      </c>
      <c r="K53" s="1567">
        <f t="shared" si="22"/>
        <v>1059498099</v>
      </c>
      <c r="L53" s="1567">
        <f t="shared" si="22"/>
        <v>878226789</v>
      </c>
      <c r="M53" s="397"/>
      <c r="N53" s="398">
        <f>+C53+D53+E53+F53+G53+H53+I53+B53+'Tab. 6C - Ochrona zdrowia'!P92+'Tab. 6C - Ochrona zdrowia'!P97</f>
        <v>1468182506.6399999</v>
      </c>
      <c r="O53" s="399">
        <f t="shared" si="20"/>
        <v>0</v>
      </c>
    </row>
    <row r="54" spans="1:15" s="400" customFormat="1" ht="16.5" customHeight="1">
      <c r="A54" s="894" t="s">
        <v>30</v>
      </c>
      <c r="B54" s="403">
        <f>+'Tab. 6D - Oświata'!E107+'Tab. 6A -Drogi'!E531+'Tab. 6E - Administracja'!E243+'Tab. 6C - Ochrona zdrowia'!E56+'Tab.6I - Planow. przestrz.'!E103+'Tab. 6G - Roln i ochrona środ.'!E110+'Tab. 6H - Kultura fiz. i turyst'!E274+'Tab. 6D - Oświata'!E97</f>
        <v>390644817</v>
      </c>
      <c r="C54" s="403">
        <f>+'Tab. 6D - Oświata'!F107+'Tab. 6A -Drogi'!F531+'Tab. 6E - Administracja'!F243+'Tab. 6C - Ochrona zdrowia'!F56+'Tab.6I - Planow. przestrz.'!F103+'Tab. 6G - Roln i ochrona środ.'!F110+'Tab. 6H - Kultura fiz. i turyst'!F274+'Tab. 6D - Oświata'!F97</f>
        <v>135966751</v>
      </c>
      <c r="D54" s="403">
        <f>+'Tab. 6D - Oświata'!G107+'Tab. 6A -Drogi'!G531+'Tab. 6E - Administracja'!G243+'Tab. 6C - Ochrona zdrowia'!G56+'Tab.6I - Planow. przestrz.'!G103+'Tab. 6G - Roln i ochrona środ.'!G110+'Tab. 6H - Kultura fiz. i turyst'!G274+'Tab. 6D - Oświata'!G97</f>
        <v>160909213</v>
      </c>
      <c r="E54" s="403">
        <f>+'Tab. 6D - Oświata'!H107+'Tab. 6A -Drogi'!H531+'Tab. 6E - Administracja'!H243+'Tab. 6C - Ochrona zdrowia'!H56+'Tab.6I - Planow. przestrz.'!H103+'Tab. 6G - Roln i ochrona środ.'!H110+'Tab. 6H - Kultura fiz. i turyst'!H274+'Tab. 6D - Oświata'!H97</f>
        <v>193426525</v>
      </c>
      <c r="F54" s="403">
        <f>+'Tab. 6D - Oświata'!I107+'Tab. 6A -Drogi'!I531+'Tab. 6E - Administracja'!I243+'Tab. 6C - Ochrona zdrowia'!I56+'Tab.6I - Planow. przestrz.'!I103+'Tab. 6G - Roln i ochrona środ.'!I110+'Tab. 6H - Kultura fiz. i turyst'!I274+'Tab. 6D - Oświata'!I97</f>
        <v>188141944</v>
      </c>
      <c r="G54" s="403">
        <f>+'Tab. 6D - Oświata'!J107+'Tab. 6A -Drogi'!J531+'Tab. 6E - Administracja'!J243+'Tab. 6C - Ochrona zdrowia'!J56+'Tab.6I - Planow. przestrz.'!J103+'Tab. 6G - Roln i ochrona środ.'!J110+'Tab. 6H - Kultura fiz. i turyst'!J274+'Tab. 6D - Oświata'!J97</f>
        <v>44454446</v>
      </c>
      <c r="H54" s="403">
        <f>+'Tab. 6D - Oświata'!K107+'Tab. 6A -Drogi'!K531+'Tab. 6E - Administracja'!K243+'Tab. 6C - Ochrona zdrowia'!K56+'Tab.6I - Planow. przestrz.'!K103+'Tab. 6G - Roln i ochrona środ.'!K110+'Tab. 6H - Kultura fiz. i turyst'!K274+'Tab. 6D - Oświata'!K97</f>
        <v>31701038</v>
      </c>
      <c r="I54" s="403">
        <f>+'Tab. 6D - Oświata'!L107+'Tab. 6A -Drogi'!L531+'Tab. 6E - Administracja'!L243+'Tab. 6C - Ochrona zdrowia'!L56+'Tab.6I - Planow. przestrz.'!L103+'Tab. 6G - Roln i ochrona środ.'!L110+'Tab. 6H - Kultura fiz. i turyst'!L274+'Tab. 6D - Oświata'!L97</f>
        <v>10208912</v>
      </c>
      <c r="J54" s="1547">
        <f>B54+C54+D54+E54+F54+G54+H54+I54+'Tab. 6C - Ochrona zdrowia'!P92+'Tab. 6C - Ochrona zdrowia'!P97</f>
        <v>1189089971</v>
      </c>
      <c r="K54" s="882">
        <f>SUM(C54:I54)+'Tab. 6C - Ochrona zdrowia'!P92+'Tab. 6C - Ochrona zdrowia'!P97</f>
        <v>798445154</v>
      </c>
      <c r="L54" s="882">
        <f>SUM(D54:I54)+'Tab. 6C - Ochrona zdrowia'!P92+'Tab. 6C - Ochrona zdrowia'!P97</f>
        <v>662478403</v>
      </c>
      <c r="M54" s="2826"/>
      <c r="N54" s="398">
        <f>+C54+D54+E54+F54+G54+H54+I54+B54+'Tab. 6C - Ochrona zdrowia'!P92+'Tab. 6C - Ochrona zdrowia'!P97</f>
        <v>1189089971</v>
      </c>
      <c r="O54" s="399">
        <f t="shared" si="20"/>
        <v>0</v>
      </c>
    </row>
    <row r="55" spans="1:15" s="400" customFormat="1" ht="15.75" customHeight="1">
      <c r="A55" s="401" t="s">
        <v>16</v>
      </c>
      <c r="B55" s="402">
        <f>+'Tab. 6A -Drogi'!E534+'Tab. 6G - Roln i ochrona środ.'!E114+'Tab. 6H - Kultura fiz. i turyst'!E13</f>
        <v>0</v>
      </c>
      <c r="C55" s="403">
        <f>+'Tab. 6A -Drogi'!F534+'Tab. 6G - Roln i ochrona środ.'!F114+'Tab. 6H - Kultura fiz. i turyst'!F275</f>
        <v>10003578</v>
      </c>
      <c r="D55" s="403">
        <f>+'Tab. 6A -Drogi'!G534+'Tab. 6G - Roln i ochrona środ.'!G114+'Tab. 6H - Kultura fiz. i turyst'!G275</f>
        <v>16487247</v>
      </c>
      <c r="E55" s="403">
        <f>+'Tab. 6A -Drogi'!H534+'Tab. 6G - Roln i ochrona środ.'!H114+'Tab. 6H - Kultura fiz. i turyst'!H275</f>
        <v>26258486</v>
      </c>
      <c r="F55" s="403">
        <f>+'Tab. 6A -Drogi'!I534+'Tab. 6G - Roln i ochrona środ.'!I114+'Tab. 6H - Kultura fiz. i turyst'!I275</f>
        <v>9699890</v>
      </c>
      <c r="G55" s="402">
        <f>+'Tab. 6A -Drogi'!J534+'Tab. 6G - Roln i ochrona środ.'!J114+'Tab. 6H - Kultura fiz. i turyst'!J275</f>
        <v>0</v>
      </c>
      <c r="H55" s="402">
        <f>+'Tab. 6A -Drogi'!K534+'Tab. 6G - Roln i ochrona środ.'!K114+'Tab. 6H - Kultura fiz. i turyst'!K275</f>
        <v>0</v>
      </c>
      <c r="I55" s="402">
        <f>+'Tab. 6A -Drogi'!L534+'Tab. 6G - Roln i ochrona środ.'!L114+'Tab. 6H - Kultura fiz. i turyst'!L275</f>
        <v>0</v>
      </c>
      <c r="J55" s="1547">
        <f t="shared" ref="J55:J59" si="23">B55+C55+D55+E55+F55+G55+H55+I55</f>
        <v>62449201</v>
      </c>
      <c r="K55" s="882">
        <f t="shared" ref="K55" si="24">SUM(C55:I55)</f>
        <v>62449201</v>
      </c>
      <c r="L55" s="882">
        <f>SUM(D55:I55)</f>
        <v>52445623</v>
      </c>
      <c r="M55" s="2826"/>
      <c r="N55" s="398">
        <f>+C55+D55+E55+F55+G55+H55+I55+B55</f>
        <v>62449201</v>
      </c>
      <c r="O55" s="399">
        <f t="shared" si="20"/>
        <v>0</v>
      </c>
    </row>
    <row r="56" spans="1:15" s="400" customFormat="1" ht="15.75" customHeight="1">
      <c r="A56" s="401" t="s">
        <v>31</v>
      </c>
      <c r="B56" s="403">
        <f>+'Tab. 6F - Kultura'!E12+'Tab. 6C - Ochrona zdrowia'!E57</f>
        <v>1793399.64</v>
      </c>
      <c r="C56" s="403">
        <f>+'Tab. 6F - Kultura'!F12+'Tab. 6C - Ochrona zdrowia'!F57</f>
        <v>1354241</v>
      </c>
      <c r="D56" s="403">
        <f>+'Tab. 6F - Kultura'!G12+'Tab. 6C - Ochrona zdrowia'!G57</f>
        <v>1940818</v>
      </c>
      <c r="E56" s="403">
        <f>+'Tab. 6F - Kultura'!H12+'Tab. 6C - Ochrona zdrowia'!H57</f>
        <v>40000</v>
      </c>
      <c r="F56" s="402">
        <f>+'Tab. 6F - Kultura'!I12+'Tab. 6C - Ochrona zdrowia'!I57</f>
        <v>0</v>
      </c>
      <c r="G56" s="402">
        <f>+'Tab. 6F - Kultura'!J12+'Tab. 6C - Ochrona zdrowia'!J57</f>
        <v>0</v>
      </c>
      <c r="H56" s="402">
        <f>+'Tab. 6F - Kultura'!K12+'Tab. 6C - Ochrona zdrowia'!K57</f>
        <v>0</v>
      </c>
      <c r="I56" s="402">
        <f>+'Tab. 6F - Kultura'!L12+'Tab. 6C - Ochrona zdrowia'!L57+'Tab. 6H - Kultura fiz. i turyst'!L13</f>
        <v>0</v>
      </c>
      <c r="J56" s="1547">
        <f t="shared" si="23"/>
        <v>5128458.6399999997</v>
      </c>
      <c r="K56" s="1327" t="s">
        <v>53</v>
      </c>
      <c r="L56" s="1327" t="s">
        <v>53</v>
      </c>
      <c r="M56" s="397"/>
      <c r="N56" s="398">
        <f t="shared" ref="N56:N61" si="25">+C56+D56+E56+F56+G56+H56+I56+B56</f>
        <v>5128458.6399999997</v>
      </c>
      <c r="O56" s="399">
        <f t="shared" si="20"/>
        <v>0</v>
      </c>
    </row>
    <row r="57" spans="1:15" s="400" customFormat="1" ht="15.75" customHeight="1">
      <c r="A57" s="894" t="s">
        <v>32</v>
      </c>
      <c r="B57" s="403">
        <f>+'Tab. 6F - Kultura'!E13+'Tab. 6C - Ochrona zdrowia'!E58+'Tab. 6D - Oświata'!E106+'Tab. 6H - Kultura fiz. i turyst'!E283</f>
        <v>8217368</v>
      </c>
      <c r="C57" s="403">
        <f>+'Tab. 6F - Kultura'!F13+'Tab. 6C - Ochrona zdrowia'!F58+'Tab. 6D - Oświata'!F106+'Tab. 6H - Kultura fiz. i turyst'!F283</f>
        <v>7874823</v>
      </c>
      <c r="D57" s="403">
        <f>+'Tab. 6F - Kultura'!G13+'Tab. 6C - Ochrona zdrowia'!G58+'Tab. 6D - Oświata'!G106+'Tab. 6H - Kultura fiz. i turyst'!G283</f>
        <v>17227273</v>
      </c>
      <c r="E57" s="403">
        <f>+'Tab. 6F - Kultura'!H13+'Tab. 6C - Ochrona zdrowia'!H58+'Tab. 6D - Oświata'!H106+'Tab. 6H - Kultura fiz. i turyst'!H283</f>
        <v>66958930</v>
      </c>
      <c r="F57" s="403">
        <f>+'Tab. 6F - Kultura'!I13+'Tab. 6C - Ochrona zdrowia'!I58+'Tab. 6D - Oświata'!I106+'Tab. 6H - Kultura fiz. i turyst'!I283</f>
        <v>30232378</v>
      </c>
      <c r="G57" s="403">
        <f>+'Tab. 6F - Kultura'!J13+'Tab. 6C - Ochrona zdrowia'!J58+'Tab. 6D - Oświata'!J106+'Tab. 6H - Kultura fiz. i turyst'!J283</f>
        <v>16856941</v>
      </c>
      <c r="H57" s="403">
        <f>+'Tab. 6F - Kultura'!K13+'Tab. 6C - Ochrona zdrowia'!K58+'Tab. 6D - Oświata'!K106+'Tab. 6H - Kultura fiz. i turyst'!K283</f>
        <v>1472245</v>
      </c>
      <c r="I57" s="402">
        <f>+'Tab. 6F - Kultura'!L13+'Tab. 6C - Ochrona zdrowia'!L58+'Tab. 6D - Oświata'!L106+'Tab. 6H - Kultura fiz. i turyst'!L283</f>
        <v>0</v>
      </c>
      <c r="J57" s="1547">
        <f t="shared" si="23"/>
        <v>148839958</v>
      </c>
      <c r="K57" s="882">
        <f t="shared" ref="K57:K59" si="26">SUM(C57:I57)</f>
        <v>140622590</v>
      </c>
      <c r="L57" s="882">
        <f>SUM(D57:I57)</f>
        <v>132747767</v>
      </c>
      <c r="M57" s="2826"/>
      <c r="N57" s="398">
        <f t="shared" si="25"/>
        <v>148839958</v>
      </c>
      <c r="O57" s="399">
        <f t="shared" si="20"/>
        <v>0</v>
      </c>
    </row>
    <row r="58" spans="1:15" s="400" customFormat="1" ht="15.75" customHeight="1">
      <c r="A58" s="401" t="s">
        <v>15</v>
      </c>
      <c r="B58" s="403">
        <f>+'Tab. 6A -Drogi'!E533+'Tab. 6C - Ochrona zdrowia'!E61</f>
        <v>4693764</v>
      </c>
      <c r="C58" s="403">
        <f>+'Tab. 6A -Drogi'!F533+'Tab. 6C - Ochrona zdrowia'!F61</f>
        <v>4000167</v>
      </c>
      <c r="D58" s="403">
        <f>+'Tab. 6A -Drogi'!G533+'Tab. 6C - Ochrona zdrowia'!G61</f>
        <v>4937259</v>
      </c>
      <c r="E58" s="402">
        <f>+'Tab. 6A -Drogi'!H533+'Tab. 6C - Ochrona zdrowia'!H61</f>
        <v>0</v>
      </c>
      <c r="F58" s="402">
        <f>+'Tab. 6A -Drogi'!I533+'Tab. 6C - Ochrona zdrowia'!I61</f>
        <v>0</v>
      </c>
      <c r="G58" s="402">
        <f>+'Tab. 6A -Drogi'!J533+'Tab. 6C - Ochrona zdrowia'!J61</f>
        <v>0</v>
      </c>
      <c r="H58" s="402">
        <f>+'Tab. 6A -Drogi'!K533+'Tab. 6C - Ochrona zdrowia'!K61</f>
        <v>0</v>
      </c>
      <c r="I58" s="402">
        <f>+'Tab. 6A -Drogi'!L533+'Tab. 6C - Ochrona zdrowia'!L61</f>
        <v>0</v>
      </c>
      <c r="J58" s="1547">
        <f t="shared" si="23"/>
        <v>13631190</v>
      </c>
      <c r="K58" s="882">
        <f t="shared" si="26"/>
        <v>8937426</v>
      </c>
      <c r="L58" s="882">
        <f>SUM(D58:I58)</f>
        <v>4937259</v>
      </c>
      <c r="M58" s="2826"/>
      <c r="N58" s="398">
        <f t="shared" si="25"/>
        <v>13631190</v>
      </c>
      <c r="O58" s="399">
        <f t="shared" si="20"/>
        <v>0</v>
      </c>
    </row>
    <row r="59" spans="1:15" s="400" customFormat="1" ht="12.75" customHeight="1">
      <c r="A59" s="401" t="s">
        <v>13</v>
      </c>
      <c r="B59" s="402">
        <f>+'Tab. 6A -Drogi'!E532+'Tab. 6C - Ochrona zdrowia'!E59</f>
        <v>0</v>
      </c>
      <c r="C59" s="403">
        <f>+'Tab. 6A -Drogi'!F532+'Tab. 6C - Ochrona zdrowia'!F59</f>
        <v>23425991</v>
      </c>
      <c r="D59" s="403">
        <f>+'Tab. 6A -Drogi'!G532+'Tab. 6C - Ochrona zdrowia'!G59</f>
        <v>25617737</v>
      </c>
      <c r="E59" s="402">
        <f>+'Tab. 6A -Drogi'!H532+'Tab. 6C - Ochrona zdrowia'!H59</f>
        <v>0</v>
      </c>
      <c r="F59" s="402">
        <f>+'Tab. 6A -Drogi'!I532+'Tab. 6C - Ochrona zdrowia'!I59</f>
        <v>0</v>
      </c>
      <c r="G59" s="402">
        <f>+'Tab. 6A -Drogi'!J532+'Tab. 6C - Ochrona zdrowia'!J59</f>
        <v>0</v>
      </c>
      <c r="H59" s="402">
        <f>+'Tab. 6A -Drogi'!K532+'Tab. 6C - Ochrona zdrowia'!K59</f>
        <v>0</v>
      </c>
      <c r="I59" s="402">
        <f>+'Tab. 6A -Drogi'!L532+'Tab. 6C - Ochrona zdrowia'!L59</f>
        <v>0</v>
      </c>
      <c r="J59" s="1547">
        <f t="shared" si="23"/>
        <v>49043728</v>
      </c>
      <c r="K59" s="882">
        <f t="shared" si="26"/>
        <v>49043728</v>
      </c>
      <c r="L59" s="882">
        <f>SUM(D59:I59)</f>
        <v>25617737</v>
      </c>
      <c r="M59" s="2826"/>
      <c r="N59" s="398">
        <f t="shared" si="25"/>
        <v>49043728</v>
      </c>
      <c r="O59" s="399">
        <f t="shared" si="20"/>
        <v>0</v>
      </c>
    </row>
    <row r="60" spans="1:15" s="400" customFormat="1" ht="18" customHeight="1">
      <c r="A60" s="394" t="s">
        <v>18</v>
      </c>
      <c r="B60" s="760">
        <f t="shared" ref="B60:I60" si="27">SUM(B61:B61)</f>
        <v>524900</v>
      </c>
      <c r="C60" s="395">
        <f t="shared" si="27"/>
        <v>36032</v>
      </c>
      <c r="D60" s="395">
        <f t="shared" si="27"/>
        <v>6377753</v>
      </c>
      <c r="E60" s="395">
        <f t="shared" si="27"/>
        <v>34279803</v>
      </c>
      <c r="F60" s="395">
        <f t="shared" si="27"/>
        <v>47715099</v>
      </c>
      <c r="G60" s="395">
        <f t="shared" si="27"/>
        <v>16344492</v>
      </c>
      <c r="H60" s="395">
        <f t="shared" si="27"/>
        <v>10092500</v>
      </c>
      <c r="I60" s="396">
        <f t="shared" si="27"/>
        <v>0</v>
      </c>
      <c r="J60" s="1548">
        <f>+J61</f>
        <v>115370579</v>
      </c>
      <c r="K60" s="1568" t="s">
        <v>53</v>
      </c>
      <c r="L60" s="1568" t="s">
        <v>53</v>
      </c>
      <c r="M60" s="397"/>
      <c r="N60" s="398">
        <f t="shared" si="25"/>
        <v>115370579</v>
      </c>
      <c r="O60" s="399">
        <f t="shared" si="20"/>
        <v>0</v>
      </c>
    </row>
    <row r="61" spans="1:15" s="400" customFormat="1" ht="16.5" customHeight="1">
      <c r="A61" s="401" t="s">
        <v>34</v>
      </c>
      <c r="B61" s="403">
        <f>+'Tab. 6D - Oświata'!E109+'Tab. 6F - Kultura'!E16+'Tab. 6C - Ochrona zdrowia'!E63</f>
        <v>524900</v>
      </c>
      <c r="C61" s="403">
        <f>+'Tab. 6D - Oświata'!F109+'Tab. 6F - Kultura'!F16+'Tab. 6C - Ochrona zdrowia'!F63</f>
        <v>36032</v>
      </c>
      <c r="D61" s="403">
        <f>+'Tab. 6D - Oświata'!G109+'Tab. 6F - Kultura'!G16+'Tab. 6C - Ochrona zdrowia'!G63</f>
        <v>6377753</v>
      </c>
      <c r="E61" s="403">
        <f>+'Tab. 6D - Oświata'!H109+'Tab. 6F - Kultura'!H16+'Tab. 6C - Ochrona zdrowia'!H63</f>
        <v>34279803</v>
      </c>
      <c r="F61" s="403">
        <f>+'Tab. 6D - Oświata'!I109+'Tab. 6F - Kultura'!I16+'Tab. 6C - Ochrona zdrowia'!I63</f>
        <v>47715099</v>
      </c>
      <c r="G61" s="403">
        <f>+'Tab. 6D - Oświata'!J109+'Tab. 6F - Kultura'!J16+'Tab. 6C - Ochrona zdrowia'!J63</f>
        <v>16344492</v>
      </c>
      <c r="H61" s="403">
        <f>+'Tab. 6D - Oświata'!K109+'Tab. 6F - Kultura'!K16+'Tab. 6C - Ochrona zdrowia'!K63</f>
        <v>10092500</v>
      </c>
      <c r="I61" s="402">
        <f>+'Tab. 6D - Oświata'!L109+'Tab. 6F - Kultura'!L16+'Tab. 6C - Ochrona zdrowia'!L63</f>
        <v>0</v>
      </c>
      <c r="J61" s="1547">
        <f>B61+C61+D61+E61+F61+G61+H61+I61</f>
        <v>115370579</v>
      </c>
      <c r="K61" s="1328" t="s">
        <v>53</v>
      </c>
      <c r="L61" s="1328" t="s">
        <v>53</v>
      </c>
      <c r="M61" s="397"/>
      <c r="N61" s="398">
        <f t="shared" si="25"/>
        <v>115370579</v>
      </c>
      <c r="O61" s="399">
        <f t="shared" si="20"/>
        <v>0</v>
      </c>
    </row>
    <row r="62" spans="1:15" s="889" customFormat="1" ht="18" customHeight="1">
      <c r="A62" s="887" t="s">
        <v>21</v>
      </c>
      <c r="B62" s="759">
        <f t="shared" ref="B62:J62" si="28">+B63+B68</f>
        <v>57289196</v>
      </c>
      <c r="C62" s="759">
        <f t="shared" si="28"/>
        <v>49835889</v>
      </c>
      <c r="D62" s="759">
        <f t="shared" si="28"/>
        <v>71527245</v>
      </c>
      <c r="E62" s="759">
        <f t="shared" si="28"/>
        <v>81733030</v>
      </c>
      <c r="F62" s="759">
        <f t="shared" si="28"/>
        <v>90141634</v>
      </c>
      <c r="G62" s="759">
        <f t="shared" si="28"/>
        <v>22019565</v>
      </c>
      <c r="H62" s="759">
        <f t="shared" si="28"/>
        <v>11743229</v>
      </c>
      <c r="I62" s="1164">
        <f t="shared" si="28"/>
        <v>0</v>
      </c>
      <c r="J62" s="1563">
        <f t="shared" si="28"/>
        <v>384289788</v>
      </c>
      <c r="K62" s="3303" t="s">
        <v>22</v>
      </c>
      <c r="L62" s="3303" t="s">
        <v>22</v>
      </c>
      <c r="M62" s="908"/>
    </row>
    <row r="63" spans="1:15" s="400" customFormat="1" ht="15" customHeight="1">
      <c r="A63" s="394" t="s">
        <v>23</v>
      </c>
      <c r="B63" s="760">
        <f t="shared" ref="B63:J63" si="29">SUM(B64:B67)</f>
        <v>56764296</v>
      </c>
      <c r="C63" s="760">
        <f t="shared" si="29"/>
        <v>49825689</v>
      </c>
      <c r="D63" s="760">
        <f t="shared" si="29"/>
        <v>65454250</v>
      </c>
      <c r="E63" s="760">
        <f t="shared" si="29"/>
        <v>47742637</v>
      </c>
      <c r="F63" s="760">
        <f t="shared" si="29"/>
        <v>41806535</v>
      </c>
      <c r="G63" s="760">
        <f t="shared" si="29"/>
        <v>5675073</v>
      </c>
      <c r="H63" s="760">
        <f t="shared" si="29"/>
        <v>1650729</v>
      </c>
      <c r="I63" s="919">
        <f t="shared" si="29"/>
        <v>0</v>
      </c>
      <c r="J63" s="1550">
        <f t="shared" si="29"/>
        <v>268919209</v>
      </c>
      <c r="K63" s="3304"/>
      <c r="L63" s="3304"/>
      <c r="M63" s="397" t="s">
        <v>232</v>
      </c>
    </row>
    <row r="64" spans="1:15" s="400" customFormat="1" ht="15.75" customHeight="1">
      <c r="A64" s="401" t="s">
        <v>13</v>
      </c>
      <c r="B64" s="761">
        <f>+'Tab. 6C - Ochrona zdrowia'!E66+'Tab. 6A -Drogi'!E538</f>
        <v>0</v>
      </c>
      <c r="C64" s="237">
        <f>+'Tab. 6C - Ochrona zdrowia'!F66+'Tab. 6A -Drogi'!F538</f>
        <v>23425991</v>
      </c>
      <c r="D64" s="403">
        <f>+'Tab. 6C - Ochrona zdrowia'!G66+'Tab. 6A -Drogi'!G538</f>
        <v>25617737</v>
      </c>
      <c r="E64" s="918">
        <f>+'Tab. 6C - Ochrona zdrowia'!H66+'Tab. 6A -Drogi'!H538</f>
        <v>0</v>
      </c>
      <c r="F64" s="918">
        <f>+'Tab. 6C - Ochrona zdrowia'!I66+'Tab. 6A -Drogi'!I538</f>
        <v>0</v>
      </c>
      <c r="G64" s="918">
        <f>+'Tab. 6C - Ochrona zdrowia'!J66+'Tab. 6A -Drogi'!J538</f>
        <v>0</v>
      </c>
      <c r="H64" s="918">
        <f>+'Tab. 6C - Ochrona zdrowia'!K66+'Tab. 6A -Drogi'!K538</f>
        <v>0</v>
      </c>
      <c r="I64" s="918">
        <f>+'Tab. 6C - Ochrona zdrowia'!L66+'Tab. 6A -Drogi'!L538</f>
        <v>0</v>
      </c>
      <c r="J64" s="1547">
        <f>B64+C64+D64+E64+F64+G64+H64+I64</f>
        <v>49043728</v>
      </c>
      <c r="K64" s="3304"/>
      <c r="L64" s="3304"/>
      <c r="M64" s="397">
        <f>J64-J59</f>
        <v>0</v>
      </c>
    </row>
    <row r="65" spans="1:15" s="400" customFormat="1" ht="15" customHeight="1">
      <c r="A65" s="401" t="s">
        <v>15</v>
      </c>
      <c r="B65" s="761">
        <f>+'Tab. 6A -Drogi'!E539+'Tab. 6C - Ochrona zdrowia'!E67</f>
        <v>4693764</v>
      </c>
      <c r="C65" s="237">
        <f>+'Tab. 6A -Drogi'!F539+'Tab. 6C - Ochrona zdrowia'!F67</f>
        <v>4000167</v>
      </c>
      <c r="D65" s="237">
        <f>+'Tab. 6A -Drogi'!G539+'Tab. 6C - Ochrona zdrowia'!G67</f>
        <v>4937259</v>
      </c>
      <c r="E65" s="918">
        <f>+'Tab. 6A -Drogi'!H539+'Tab. 6C - Ochrona zdrowia'!H67</f>
        <v>0</v>
      </c>
      <c r="F65" s="918">
        <f>+'Tab. 6A -Drogi'!I539+'Tab. 6C - Ochrona zdrowia'!I67</f>
        <v>0</v>
      </c>
      <c r="G65" s="918">
        <f>+'Tab. 6A -Drogi'!J539+'Tab. 6C - Ochrona zdrowia'!J67</f>
        <v>0</v>
      </c>
      <c r="H65" s="918">
        <f>+'Tab. 6A -Drogi'!K539+'Tab. 6C - Ochrona zdrowia'!K67</f>
        <v>0</v>
      </c>
      <c r="I65" s="918">
        <f>+'Tab. 6A -Drogi'!L539+'Tab. 6C - Ochrona zdrowia'!L67</f>
        <v>0</v>
      </c>
      <c r="J65" s="1547">
        <f>B65+C65+D65+E65+F65+G65+H65+I65</f>
        <v>13631190</v>
      </c>
      <c r="K65" s="3304"/>
      <c r="L65" s="3304"/>
      <c r="M65" s="397">
        <f>J65-J58</f>
        <v>0</v>
      </c>
    </row>
    <row r="66" spans="1:15" s="400" customFormat="1" ht="15" customHeight="1">
      <c r="A66" s="401" t="s">
        <v>16</v>
      </c>
      <c r="B66" s="761">
        <f>+'Tab. 6A -Drogi'!E540+'Tab. 6G - Roln i ochrona środ.'!E120</f>
        <v>28772061</v>
      </c>
      <c r="C66" s="761">
        <f>+'Tab. 6A -Drogi'!F540+'Tab. 6G - Roln i ochrona środ.'!F120</f>
        <v>8419285</v>
      </c>
      <c r="D66" s="761">
        <f>+'Tab. 6A -Drogi'!G540+'Tab. 6G - Roln i ochrona środ.'!G120</f>
        <v>8419285</v>
      </c>
      <c r="E66" s="761">
        <f>+'Tab. 6A -Drogi'!H540+'Tab. 6G - Roln i ochrona środ.'!H120</f>
        <v>8419285</v>
      </c>
      <c r="F66" s="761">
        <f>+'Tab. 6A -Drogi'!I540+'Tab. 6G - Roln i ochrona środ.'!I120</f>
        <v>8419285</v>
      </c>
      <c r="G66" s="900">
        <f>+'Tab. 6A -Drogi'!J540+'Tab. 6G - Roln i ochrona środ.'!J120</f>
        <v>0</v>
      </c>
      <c r="H66" s="900">
        <f>+'Tab. 6A -Drogi'!K540+'Tab. 6G - Roln i ochrona środ.'!K120</f>
        <v>0</v>
      </c>
      <c r="I66" s="900">
        <f>+'Tab. 6A -Drogi'!L540+'Tab. 6G - Roln i ochrona środ.'!L120</f>
        <v>0</v>
      </c>
      <c r="J66" s="1547">
        <f>B66+C66+D66+E66+F66+G66+H66+I66</f>
        <v>62449201</v>
      </c>
      <c r="K66" s="3304"/>
      <c r="L66" s="3304"/>
      <c r="M66" s="397">
        <f>J66-J55</f>
        <v>0</v>
      </c>
    </row>
    <row r="67" spans="1:15" s="400" customFormat="1" ht="14.25" customHeight="1">
      <c r="A67" s="894" t="s">
        <v>208</v>
      </c>
      <c r="B67" s="762">
        <f>+'Tab. 6F - Kultura'!E19+'Tab. 6D - Oświata'!E113+'Tab. 6A -Drogi'!E537</f>
        <v>23298471</v>
      </c>
      <c r="C67" s="895">
        <f>+'Tab. 6F - Kultura'!F19+'Tab. 6D - Oświata'!F113+'Tab. 6A -Drogi'!F537</f>
        <v>13980246</v>
      </c>
      <c r="D67" s="895">
        <f>+'Tab. 6F - Kultura'!G19+'Tab. 6D - Oświata'!G113+'Tab. 6A -Drogi'!G537</f>
        <v>26479969</v>
      </c>
      <c r="E67" s="895">
        <f>+'Tab. 6F - Kultura'!H19+'Tab. 6D - Oświata'!H113+'Tab. 6A -Drogi'!H537</f>
        <v>39323352</v>
      </c>
      <c r="F67" s="895">
        <f>+'Tab. 6F - Kultura'!I19+'Tab. 6D - Oświata'!I113+'Tab. 6A -Drogi'!I537</f>
        <v>33387250</v>
      </c>
      <c r="G67" s="895">
        <f>+'Tab. 6F - Kultura'!J19+'Tab. 6D - Oświata'!J113+'Tab. 6A -Drogi'!J537</f>
        <v>5675073</v>
      </c>
      <c r="H67" s="895">
        <f>+'Tab. 6F - Kultura'!K19+'Tab. 6D - Oświata'!K113+'Tab. 6A -Drogi'!K537</f>
        <v>1650729</v>
      </c>
      <c r="I67" s="896">
        <f>+'Tab. 6F - Kultura'!L19+'Tab. 6D - Oświata'!L113+'Tab. 6A -Drogi'!L537</f>
        <v>0</v>
      </c>
      <c r="J67" s="1547">
        <f>B67+C67+D67+E67+F67+G67+H67+I67</f>
        <v>143795090</v>
      </c>
      <c r="K67" s="3304"/>
      <c r="L67" s="3304"/>
      <c r="M67" s="397"/>
    </row>
    <row r="68" spans="1:15" s="400" customFormat="1" ht="14.25" customHeight="1">
      <c r="A68" s="394" t="s">
        <v>18</v>
      </c>
      <c r="B68" s="760">
        <f t="shared" ref="B68:I68" si="30">SUM(B69:B69)</f>
        <v>524900</v>
      </c>
      <c r="C68" s="763">
        <f t="shared" si="30"/>
        <v>10200</v>
      </c>
      <c r="D68" s="763">
        <f t="shared" si="30"/>
        <v>6072995</v>
      </c>
      <c r="E68" s="763">
        <f t="shared" si="30"/>
        <v>33990393</v>
      </c>
      <c r="F68" s="763">
        <f t="shared" si="30"/>
        <v>48335099</v>
      </c>
      <c r="G68" s="763">
        <f t="shared" si="30"/>
        <v>16344492</v>
      </c>
      <c r="H68" s="763">
        <f t="shared" si="30"/>
        <v>10092500</v>
      </c>
      <c r="I68" s="920">
        <f t="shared" si="30"/>
        <v>0</v>
      </c>
      <c r="J68" s="1564">
        <f>+J69</f>
        <v>115370579</v>
      </c>
      <c r="K68" s="3304"/>
      <c r="L68" s="3304"/>
      <c r="M68" s="397"/>
    </row>
    <row r="69" spans="1:15" s="400" customFormat="1" ht="15.75" customHeight="1" thickBot="1">
      <c r="A69" s="921" t="s">
        <v>34</v>
      </c>
      <c r="B69" s="2148">
        <f>+'Tab. 6D - Oświata'!E115+'Tab. 6F - Kultura'!E22+'Tab. 6C - Ochrona zdrowia'!E69</f>
        <v>524900</v>
      </c>
      <c r="C69" s="1165">
        <f>+'Tab. 6D - Oświata'!F115+'Tab. 6F - Kultura'!F22+'Tab. 6C - Ochrona zdrowia'!F69</f>
        <v>10200</v>
      </c>
      <c r="D69" s="923">
        <f>+'Tab. 6D - Oświata'!G115+'Tab. 6F - Kultura'!G22+'Tab. 6C - Ochrona zdrowia'!G69</f>
        <v>6072995</v>
      </c>
      <c r="E69" s="923">
        <f>+'Tab. 6D - Oświata'!H115+'Tab. 6F - Kultura'!H22+'Tab. 6C - Ochrona zdrowia'!H69</f>
        <v>33990393</v>
      </c>
      <c r="F69" s="923">
        <f>+'Tab. 6D - Oświata'!I115+'Tab. 6F - Kultura'!I22+'Tab. 6C - Ochrona zdrowia'!I69</f>
        <v>48335099</v>
      </c>
      <c r="G69" s="923">
        <f>+'Tab. 6D - Oświata'!J115+'Tab. 6F - Kultura'!J22+'Tab. 6C - Ochrona zdrowia'!J69</f>
        <v>16344492</v>
      </c>
      <c r="H69" s="923">
        <f>+'Tab. 6D - Oświata'!K115+'Tab. 6F - Kultura'!K22+'Tab. 6C - Ochrona zdrowia'!K69</f>
        <v>10092500</v>
      </c>
      <c r="I69" s="922">
        <f>+'Tab. 6D - Oświata'!L115+'Tab. 6F - Kultura'!L22+'Tab. 6C - Ochrona zdrowia'!L69</f>
        <v>0</v>
      </c>
      <c r="J69" s="1565">
        <f>B69+C69+D69+E69+F69+G69+H69+I69</f>
        <v>115370579</v>
      </c>
      <c r="K69" s="3305"/>
      <c r="L69" s="3305"/>
      <c r="M69" s="397"/>
      <c r="N69" s="901"/>
      <c r="O69" s="2558"/>
    </row>
    <row r="70" spans="1:15" s="400" customFormat="1" ht="9.75" customHeight="1" thickBot="1">
      <c r="A70" s="912"/>
      <c r="B70" s="886"/>
      <c r="C70" s="886"/>
      <c r="D70" s="886"/>
      <c r="E70" s="886"/>
      <c r="F70" s="886"/>
      <c r="G70" s="903"/>
      <c r="H70" s="902"/>
      <c r="I70" s="902"/>
      <c r="J70" s="904"/>
      <c r="K70" s="904"/>
      <c r="L70" s="904"/>
      <c r="M70" s="397"/>
      <c r="O70" s="2559"/>
    </row>
    <row r="71" spans="1:15" s="889" customFormat="1" ht="18" customHeight="1" thickBot="1">
      <c r="A71" s="924" t="s">
        <v>26</v>
      </c>
      <c r="B71" s="925">
        <f>+B52-B60-B56</f>
        <v>403555949</v>
      </c>
      <c r="C71" s="925">
        <f t="shared" ref="C71:K71" si="31">+C52-C60-C56</f>
        <v>181271310</v>
      </c>
      <c r="D71" s="925">
        <f t="shared" si="31"/>
        <v>225178729</v>
      </c>
      <c r="E71" s="925">
        <f t="shared" si="31"/>
        <v>286643941</v>
      </c>
      <c r="F71" s="925">
        <f t="shared" si="31"/>
        <v>228074212</v>
      </c>
      <c r="G71" s="925">
        <f t="shared" si="31"/>
        <v>61311387</v>
      </c>
      <c r="H71" s="925">
        <f t="shared" si="31"/>
        <v>33173283</v>
      </c>
      <c r="I71" s="925">
        <f t="shared" si="31"/>
        <v>10208912</v>
      </c>
      <c r="J71" s="925">
        <f t="shared" si="31"/>
        <v>1463054048</v>
      </c>
      <c r="K71" s="925" t="e">
        <f t="shared" si="31"/>
        <v>#VALUE!</v>
      </c>
      <c r="L71" s="927">
        <f>+D71+E71+F71+G71+H71+I71+'Tab. 6C - Ochrona zdrowia'!P92+'Tab. 6C - Ochrona zdrowia'!P97</f>
        <v>878226789</v>
      </c>
      <c r="M71" s="908">
        <f>+D71+E71+F71+G71+H71+I71+M72-L71</f>
        <v>0</v>
      </c>
      <c r="N71" s="909" t="e">
        <f>J54+J55+J57+J58+J59+#REF!-J71</f>
        <v>#REF!</v>
      </c>
      <c r="O71" s="2560"/>
    </row>
    <row r="72" spans="1:15" s="889" customFormat="1" ht="18" customHeight="1" thickBot="1">
      <c r="A72" s="924" t="s">
        <v>27</v>
      </c>
      <c r="B72" s="928">
        <f t="shared" ref="B72:I72" si="32">+B62-B68</f>
        <v>56764296</v>
      </c>
      <c r="C72" s="928">
        <f t="shared" si="32"/>
        <v>49825689</v>
      </c>
      <c r="D72" s="929">
        <f t="shared" si="32"/>
        <v>65454250</v>
      </c>
      <c r="E72" s="929">
        <f t="shared" si="32"/>
        <v>47742637</v>
      </c>
      <c r="F72" s="929">
        <f t="shared" si="32"/>
        <v>41806535</v>
      </c>
      <c r="G72" s="929">
        <f t="shared" si="32"/>
        <v>5675073</v>
      </c>
      <c r="H72" s="928">
        <f t="shared" si="32"/>
        <v>1650729</v>
      </c>
      <c r="I72" s="928">
        <f t="shared" si="32"/>
        <v>0</v>
      </c>
      <c r="J72" s="926">
        <f>SUM(C72:I72)+B72</f>
        <v>268919209</v>
      </c>
      <c r="K72" s="930" t="s">
        <v>22</v>
      </c>
      <c r="L72" s="930" t="s">
        <v>22</v>
      </c>
      <c r="M72" s="908">
        <f>+'Tab. 6C - Ochrona zdrowia'!P92+'Tab. 6C - Ochrona zdrowia'!P97</f>
        <v>33636325</v>
      </c>
      <c r="N72" s="889" t="s">
        <v>452</v>
      </c>
      <c r="O72" s="2560"/>
    </row>
    <row r="73" spans="1:15" s="933" customFormat="1" ht="15" customHeight="1" thickBot="1">
      <c r="A73" s="2828"/>
      <c r="B73" s="931"/>
      <c r="C73" s="931"/>
      <c r="D73" s="931"/>
      <c r="E73" s="931"/>
      <c r="F73" s="931"/>
      <c r="G73" s="931"/>
      <c r="H73" s="931"/>
      <c r="I73" s="931"/>
      <c r="J73" s="931"/>
      <c r="K73" s="931"/>
      <c r="L73" s="931"/>
      <c r="M73" s="932"/>
      <c r="O73" s="2561"/>
    </row>
    <row r="74" spans="1:15" s="933" customFormat="1" ht="18" customHeight="1" thickBot="1">
      <c r="A74" s="934" t="s">
        <v>35</v>
      </c>
      <c r="B74" s="935">
        <f>B75+B76</f>
        <v>496582705</v>
      </c>
      <c r="C74" s="935">
        <f t="shared" ref="C74:D74" si="33">C75+C76</f>
        <v>451211624</v>
      </c>
      <c r="D74" s="935">
        <f t="shared" si="33"/>
        <v>663483416</v>
      </c>
      <c r="E74" s="935">
        <f t="shared" ref="E74:L74" si="34">E75+E76</f>
        <v>655970097</v>
      </c>
      <c r="F74" s="935">
        <f t="shared" si="34"/>
        <v>555088441</v>
      </c>
      <c r="G74" s="935">
        <f t="shared" si="34"/>
        <v>188829117</v>
      </c>
      <c r="H74" s="935">
        <f t="shared" si="34"/>
        <v>72180118</v>
      </c>
      <c r="I74" s="935">
        <f t="shared" si="34"/>
        <v>46173091</v>
      </c>
      <c r="J74" s="936">
        <f t="shared" si="34"/>
        <v>3163154934</v>
      </c>
      <c r="K74" s="937">
        <f>K75+K76</f>
        <v>2666572229</v>
      </c>
      <c r="L74" s="937">
        <f t="shared" si="34"/>
        <v>2215360605</v>
      </c>
      <c r="M74" s="932"/>
      <c r="O74" s="2561"/>
    </row>
    <row r="75" spans="1:15" s="933" customFormat="1" ht="18" customHeight="1" thickTop="1" thickBot="1">
      <c r="A75" s="2922" t="s">
        <v>36</v>
      </c>
      <c r="B75" s="938">
        <f t="shared" ref="B75:L75" si="35">B13+B49</f>
        <v>408134767</v>
      </c>
      <c r="C75" s="938">
        <f t="shared" si="35"/>
        <v>185036701</v>
      </c>
      <c r="D75" s="938">
        <f t="shared" si="35"/>
        <v>231298837</v>
      </c>
      <c r="E75" s="938">
        <f t="shared" si="35"/>
        <v>254746024</v>
      </c>
      <c r="F75" s="938">
        <f t="shared" si="35"/>
        <v>223369347</v>
      </c>
      <c r="G75" s="938">
        <f t="shared" si="35"/>
        <v>83424443</v>
      </c>
      <c r="H75" s="938">
        <f t="shared" si="35"/>
        <v>70507873</v>
      </c>
      <c r="I75" s="938">
        <f t="shared" si="35"/>
        <v>46028591</v>
      </c>
      <c r="J75" s="939">
        <f t="shared" si="35"/>
        <v>1536182908</v>
      </c>
      <c r="K75" s="940">
        <f t="shared" si="35"/>
        <v>1128048141</v>
      </c>
      <c r="L75" s="940">
        <f t="shared" si="35"/>
        <v>943011440</v>
      </c>
      <c r="M75" s="932"/>
      <c r="O75" s="2562"/>
    </row>
    <row r="76" spans="1:15" s="933" customFormat="1" ht="18" customHeight="1" thickBot="1">
      <c r="A76" s="2923" t="s">
        <v>37</v>
      </c>
      <c r="B76" s="938">
        <f t="shared" ref="B76:L76" si="36">B14+B50</f>
        <v>88447938</v>
      </c>
      <c r="C76" s="938">
        <f t="shared" si="36"/>
        <v>266174923</v>
      </c>
      <c r="D76" s="938">
        <f t="shared" si="36"/>
        <v>432184579</v>
      </c>
      <c r="E76" s="938">
        <f t="shared" si="36"/>
        <v>401224073</v>
      </c>
      <c r="F76" s="938">
        <f t="shared" si="36"/>
        <v>331719094</v>
      </c>
      <c r="G76" s="938">
        <f t="shared" si="36"/>
        <v>105404674</v>
      </c>
      <c r="H76" s="938">
        <f t="shared" si="36"/>
        <v>1672245</v>
      </c>
      <c r="I76" s="938">
        <f t="shared" si="36"/>
        <v>144500</v>
      </c>
      <c r="J76" s="939">
        <f t="shared" si="36"/>
        <v>1626972026</v>
      </c>
      <c r="K76" s="940">
        <f t="shared" si="36"/>
        <v>1538524088</v>
      </c>
      <c r="L76" s="940">
        <f t="shared" si="36"/>
        <v>1272349165</v>
      </c>
      <c r="M76" s="932"/>
      <c r="O76" s="2563"/>
    </row>
    <row r="77" spans="1:15" s="933" customFormat="1" ht="18" customHeight="1" thickBot="1">
      <c r="A77" s="2925" t="s">
        <v>38</v>
      </c>
      <c r="B77" s="941">
        <f t="shared" ref="B77:J77" si="37">B38+B72</f>
        <v>126045766</v>
      </c>
      <c r="C77" s="941">
        <f t="shared" si="37"/>
        <v>270687405</v>
      </c>
      <c r="D77" s="941">
        <f t="shared" si="37"/>
        <v>459450209</v>
      </c>
      <c r="E77" s="941">
        <f>E38+E72</f>
        <v>341577778</v>
      </c>
      <c r="F77" s="941">
        <f t="shared" si="37"/>
        <v>301781786</v>
      </c>
      <c r="G77" s="941">
        <f t="shared" si="37"/>
        <v>135398391</v>
      </c>
      <c r="H77" s="941">
        <f t="shared" si="37"/>
        <v>36613469</v>
      </c>
      <c r="I77" s="941">
        <f t="shared" si="37"/>
        <v>31994737</v>
      </c>
      <c r="J77" s="941">
        <f t="shared" si="37"/>
        <v>1717016255</v>
      </c>
      <c r="K77" s="942" t="s">
        <v>22</v>
      </c>
      <c r="L77" s="942" t="s">
        <v>22</v>
      </c>
      <c r="M77" s="932">
        <f>'Tab. 6A -Drogi'!D22+'Tab. 6A -Drogi'!D535+'Tab. 6B Polit społ i rozwój prz'!D18+'Tab. 6C - Ochrona zdrowia'!D65+'Tab. 6D - Oświata'!D20+'Tab. 6E - Administracja'!D20+'Tab. 6E - Administracja'!D245+'Tab. 6F - Kultura'!D19+'Tab. 6G - Roln i ochrona środ.'!D21+'Tab. 6G - Roln i ochrona środ.'!D115+'Tab. 6H - Kultura fiz. i turyst'!D18+'Tab.6I - Planow. przestrz.'!D19+'Tab. 6C - Ochrona zdrowia'!D16</f>
        <v>1717016255</v>
      </c>
      <c r="N77" s="933" t="s">
        <v>233</v>
      </c>
      <c r="O77" s="2563"/>
    </row>
    <row r="78" spans="1:15" s="933" customFormat="1" ht="18.75" customHeight="1" thickTop="1">
      <c r="A78" s="2924" t="s">
        <v>39</v>
      </c>
      <c r="B78" s="938">
        <f>B84+B88</f>
        <v>90551927</v>
      </c>
      <c r="C78" s="938">
        <f>C84+C88</f>
        <v>88274456</v>
      </c>
      <c r="D78" s="938">
        <f t="shared" ref="C78:D79" si="38">D84+D88</f>
        <v>122035129</v>
      </c>
      <c r="E78" s="938">
        <f>E84+E88</f>
        <v>121404818</v>
      </c>
      <c r="F78" s="938">
        <f t="shared" ref="F78:I79" si="39">F84+F88</f>
        <v>88030999</v>
      </c>
      <c r="G78" s="938">
        <f t="shared" si="39"/>
        <v>43957371</v>
      </c>
      <c r="H78" s="938">
        <f t="shared" si="39"/>
        <v>36413469</v>
      </c>
      <c r="I78" s="938">
        <f t="shared" si="39"/>
        <v>31850237</v>
      </c>
      <c r="J78" s="938">
        <f>J84+J88</f>
        <v>635935120</v>
      </c>
      <c r="K78" s="943" t="s">
        <v>22</v>
      </c>
      <c r="L78" s="943" t="s">
        <v>22</v>
      </c>
      <c r="M78" s="932">
        <f>J77-M77</f>
        <v>0</v>
      </c>
      <c r="N78" s="944"/>
      <c r="O78" s="2564"/>
    </row>
    <row r="79" spans="1:15" s="933" customFormat="1" ht="16.5" customHeight="1" thickBot="1">
      <c r="A79" s="2384" t="s">
        <v>40</v>
      </c>
      <c r="B79" s="945">
        <f>B85+B89</f>
        <v>35493839</v>
      </c>
      <c r="C79" s="945">
        <f t="shared" si="38"/>
        <v>182412949</v>
      </c>
      <c r="D79" s="945">
        <f t="shared" si="38"/>
        <v>337415080</v>
      </c>
      <c r="E79" s="945">
        <f>E85+E89</f>
        <v>220172960</v>
      </c>
      <c r="F79" s="945">
        <f t="shared" si="39"/>
        <v>213750787</v>
      </c>
      <c r="G79" s="945">
        <f t="shared" si="39"/>
        <v>91441020</v>
      </c>
      <c r="H79" s="945">
        <f t="shared" si="39"/>
        <v>200000</v>
      </c>
      <c r="I79" s="945">
        <f t="shared" si="39"/>
        <v>144500</v>
      </c>
      <c r="J79" s="945">
        <f>J85+J89</f>
        <v>1081081135</v>
      </c>
      <c r="K79" s="946" t="s">
        <v>22</v>
      </c>
      <c r="L79" s="946" t="s">
        <v>22</v>
      </c>
      <c r="M79" s="932">
        <f>M77-J83-J87</f>
        <v>0</v>
      </c>
      <c r="O79" s="2565"/>
    </row>
    <row r="80" spans="1:15" s="933" customFormat="1" ht="18" customHeight="1" thickBot="1">
      <c r="A80" s="2385" t="s">
        <v>41</v>
      </c>
      <c r="B80" s="947">
        <f>B78+B79-B77</f>
        <v>0</v>
      </c>
      <c r="C80" s="947">
        <f>C78+C79-C77</f>
        <v>0</v>
      </c>
      <c r="D80" s="947">
        <f t="shared" ref="D80:I80" si="40">D78+D79-D77</f>
        <v>0</v>
      </c>
      <c r="E80" s="947">
        <f>E78+E79-E77</f>
        <v>0</v>
      </c>
      <c r="F80" s="947">
        <f>F78+F79-F77</f>
        <v>0</v>
      </c>
      <c r="G80" s="947">
        <f t="shared" si="40"/>
        <v>0</v>
      </c>
      <c r="H80" s="947">
        <f t="shared" si="40"/>
        <v>0</v>
      </c>
      <c r="I80" s="947">
        <f t="shared" si="40"/>
        <v>0</v>
      </c>
      <c r="J80" s="947">
        <f>J78+J79-J77</f>
        <v>0</v>
      </c>
      <c r="K80" s="932"/>
      <c r="L80" s="932"/>
      <c r="M80" s="932"/>
      <c r="N80" s="944"/>
      <c r="O80" s="2563"/>
    </row>
    <row r="81" spans="1:15" s="933" customFormat="1" ht="15.75" customHeight="1" thickBot="1">
      <c r="A81" s="2386"/>
      <c r="B81" s="947"/>
      <c r="C81" s="947"/>
      <c r="D81" s="2221">
        <v>2018</v>
      </c>
      <c r="E81" s="2221">
        <v>2019</v>
      </c>
      <c r="F81" s="2221">
        <v>2020</v>
      </c>
      <c r="G81" s="2221">
        <v>2021</v>
      </c>
      <c r="H81" s="2221">
        <v>2022</v>
      </c>
      <c r="I81" s="2221">
        <v>2023</v>
      </c>
      <c r="J81" s="947"/>
      <c r="K81" s="932"/>
      <c r="L81" s="932"/>
      <c r="M81" s="932"/>
      <c r="O81" s="2563"/>
    </row>
    <row r="82" spans="1:15" s="933" customFormat="1" ht="18" customHeight="1" thickBot="1">
      <c r="A82" s="2387" t="s">
        <v>42</v>
      </c>
      <c r="B82" s="948">
        <f t="shared" ref="B82:J82" si="41">B27-B83</f>
        <v>0</v>
      </c>
      <c r="C82" s="948">
        <f t="shared" si="41"/>
        <v>0</v>
      </c>
      <c r="D82" s="948">
        <f t="shared" si="41"/>
        <v>0</v>
      </c>
      <c r="E82" s="948">
        <f>E27-E83</f>
        <v>0</v>
      </c>
      <c r="F82" s="948">
        <f t="shared" si="41"/>
        <v>0</v>
      </c>
      <c r="G82" s="948">
        <f t="shared" si="41"/>
        <v>0</v>
      </c>
      <c r="H82" s="948">
        <f t="shared" si="41"/>
        <v>0</v>
      </c>
      <c r="I82" s="948">
        <f t="shared" si="41"/>
        <v>0</v>
      </c>
      <c r="J82" s="948">
        <f t="shared" si="41"/>
        <v>0</v>
      </c>
      <c r="K82" s="932"/>
      <c r="L82" s="932">
        <f>J83-L83</f>
        <v>0</v>
      </c>
      <c r="M82" s="932"/>
      <c r="N82" s="944">
        <f>M83+M87-M77</f>
        <v>0</v>
      </c>
      <c r="O82" s="2564"/>
    </row>
    <row r="83" spans="1:15" s="933" customFormat="1" ht="18" customHeight="1" thickBot="1">
      <c r="A83" s="2388" t="s">
        <v>43</v>
      </c>
      <c r="B83" s="949">
        <f t="shared" ref="B83:D83" si="42">B84+B85</f>
        <v>69281470</v>
      </c>
      <c r="C83" s="949">
        <f t="shared" si="42"/>
        <v>220861716</v>
      </c>
      <c r="D83" s="949">
        <f t="shared" si="42"/>
        <v>393995959</v>
      </c>
      <c r="E83" s="949">
        <f>E84+E85</f>
        <v>293835141</v>
      </c>
      <c r="F83" s="949">
        <f t="shared" ref="F83:N83" si="43">F84+F85</f>
        <v>259975251</v>
      </c>
      <c r="G83" s="949">
        <f t="shared" si="43"/>
        <v>129723318</v>
      </c>
      <c r="H83" s="949">
        <f t="shared" si="43"/>
        <v>34962740</v>
      </c>
      <c r="I83" s="949">
        <f t="shared" si="43"/>
        <v>31994737</v>
      </c>
      <c r="J83" s="950">
        <f>J84+J85</f>
        <v>1448097046</v>
      </c>
      <c r="K83" s="932"/>
      <c r="L83" s="932">
        <f>'Tab. 6A -Drogi'!D22+'Tab. 6B Polit społ i rozwój prz'!D18+'Tab. 6D - Oświata'!D20+'Tab. 6E - Administracja'!D20+'Tab. 6G - Roln i ochrona środ.'!D21+'Tab. 6H - Kultura fiz. i turyst'!D18+'Tab.6I - Planow. przestrz.'!D19+'Tab. 6C - Ochrona zdrowia'!D16</f>
        <v>1448097046</v>
      </c>
      <c r="M83" s="950">
        <f>M84+M85</f>
        <v>1448097046</v>
      </c>
      <c r="N83" s="2566">
        <f t="shared" si="43"/>
        <v>0</v>
      </c>
      <c r="O83" s="2569" t="s">
        <v>447</v>
      </c>
    </row>
    <row r="84" spans="1:15" s="933" customFormat="1" ht="20.25" customHeight="1">
      <c r="A84" s="2435" t="s">
        <v>39</v>
      </c>
      <c r="B84" s="951">
        <f>'Tab. 6A -Drogi'!E678+'Tab. 6B Polit społ i rozwój prz'!E283+'Tab. 6D - Oświata'!E143+'Tab. 6E - Administracja'!E270+'Tab. 6G - Roln i ochrona środ.'!E144+'Tab. 6H - Kultura fiz. i turyst'!E299+'Tab.6I - Planow. przestrz.'!E119</f>
        <v>33787631</v>
      </c>
      <c r="C84" s="951">
        <f>'Tab. 6A -Drogi'!F678+'Tab. 6B Polit społ i rozwój prz'!F283+'Tab. 6D - Oświata'!F143+'Tab. 6E - Administracja'!F270+'Tab. 6G - Roln i ochrona środ.'!F144+'Tab. 6H - Kultura fiz. i turyst'!F299+'Tab.6I - Planow. przestrz.'!F119</f>
        <v>40630767</v>
      </c>
      <c r="D84" s="951">
        <f>'Tab. 6A -Drogi'!G678+'Tab. 6B Polit społ i rozwój prz'!G283+'Tab. 6D - Oświata'!G143+'Tab. 6E - Administracja'!G270+'Tab. 6G - Roln i ochrona środ.'!G144+'Tab. 6H - Kultura fiz. i turyst'!G299+'Tab.6I - Planow. przestrz.'!G119+'Tab. 6C - Ochrona zdrowia'!G113</f>
        <v>60624530</v>
      </c>
      <c r="E84" s="951">
        <f>'Tab. 6A -Drogi'!H678+'Tab. 6B Polit społ i rozwój prz'!H283+'Tab. 6D - Oświata'!H143+'Tab. 6E - Administracja'!H270+'Tab. 6G - Roln i ochrona środ.'!H144+'Tab. 6H - Kultura fiz. i turyst'!H299+'Tab.6I - Planow. przestrz.'!H119+'Tab. 6C - Ochrona zdrowia'!H113</f>
        <v>73662181</v>
      </c>
      <c r="F84" s="951">
        <f>'Tab. 6A -Drogi'!I678+'Tab. 6B Polit społ i rozwój prz'!I283+'Tab. 6D - Oświata'!I143+'Tab. 6E - Administracja'!I270+'Tab. 6G - Roln i ochrona środ.'!I144+'Tab. 6H - Kultura fiz. i turyst'!I299+'Tab.6I - Planow. przestrz.'!I119+'Tab. 6C - Ochrona zdrowia'!I113</f>
        <v>46224464</v>
      </c>
      <c r="G84" s="951">
        <f>'Tab. 6A -Drogi'!J678+'Tab. 6B Polit społ i rozwój prz'!J283+'Tab. 6D - Oświata'!J143+'Tab. 6E - Administracja'!J270+'Tab. 6G - Roln i ochrona środ.'!J144+'Tab. 6H - Kultura fiz. i turyst'!J299+'Tab.6I - Planow. przestrz.'!J119+'Tab. 6C - Ochrona zdrowia'!J113</f>
        <v>38282298</v>
      </c>
      <c r="H84" s="951">
        <f>'Tab. 6A -Drogi'!K678+'Tab. 6B Polit społ i rozwój prz'!K283+'Tab. 6D - Oświata'!K143+'Tab. 6E - Administracja'!K270+'Tab. 6G - Roln i ochrona środ.'!K144+'Tab. 6H - Kultura fiz. i turyst'!K299+'Tab.6I - Planow. przestrz.'!K119</f>
        <v>34762740</v>
      </c>
      <c r="I84" s="951">
        <f>'Tab. 6A -Drogi'!L678+'Tab. 6B Polit społ i rozwój prz'!L283+'Tab. 6D - Oświata'!L143+'Tab. 6E - Administracja'!L270+'Tab. 6G - Roln i ochrona środ.'!L144+'Tab. 6H - Kultura fiz. i turyst'!L299+'Tab.6I - Planow. przestrz.'!L119</f>
        <v>31850237</v>
      </c>
      <c r="J84" s="952">
        <f>B84+C84+D84+E84+F84+G84+H84+I84+2029435+2998719+2055406+3812897+2520257</f>
        <v>373241562</v>
      </c>
      <c r="K84" s="944"/>
      <c r="M84" s="1130">
        <f>'Tab. 6A -Drogi'!D678+'Tab. 6B Polit społ i rozwój prz'!D283+'Tab. 6D - Oświata'!D143+'Tab. 6E - Administracja'!D270+'Tab. 6G - Roln i ochrona środ.'!D144+'Tab. 6H - Kultura fiz. i turyst'!D299+'Tab.6I - Planow. przestrz.'!D119+'Tab. 6C - Ochrona zdrowia'!D113</f>
        <v>373241562</v>
      </c>
      <c r="N84" s="1130">
        <f>J84-M84</f>
        <v>0</v>
      </c>
      <c r="O84" s="2570"/>
    </row>
    <row r="85" spans="1:15" s="933" customFormat="1" ht="18" customHeight="1" thickBot="1">
      <c r="A85" s="2430" t="s">
        <v>40</v>
      </c>
      <c r="B85" s="951">
        <f>'Tab. 6A -Drogi'!E679+'Tab. 6B Polit społ i rozwój prz'!E284+'Tab. 6D - Oświata'!E144+'Tab. 6E - Administracja'!E271+'Tab. 6G - Roln i ochrona środ.'!E145+'Tab. 6H - Kultura fiz. i turyst'!E300+'Tab.6I - Planow. przestrz.'!E120</f>
        <v>35493839</v>
      </c>
      <c r="C85" s="951">
        <f>'Tab. 6A -Drogi'!F679+'Tab. 6B Polit społ i rozwój prz'!F284+'Tab. 6D - Oświata'!F144+'Tab. 6E - Administracja'!F271+'Tab. 6G - Roln i ochrona środ.'!F145+'Tab. 6H - Kultura fiz. i turyst'!F300+'Tab.6I - Planow. przestrz.'!F120</f>
        <v>180230949</v>
      </c>
      <c r="D85" s="951">
        <f>'Tab. 6A -Drogi'!G679+'Tab. 6B Polit społ i rozwój prz'!G284+'Tab. 6D - Oświata'!G144+'Tab. 6E - Administracja'!G271+'Tab. 6G - Roln i ochrona środ.'!G145+'Tab. 6H - Kultura fiz. i turyst'!G300+'Tab.6I - Planow. przestrz.'!G120+'Tab. 6C - Ochrona zdrowia'!G114</f>
        <v>333371429</v>
      </c>
      <c r="E85" s="951">
        <f>'Tab. 6A -Drogi'!H679+'Tab. 6B Polit społ i rozwój prz'!H284+'Tab. 6D - Oświata'!H144+'Tab. 6E - Administracja'!H271+'Tab. 6G - Roln i ochrona środ.'!H145+'Tab. 6H - Kultura fiz. i turyst'!H300+'Tab.6I - Planow. przestrz.'!H120+'Tab. 6C - Ochrona zdrowia'!H114</f>
        <v>220172960</v>
      </c>
      <c r="F85" s="951">
        <f>'Tab. 6A -Drogi'!I679+'Tab. 6B Polit społ i rozwój prz'!I284+'Tab. 6D - Oświata'!I144+'Tab. 6E - Administracja'!I271+'Tab. 6G - Roln i ochrona środ.'!I145+'Tab. 6H - Kultura fiz. i turyst'!I300+'Tab.6I - Planow. przestrz.'!I120+'Tab. 6C - Ochrona zdrowia'!I114</f>
        <v>213750787</v>
      </c>
      <c r="G85" s="951">
        <f>'Tab. 6A -Drogi'!J679+'Tab. 6B Polit społ i rozwój prz'!J284+'Tab. 6D - Oświata'!J144+'Tab. 6E - Administracja'!J271+'Tab. 6G - Roln i ochrona środ.'!J145+'Tab. 6H - Kultura fiz. i turyst'!J300+'Tab.6I - Planow. przestrz.'!J120+'Tab. 6C - Ochrona zdrowia'!J114</f>
        <v>91441020</v>
      </c>
      <c r="H85" s="951">
        <f>'Tab. 6A -Drogi'!K679+'Tab. 6B Polit społ i rozwój prz'!K284+'Tab. 6D - Oświata'!K144+'Tab. 6E - Administracja'!K271+'Tab. 6G - Roln i ochrona środ.'!K145+'Tab. 6H - Kultura fiz. i turyst'!K300+'Tab.6I - Planow. przestrz.'!K120</f>
        <v>200000</v>
      </c>
      <c r="I85" s="951">
        <f>'Tab. 6A -Drogi'!L679+'Tab. 6B Polit społ i rozwój prz'!L284+'Tab. 6D - Oświata'!L144+'Tab. 6E - Administracja'!L271+'Tab. 6G - Roln i ochrona środ.'!L145+'Tab. 6H - Kultura fiz. i turyst'!L300+'Tab.6I - Planow. przestrz.'!L120</f>
        <v>144500</v>
      </c>
      <c r="J85" s="952">
        <f>B85+C85+D85+E85+F85+G85+H85+I85+11590+299481-61071-200000</f>
        <v>1074855484</v>
      </c>
      <c r="K85" s="944"/>
      <c r="L85" s="944"/>
      <c r="M85" s="1130">
        <f>'Tab. 6A -Drogi'!D679+'Tab. 6B Polit społ i rozwój prz'!D284+'Tab. 6E - Administracja'!D271+'Tab. 6G - Roln i ochrona środ.'!D145+'Tab. 6H - Kultura fiz. i turyst'!D300+'Tab.6I - Planow. przestrz.'!D120+'Tab. 6C - Ochrona zdrowia'!D114</f>
        <v>1074855484</v>
      </c>
      <c r="N85" s="2515">
        <f>J85-M85</f>
        <v>0</v>
      </c>
      <c r="O85" s="2571"/>
    </row>
    <row r="86" spans="1:15" s="933" customFormat="1" ht="24" customHeight="1" thickBot="1">
      <c r="A86" s="2387" t="s">
        <v>44</v>
      </c>
      <c r="B86" s="2504">
        <f t="shared" ref="B86:J86" si="44">B72-B87</f>
        <v>0</v>
      </c>
      <c r="C86" s="2392">
        <f>C72-C87</f>
        <v>0</v>
      </c>
      <c r="D86" s="2504">
        <f t="shared" si="44"/>
        <v>0</v>
      </c>
      <c r="E86" s="2504">
        <f>E72-E87</f>
        <v>0</v>
      </c>
      <c r="F86" s="2504">
        <f>F72-F87</f>
        <v>0</v>
      </c>
      <c r="G86" s="2504">
        <f t="shared" si="44"/>
        <v>0</v>
      </c>
      <c r="H86" s="2504">
        <f t="shared" si="44"/>
        <v>0</v>
      </c>
      <c r="I86" s="2504">
        <f t="shared" si="44"/>
        <v>0</v>
      </c>
      <c r="J86" s="2504">
        <f t="shared" si="44"/>
        <v>0</v>
      </c>
      <c r="K86" s="2514"/>
      <c r="L86" s="2514"/>
      <c r="M86" s="2515"/>
      <c r="N86" s="2544"/>
      <c r="O86" s="2572"/>
    </row>
    <row r="87" spans="1:15" s="933" customFormat="1" ht="20.25" customHeight="1" thickBot="1">
      <c r="A87" s="2388" t="s">
        <v>43</v>
      </c>
      <c r="B87" s="2501">
        <f>B88+B89</f>
        <v>56764296</v>
      </c>
      <c r="C87" s="2393">
        <f t="shared" ref="C87:J87" si="45">C88+C89</f>
        <v>49825689</v>
      </c>
      <c r="D87" s="2501">
        <f t="shared" si="45"/>
        <v>65454250</v>
      </c>
      <c r="E87" s="2501">
        <f t="shared" si="45"/>
        <v>47742637</v>
      </c>
      <c r="F87" s="2501">
        <f t="shared" si="45"/>
        <v>41806535</v>
      </c>
      <c r="G87" s="2501">
        <f t="shared" si="45"/>
        <v>5675073</v>
      </c>
      <c r="H87" s="2501">
        <f>H88+H89</f>
        <v>1650729</v>
      </c>
      <c r="I87" s="2501">
        <f>I88+I89</f>
        <v>0</v>
      </c>
      <c r="J87" s="2511">
        <f t="shared" si="45"/>
        <v>268919209</v>
      </c>
      <c r="K87" s="2395"/>
      <c r="L87" s="2395"/>
      <c r="M87" s="2511">
        <f t="shared" ref="M87:N87" si="46">M88+M89</f>
        <v>268919209</v>
      </c>
      <c r="N87" s="2511">
        <f t="shared" si="46"/>
        <v>0</v>
      </c>
      <c r="O87" s="2431" t="s">
        <v>447</v>
      </c>
    </row>
    <row r="88" spans="1:15" s="933" customFormat="1" ht="19.5" customHeight="1">
      <c r="A88" s="2445" t="s">
        <v>39</v>
      </c>
      <c r="B88" s="2446">
        <f>'Tab. 6A -Drogi'!E685+'Tab. 6F - Kultura'!E19</f>
        <v>56764296</v>
      </c>
      <c r="C88" s="2446">
        <f>'Tab. 6A -Drogi'!F685+'Tab. 6F - Kultura'!F19</f>
        <v>47643689</v>
      </c>
      <c r="D88" s="2446">
        <f>'Tab. 6A -Drogi'!G685+'Tab. 6F - Kultura'!G19</f>
        <v>61410599</v>
      </c>
      <c r="E88" s="2446">
        <f>'Tab. 6A -Drogi'!H685+'Tab. 6F - Kultura'!H19</f>
        <v>47742637</v>
      </c>
      <c r="F88" s="2446">
        <f>'Tab. 6A -Drogi'!I685+'Tab. 6F - Kultura'!I19</f>
        <v>41806535</v>
      </c>
      <c r="G88" s="2446">
        <f>'Tab. 6A -Drogi'!J685+'Tab. 6F - Kultura'!J19</f>
        <v>5675073</v>
      </c>
      <c r="H88" s="2446">
        <f>'Tab. 6A -Drogi'!K685+'Tab. 6F - Kultura'!K19</f>
        <v>1650729</v>
      </c>
      <c r="I88" s="2446">
        <f>'Tab. 6A -Drogi'!L685+'Tab. 6F - Kultura'!L19</f>
        <v>0</v>
      </c>
      <c r="J88" s="2447">
        <f>B88+C88+D88+E88+F88+G88+H88+I88</f>
        <v>262693558</v>
      </c>
      <c r="K88" s="944"/>
      <c r="L88" s="944"/>
      <c r="M88" s="1130">
        <f>'Tab. 6A -Drogi'!D546+'Tab. 6A -Drogi'!D609+'Tab. 6A -Drogi'!D654+'Tab. 6F - Kultura'!D19+'Tab. 6A -Drogi'!D582</f>
        <v>262693558</v>
      </c>
      <c r="N88" s="1130">
        <f>J88-M88</f>
        <v>0</v>
      </c>
      <c r="O88" s="2448"/>
    </row>
    <row r="89" spans="1:15" s="933" customFormat="1" ht="19.5" customHeight="1">
      <c r="A89" s="2483" t="s">
        <v>40</v>
      </c>
      <c r="B89" s="2484">
        <f>'Tab. 6A -Drogi'!E686+'Tab. 6C - Ochrona zdrowia'!E65+'Tab. 6G - Roln i ochrona środ.'!E126</f>
        <v>0</v>
      </c>
      <c r="C89" s="2484">
        <f>'Tab. 6A -Drogi'!F686+'Tab. 6C - Ochrona zdrowia'!F65+'Tab. 6G - Roln i ochrona środ.'!F126</f>
        <v>2182000</v>
      </c>
      <c r="D89" s="2484">
        <f>'Tab. 6A -Drogi'!G686+'Tab. 6C - Ochrona zdrowia'!G65+'Tab. 6G - Roln i ochrona środ.'!G126</f>
        <v>4043651</v>
      </c>
      <c r="E89" s="2484">
        <f>'Tab. 6A -Drogi'!H686+'Tab. 6C - Ochrona zdrowia'!H65+'Tab. 6G - Roln i ochrona środ.'!H126</f>
        <v>0</v>
      </c>
      <c r="F89" s="2484">
        <f>'Tab. 6A -Drogi'!I686+'Tab. 6C - Ochrona zdrowia'!I65+'Tab. 6G - Roln i ochrona środ.'!I126</f>
        <v>0</v>
      </c>
      <c r="G89" s="2484">
        <f>'Tab. 6A -Drogi'!J686+'Tab. 6C - Ochrona zdrowia'!J65+'Tab. 6G - Roln i ochrona środ.'!J126</f>
        <v>0</v>
      </c>
      <c r="H89" s="2484">
        <f>'Tab. 6A -Drogi'!K686+'Tab. 6C - Ochrona zdrowia'!K65+'Tab. 6G - Roln i ochrona środ.'!K126</f>
        <v>0</v>
      </c>
      <c r="I89" s="2484">
        <f>'Tab. 6A -Drogi'!L686+'Tab. 6C - Ochrona zdrowia'!L65+'Tab. 6G - Roln i ochrona środ.'!L126</f>
        <v>0</v>
      </c>
      <c r="J89" s="2485">
        <f>B89+C89+D89+E89+F89+G89+H89+I89</f>
        <v>6225651</v>
      </c>
      <c r="K89" s="944"/>
      <c r="L89" s="944"/>
      <c r="M89" s="1130">
        <f>'Tab. 6A -Drogi'!D686+'Tab. 6C - Ochrona zdrowia'!D65+'Tab. 6G - Roln i ochrona środ.'!D126</f>
        <v>6225651</v>
      </c>
      <c r="N89" s="1130">
        <f>J89-M89</f>
        <v>0</v>
      </c>
      <c r="O89" s="2486"/>
    </row>
    <row r="90" spans="1:15" s="933" customFormat="1" ht="18" customHeight="1">
      <c r="A90" s="2487"/>
      <c r="B90" s="947">
        <f>B87+B83-B77</f>
        <v>0</v>
      </c>
      <c r="C90" s="947">
        <f>C87+C83-C77</f>
        <v>0</v>
      </c>
      <c r="D90" s="947">
        <f t="shared" ref="D90:I90" si="47">D87+D83-D77</f>
        <v>0</v>
      </c>
      <c r="E90" s="947">
        <f t="shared" si="47"/>
        <v>0</v>
      </c>
      <c r="F90" s="947">
        <f t="shared" si="47"/>
        <v>0</v>
      </c>
      <c r="G90" s="947">
        <f t="shared" si="47"/>
        <v>0</v>
      </c>
      <c r="H90" s="947">
        <f t="shared" si="47"/>
        <v>0</v>
      </c>
      <c r="I90" s="947">
        <f t="shared" si="47"/>
        <v>0</v>
      </c>
      <c r="J90" s="947">
        <f>J87+J83-J77</f>
        <v>0</v>
      </c>
      <c r="K90" s="944"/>
      <c r="L90" s="944"/>
      <c r="M90" s="944"/>
    </row>
    <row r="91" spans="1:15" s="933" customFormat="1" ht="18" customHeight="1">
      <c r="A91" s="2487"/>
      <c r="B91" s="947"/>
      <c r="C91" s="947"/>
      <c r="D91" s="947"/>
      <c r="E91" s="947"/>
      <c r="F91" s="947"/>
      <c r="G91" s="947"/>
      <c r="H91" s="947"/>
      <c r="I91" s="947"/>
      <c r="J91" s="947"/>
      <c r="K91" s="944"/>
      <c r="L91" s="944"/>
      <c r="M91" s="944"/>
    </row>
    <row r="92" spans="1:15" s="933" customFormat="1" ht="18" customHeight="1" thickBot="1">
      <c r="A92" s="2829"/>
      <c r="B92" s="931">
        <f t="shared" ref="B92:J92" si="48">+B71-B48</f>
        <v>0</v>
      </c>
      <c r="C92" s="931">
        <f t="shared" si="48"/>
        <v>0</v>
      </c>
      <c r="D92" s="931">
        <f t="shared" si="48"/>
        <v>0</v>
      </c>
      <c r="E92" s="931">
        <f t="shared" si="48"/>
        <v>0</v>
      </c>
      <c r="F92" s="931">
        <f t="shared" si="48"/>
        <v>0</v>
      </c>
      <c r="G92" s="931">
        <f t="shared" si="48"/>
        <v>0</v>
      </c>
      <c r="H92" s="931">
        <f t="shared" si="48"/>
        <v>0</v>
      </c>
      <c r="I92" s="931">
        <f t="shared" si="48"/>
        <v>0</v>
      </c>
      <c r="J92" s="931">
        <f t="shared" si="48"/>
        <v>0</v>
      </c>
      <c r="K92" s="931"/>
      <c r="L92" s="931"/>
      <c r="M92" s="944"/>
      <c r="O92" s="2422"/>
    </row>
    <row r="93" spans="1:15" s="933" customFormat="1" ht="18" customHeight="1" thickBot="1">
      <c r="A93" s="2830"/>
      <c r="B93" s="931">
        <f t="shared" ref="B93:J93" si="49">B12+B48</f>
        <v>496582705</v>
      </c>
      <c r="C93" s="931">
        <f t="shared" si="49"/>
        <v>451211624</v>
      </c>
      <c r="D93" s="931">
        <f t="shared" si="49"/>
        <v>663483416</v>
      </c>
      <c r="E93" s="931">
        <f t="shared" si="49"/>
        <v>655970097</v>
      </c>
      <c r="F93" s="931">
        <f t="shared" si="49"/>
        <v>555088441</v>
      </c>
      <c r="G93" s="931">
        <f t="shared" si="49"/>
        <v>188829117</v>
      </c>
      <c r="H93" s="931">
        <f t="shared" si="49"/>
        <v>72180118</v>
      </c>
      <c r="I93" s="931">
        <f t="shared" si="49"/>
        <v>46173091</v>
      </c>
      <c r="J93" s="931">
        <f t="shared" si="49"/>
        <v>3163154934</v>
      </c>
      <c r="K93" s="931"/>
      <c r="L93" s="931"/>
      <c r="M93" s="944"/>
      <c r="O93" s="2423"/>
    </row>
    <row r="94" spans="1:15" s="933" customFormat="1" ht="16.5" customHeight="1" thickBot="1">
      <c r="A94" s="2830"/>
      <c r="B94" s="2031" t="s">
        <v>496</v>
      </c>
      <c r="C94" s="2032" t="s">
        <v>5</v>
      </c>
      <c r="D94" s="1760" t="s">
        <v>6</v>
      </c>
      <c r="E94" s="1751" t="s">
        <v>202</v>
      </c>
      <c r="F94" s="2033" t="s">
        <v>204</v>
      </c>
      <c r="G94" s="2033" t="s">
        <v>246</v>
      </c>
      <c r="H94" s="2033" t="s">
        <v>247</v>
      </c>
      <c r="I94" s="2033" t="s">
        <v>245</v>
      </c>
      <c r="J94" s="2034" t="s">
        <v>45</v>
      </c>
      <c r="K94" s="2034" t="s">
        <v>429</v>
      </c>
      <c r="L94" s="2034" t="s">
        <v>555</v>
      </c>
      <c r="M94" s="944"/>
      <c r="O94" s="2423"/>
    </row>
    <row r="95" spans="1:15" s="933" customFormat="1" ht="18" hidden="1" customHeight="1">
      <c r="A95" s="2830"/>
      <c r="B95" s="931"/>
      <c r="C95" s="931"/>
      <c r="D95" s="1761"/>
      <c r="E95" s="931"/>
      <c r="F95" s="931"/>
      <c r="G95" s="931"/>
      <c r="H95" s="931"/>
      <c r="I95" s="931"/>
      <c r="J95" s="931"/>
      <c r="K95" s="955"/>
      <c r="L95" s="955"/>
      <c r="M95" s="944"/>
      <c r="O95" s="2423"/>
    </row>
    <row r="96" spans="1:15" s="933" customFormat="1" ht="18" hidden="1" customHeight="1">
      <c r="A96" s="2830"/>
      <c r="B96" s="931"/>
      <c r="C96" s="931"/>
      <c r="D96" s="1761"/>
      <c r="E96" s="931"/>
      <c r="F96" s="931"/>
      <c r="G96" s="931"/>
      <c r="H96" s="931"/>
      <c r="I96" s="931"/>
      <c r="J96" s="931"/>
      <c r="K96" s="955"/>
      <c r="L96" s="955"/>
      <c r="M96" s="944"/>
      <c r="O96" s="2423"/>
    </row>
    <row r="97" spans="1:15" s="400" customFormat="1" ht="12.75" hidden="1" customHeight="1">
      <c r="A97" s="2389"/>
      <c r="B97" s="886"/>
      <c r="C97" s="886">
        <f>+C13+C49</f>
        <v>185036701</v>
      </c>
      <c r="D97" s="1554">
        <f>+D13+D49</f>
        <v>231298837</v>
      </c>
      <c r="E97" s="886"/>
      <c r="F97" s="886"/>
      <c r="G97" s="886"/>
      <c r="H97" s="886"/>
      <c r="I97" s="886"/>
      <c r="J97" s="886"/>
      <c r="M97" s="901"/>
      <c r="O97" s="2424"/>
    </row>
    <row r="98" spans="1:15" s="400" customFormat="1" ht="28.5" hidden="1" customHeight="1">
      <c r="A98" s="2390"/>
      <c r="B98" s="957"/>
      <c r="C98" s="957">
        <f>+C14+C50</f>
        <v>266174923</v>
      </c>
      <c r="D98" s="1762">
        <f>+D14+D50</f>
        <v>432184579</v>
      </c>
      <c r="E98" s="957"/>
      <c r="F98" s="957"/>
      <c r="G98" s="957"/>
      <c r="H98" s="957"/>
      <c r="I98" s="957"/>
      <c r="J98" s="956"/>
      <c r="K98" s="956"/>
      <c r="L98" s="956"/>
      <c r="M98" s="901"/>
      <c r="O98" s="2424"/>
    </row>
    <row r="99" spans="1:15" s="400" customFormat="1" ht="8.25" hidden="1" customHeight="1" thickBot="1">
      <c r="A99" s="2389"/>
      <c r="B99" s="886"/>
      <c r="C99" s="886"/>
      <c r="D99" s="1554"/>
      <c r="E99" s="886"/>
      <c r="F99" s="886"/>
      <c r="G99" s="886"/>
      <c r="H99" s="886"/>
      <c r="I99" s="886"/>
      <c r="J99" s="886"/>
      <c r="M99" s="901"/>
      <c r="O99" s="2424"/>
    </row>
    <row r="100" spans="1:15" s="400" customFormat="1" ht="12.75" hidden="1" customHeight="1">
      <c r="A100" s="2391"/>
      <c r="B100" s="958"/>
      <c r="C100" s="959">
        <f t="shared" ref="C100:J100" si="50">+C101+C102</f>
        <v>451211624</v>
      </c>
      <c r="D100" s="1763">
        <f>+D101+D102</f>
        <v>663483416</v>
      </c>
      <c r="E100" s="959"/>
      <c r="F100" s="959"/>
      <c r="G100" s="959"/>
      <c r="H100" s="959"/>
      <c r="I100" s="959"/>
      <c r="J100" s="958">
        <f t="shared" si="50"/>
        <v>3163154934</v>
      </c>
      <c r="K100" s="960"/>
      <c r="L100" s="960"/>
      <c r="M100" s="901"/>
      <c r="O100" s="2425"/>
    </row>
    <row r="101" spans="1:15" s="400" customFormat="1" ht="12.75" hidden="1" customHeight="1">
      <c r="A101" s="912"/>
      <c r="B101" s="961"/>
      <c r="C101" s="962">
        <f>+C13+C49</f>
        <v>185036701</v>
      </c>
      <c r="D101" s="1764">
        <f>+D13+D49</f>
        <v>231298837</v>
      </c>
      <c r="E101" s="962"/>
      <c r="F101" s="962"/>
      <c r="G101" s="962"/>
      <c r="H101" s="962"/>
      <c r="I101" s="962"/>
      <c r="J101" s="961">
        <f>+J13+J49</f>
        <v>1536182908</v>
      </c>
      <c r="K101" s="963"/>
      <c r="L101" s="963"/>
      <c r="M101" s="901"/>
    </row>
    <row r="102" spans="1:15" s="400" customFormat="1" ht="12.75" hidden="1" customHeight="1" thickBot="1">
      <c r="A102" s="912"/>
      <c r="B102" s="964"/>
      <c r="C102" s="965">
        <f>+C14+C50</f>
        <v>266174923</v>
      </c>
      <c r="D102" s="1765">
        <f>+D14+D50</f>
        <v>432184579</v>
      </c>
      <c r="E102" s="965"/>
      <c r="F102" s="965"/>
      <c r="G102" s="965"/>
      <c r="H102" s="965"/>
      <c r="I102" s="965"/>
      <c r="J102" s="964">
        <f>+J14+J50</f>
        <v>1626972026</v>
      </c>
      <c r="K102" s="966"/>
      <c r="L102" s="966"/>
      <c r="M102" s="901"/>
    </row>
    <row r="103" spans="1:15" s="400" customFormat="1" ht="21.75" hidden="1" customHeight="1">
      <c r="A103" s="967" t="s">
        <v>46</v>
      </c>
      <c r="B103" s="968"/>
      <c r="C103" s="968">
        <f>+C71+C37</f>
        <v>451211624</v>
      </c>
      <c r="D103" s="1766">
        <f>+D71+D37</f>
        <v>663483416</v>
      </c>
      <c r="E103" s="968"/>
      <c r="F103" s="968"/>
      <c r="G103" s="968"/>
      <c r="H103" s="968"/>
      <c r="I103" s="968"/>
      <c r="J103" s="968">
        <f>+J71+J37</f>
        <v>3163154934.3000002</v>
      </c>
      <c r="K103" s="969"/>
      <c r="L103" s="969"/>
      <c r="M103" s="901"/>
    </row>
    <row r="104" spans="1:15" s="400" customFormat="1" ht="9.75" hidden="1" customHeight="1">
      <c r="A104" s="967"/>
      <c r="B104" s="957"/>
      <c r="C104" s="957">
        <f t="shared" ref="C104:J104" si="51">+C103-C100</f>
        <v>0</v>
      </c>
      <c r="D104" s="1762">
        <f t="shared" si="51"/>
        <v>0</v>
      </c>
      <c r="E104" s="957"/>
      <c r="F104" s="957"/>
      <c r="G104" s="957"/>
      <c r="H104" s="957"/>
      <c r="I104" s="957"/>
      <c r="J104" s="957">
        <f t="shared" si="51"/>
        <v>0.30000019073486328</v>
      </c>
      <c r="K104" s="886"/>
      <c r="L104" s="886"/>
      <c r="M104" s="901"/>
    </row>
    <row r="105" spans="1:15" s="400" customFormat="1" ht="15.75" hidden="1" customHeight="1" thickBot="1">
      <c r="A105" s="967" t="s">
        <v>47</v>
      </c>
      <c r="B105" s="968"/>
      <c r="C105" s="968">
        <f>+C72+C38</f>
        <v>270687405</v>
      </c>
      <c r="D105" s="1766">
        <f>+D72+D38</f>
        <v>459450209</v>
      </c>
      <c r="E105" s="968"/>
      <c r="F105" s="968"/>
      <c r="G105" s="968"/>
      <c r="H105" s="968"/>
      <c r="I105" s="968"/>
      <c r="J105" s="968">
        <f>+J72+J38</f>
        <v>1717016255</v>
      </c>
      <c r="K105" s="886"/>
      <c r="L105" s="886"/>
      <c r="M105" s="901"/>
    </row>
    <row r="106" spans="1:15" ht="1.5" customHeight="1">
      <c r="A106" s="3277" t="s">
        <v>742</v>
      </c>
      <c r="B106" s="970"/>
      <c r="C106" s="972"/>
      <c r="D106" s="1767"/>
      <c r="E106" s="971"/>
      <c r="F106" s="970"/>
      <c r="G106" s="970"/>
      <c r="H106" s="970"/>
      <c r="I106" s="970"/>
      <c r="J106" s="970"/>
      <c r="K106" s="972"/>
      <c r="L106" s="972"/>
      <c r="M106" s="2454"/>
      <c r="N106" s="856"/>
      <c r="O106" s="856"/>
    </row>
    <row r="107" spans="1:15" s="879" customFormat="1" ht="27.75" customHeight="1" thickBot="1">
      <c r="A107" s="3278"/>
      <c r="B107" s="973">
        <f t="shared" ref="B107:L107" si="52">+B71+B37</f>
        <v>496582705.30000001</v>
      </c>
      <c r="C107" s="975">
        <f t="shared" si="52"/>
        <v>451211624</v>
      </c>
      <c r="D107" s="1768">
        <f t="shared" si="52"/>
        <v>663483416</v>
      </c>
      <c r="E107" s="974">
        <f t="shared" si="52"/>
        <v>655970097</v>
      </c>
      <c r="F107" s="973">
        <f t="shared" si="52"/>
        <v>555088441</v>
      </c>
      <c r="G107" s="973">
        <f t="shared" si="52"/>
        <v>188829117</v>
      </c>
      <c r="H107" s="973">
        <f t="shared" si="52"/>
        <v>72180118</v>
      </c>
      <c r="I107" s="973">
        <f t="shared" si="52"/>
        <v>46173091</v>
      </c>
      <c r="J107" s="973">
        <f t="shared" si="52"/>
        <v>3163154934.3000002</v>
      </c>
      <c r="K107" s="975" t="e">
        <f t="shared" si="52"/>
        <v>#VALUE!</v>
      </c>
      <c r="L107" s="975">
        <f t="shared" si="52"/>
        <v>2215360605</v>
      </c>
      <c r="M107" s="2970"/>
      <c r="N107" s="2035"/>
      <c r="O107" s="2035"/>
    </row>
    <row r="108" spans="1:15">
      <c r="A108" s="1" t="s">
        <v>48</v>
      </c>
      <c r="B108" s="2">
        <f>+B18+B54</f>
        <v>401720246.30000001</v>
      </c>
      <c r="C108" s="2">
        <f t="shared" ref="C108:L108" si="53">+C18+C54</f>
        <v>174424217</v>
      </c>
      <c r="D108" s="2">
        <f t="shared" si="53"/>
        <v>210459527</v>
      </c>
      <c r="E108" s="2">
        <f t="shared" si="53"/>
        <v>261705221</v>
      </c>
      <c r="F108" s="2">
        <f t="shared" si="53"/>
        <v>238996797</v>
      </c>
      <c r="G108" s="2">
        <f t="shared" si="53"/>
        <v>69272063</v>
      </c>
      <c r="H108" s="2">
        <f t="shared" si="53"/>
        <v>36302873</v>
      </c>
      <c r="I108" s="2">
        <f t="shared" si="53"/>
        <v>14576542</v>
      </c>
      <c r="J108" s="2">
        <f t="shared" si="53"/>
        <v>1441093811.3</v>
      </c>
      <c r="K108" s="2">
        <f t="shared" si="53"/>
        <v>1039373565</v>
      </c>
      <c r="L108" s="2">
        <f t="shared" si="53"/>
        <v>864949348</v>
      </c>
      <c r="M108" s="2454"/>
      <c r="N108" s="856"/>
      <c r="O108" s="856"/>
    </row>
    <row r="109" spans="1:15">
      <c r="A109" s="1" t="s">
        <v>49</v>
      </c>
      <c r="B109" s="2036">
        <f>+B57</f>
        <v>8217368</v>
      </c>
      <c r="C109" s="2037">
        <f t="shared" ref="C109:D109" si="54">+C57</f>
        <v>7874823</v>
      </c>
      <c r="D109" s="1769">
        <f t="shared" si="54"/>
        <v>17227273</v>
      </c>
      <c r="E109" s="1752">
        <f t="shared" ref="E109:L109" si="55">+E57</f>
        <v>66958930</v>
      </c>
      <c r="F109" s="2036">
        <f t="shared" si="55"/>
        <v>30232378</v>
      </c>
      <c r="G109" s="2036">
        <f>+G57</f>
        <v>16856941</v>
      </c>
      <c r="H109" s="2036">
        <f t="shared" si="55"/>
        <v>1472245</v>
      </c>
      <c r="I109" s="2036">
        <f t="shared" si="55"/>
        <v>0</v>
      </c>
      <c r="J109" s="2036">
        <f t="shared" si="55"/>
        <v>148839958</v>
      </c>
      <c r="K109" s="2038">
        <f t="shared" ref="K109" si="56">+K57</f>
        <v>140622590</v>
      </c>
      <c r="L109" s="2038">
        <f t="shared" si="55"/>
        <v>132747767</v>
      </c>
      <c r="M109" s="2454"/>
      <c r="N109" s="856"/>
      <c r="O109" s="856"/>
    </row>
    <row r="110" spans="1:15" ht="13.5" thickBot="1">
      <c r="A110" s="2896" t="s">
        <v>13</v>
      </c>
      <c r="B110" s="2036">
        <f t="shared" ref="B110:L110" si="57">+B19+B59</f>
        <v>2982123</v>
      </c>
      <c r="C110" s="2037">
        <f t="shared" si="57"/>
        <v>25478987</v>
      </c>
      <c r="D110" s="2897">
        <f t="shared" si="57"/>
        <v>29313490</v>
      </c>
      <c r="E110" s="1752">
        <f t="shared" si="57"/>
        <v>4582983</v>
      </c>
      <c r="F110" s="2036">
        <f t="shared" si="57"/>
        <v>3882448</v>
      </c>
      <c r="G110" s="2036">
        <f t="shared" si="57"/>
        <v>1075392</v>
      </c>
      <c r="H110" s="2036">
        <f t="shared" si="57"/>
        <v>666312</v>
      </c>
      <c r="I110" s="2036">
        <f t="shared" si="57"/>
        <v>640586</v>
      </c>
      <c r="J110" s="2036">
        <f t="shared" si="57"/>
        <v>68622321</v>
      </c>
      <c r="K110" s="2038">
        <f t="shared" si="57"/>
        <v>65640198</v>
      </c>
      <c r="L110" s="2038">
        <f t="shared" si="57"/>
        <v>40161211</v>
      </c>
      <c r="M110" s="2797"/>
      <c r="N110" s="1055"/>
      <c r="O110" s="1055"/>
    </row>
    <row r="111" spans="1:15">
      <c r="A111" s="1" t="s">
        <v>15</v>
      </c>
      <c r="B111" s="1996">
        <f t="shared" ref="B111:L111" si="58">+B20+B58</f>
        <v>14174089</v>
      </c>
      <c r="C111" s="1997">
        <f t="shared" si="58"/>
        <v>6133734</v>
      </c>
      <c r="D111" s="1998">
        <f t="shared" si="58"/>
        <v>11765831</v>
      </c>
      <c r="E111" s="1999">
        <f t="shared" si="58"/>
        <v>4157433</v>
      </c>
      <c r="F111" s="1996">
        <f t="shared" si="58"/>
        <v>0</v>
      </c>
      <c r="G111" s="1996">
        <f t="shared" si="58"/>
        <v>0</v>
      </c>
      <c r="H111" s="1996">
        <f t="shared" si="58"/>
        <v>0</v>
      </c>
      <c r="I111" s="1996">
        <f t="shared" si="58"/>
        <v>0</v>
      </c>
      <c r="J111" s="1996">
        <f t="shared" si="58"/>
        <v>36231087</v>
      </c>
      <c r="K111" s="2895">
        <f t="shared" si="58"/>
        <v>22056998</v>
      </c>
      <c r="L111" s="2895">
        <f t="shared" si="58"/>
        <v>15923264</v>
      </c>
    </row>
    <row r="112" spans="1:15">
      <c r="A112" s="358" t="s">
        <v>50</v>
      </c>
      <c r="B112" s="3">
        <f t="shared" ref="B112:L112" si="59">+B21+B55</f>
        <v>0</v>
      </c>
      <c r="C112" s="1737">
        <f t="shared" si="59"/>
        <v>10003578</v>
      </c>
      <c r="D112" s="1769">
        <f t="shared" si="59"/>
        <v>16807247</v>
      </c>
      <c r="E112" s="1752">
        <f t="shared" si="59"/>
        <v>26258486</v>
      </c>
      <c r="F112" s="3">
        <f t="shared" si="59"/>
        <v>9699890</v>
      </c>
      <c r="G112" s="3">
        <f t="shared" si="59"/>
        <v>0</v>
      </c>
      <c r="H112" s="3">
        <f t="shared" si="59"/>
        <v>0</v>
      </c>
      <c r="I112" s="3">
        <f t="shared" si="59"/>
        <v>0</v>
      </c>
      <c r="J112" s="1307">
        <f t="shared" si="59"/>
        <v>62769201</v>
      </c>
      <c r="K112" s="1217">
        <f t="shared" si="59"/>
        <v>62769201</v>
      </c>
      <c r="L112" s="1217">
        <f t="shared" si="59"/>
        <v>52765623</v>
      </c>
    </row>
    <row r="113" spans="1:13">
      <c r="A113" s="358" t="s">
        <v>19</v>
      </c>
      <c r="B113" s="3">
        <f t="shared" ref="B113:L113" si="60">+B25</f>
        <v>729416</v>
      </c>
      <c r="C113" s="1737">
        <f t="shared" si="60"/>
        <v>872316</v>
      </c>
      <c r="D113" s="1769">
        <f t="shared" si="60"/>
        <v>966412</v>
      </c>
      <c r="E113" s="1752">
        <f t="shared" si="60"/>
        <v>13577874</v>
      </c>
      <c r="F113" s="3">
        <f t="shared" si="60"/>
        <v>25984348</v>
      </c>
      <c r="G113" s="3">
        <f t="shared" si="60"/>
        <v>5606076</v>
      </c>
      <c r="H113" s="3">
        <f t="shared" si="60"/>
        <v>0</v>
      </c>
      <c r="I113" s="3">
        <f t="shared" si="60"/>
        <v>0</v>
      </c>
      <c r="J113" s="1307">
        <f t="shared" si="60"/>
        <v>47736442</v>
      </c>
      <c r="K113" s="1217">
        <f t="shared" ref="K113" si="61">+K25</f>
        <v>47007026</v>
      </c>
      <c r="L113" s="1217">
        <f t="shared" si="60"/>
        <v>46134710</v>
      </c>
    </row>
    <row r="114" spans="1:13">
      <c r="A114" s="358" t="s">
        <v>17</v>
      </c>
      <c r="B114" s="3">
        <f t="shared" ref="B114:L114" si="62">+B22</f>
        <v>0</v>
      </c>
      <c r="C114" s="1737">
        <f t="shared" si="62"/>
        <v>0</v>
      </c>
      <c r="D114" s="1769">
        <f t="shared" si="62"/>
        <v>12869758</v>
      </c>
      <c r="E114" s="1752">
        <f t="shared" si="62"/>
        <v>3189386</v>
      </c>
      <c r="F114" s="3">
        <f t="shared" si="62"/>
        <v>4581649</v>
      </c>
      <c r="G114" s="3">
        <f t="shared" si="62"/>
        <v>886081</v>
      </c>
      <c r="H114" s="3">
        <f t="shared" si="62"/>
        <v>0</v>
      </c>
      <c r="I114" s="3">
        <f t="shared" si="62"/>
        <v>0</v>
      </c>
      <c r="J114" s="3">
        <f t="shared" si="62"/>
        <v>21526874</v>
      </c>
      <c r="K114" s="1217">
        <f t="shared" ref="K114" si="63">+K22</f>
        <v>21526874</v>
      </c>
      <c r="L114" s="1217">
        <f t="shared" si="62"/>
        <v>21526874</v>
      </c>
    </row>
    <row r="115" spans="1:13" ht="13.5" thickBot="1">
      <c r="A115" s="976" t="s">
        <v>20</v>
      </c>
      <c r="B115" s="5">
        <f t="shared" ref="B115:L115" si="64">+B26</f>
        <v>68759463</v>
      </c>
      <c r="C115" s="1738">
        <f t="shared" si="64"/>
        <v>226423969</v>
      </c>
      <c r="D115" s="1770">
        <f t="shared" si="64"/>
        <v>364073878</v>
      </c>
      <c r="E115" s="1753">
        <f t="shared" si="64"/>
        <v>275539784</v>
      </c>
      <c r="F115" s="5">
        <f t="shared" si="64"/>
        <v>241710931</v>
      </c>
      <c r="G115" s="5">
        <f t="shared" si="64"/>
        <v>95132564</v>
      </c>
      <c r="H115" s="5">
        <f t="shared" si="64"/>
        <v>33738688</v>
      </c>
      <c r="I115" s="5">
        <f t="shared" si="64"/>
        <v>30955963</v>
      </c>
      <c r="J115" s="5">
        <f t="shared" si="64"/>
        <v>1336335240</v>
      </c>
      <c r="K115" s="1218">
        <f t="shared" ref="K115" si="65">+K26</f>
        <v>1267575777</v>
      </c>
      <c r="L115" s="1218">
        <f t="shared" si="64"/>
        <v>1041151808</v>
      </c>
    </row>
    <row r="116" spans="1:13" s="879" customFormat="1" ht="18" customHeight="1">
      <c r="A116" s="977"/>
      <c r="B116" s="979">
        <f t="shared" ref="B116:L116" si="66">SUM(B108:B115)</f>
        <v>496582705.30000001</v>
      </c>
      <c r="C116" s="978">
        <f t="shared" si="66"/>
        <v>451211624</v>
      </c>
      <c r="D116" s="1771">
        <f t="shared" si="66"/>
        <v>663483416</v>
      </c>
      <c r="E116" s="978">
        <f t="shared" si="66"/>
        <v>655970097</v>
      </c>
      <c r="F116" s="978">
        <f t="shared" si="66"/>
        <v>555088441</v>
      </c>
      <c r="G116" s="978">
        <f t="shared" si="66"/>
        <v>188829117</v>
      </c>
      <c r="H116" s="978">
        <f t="shared" si="66"/>
        <v>72180118</v>
      </c>
      <c r="I116" s="978">
        <f t="shared" si="66"/>
        <v>46173091</v>
      </c>
      <c r="J116" s="978">
        <f t="shared" si="66"/>
        <v>3163154934.3000002</v>
      </c>
      <c r="K116" s="978">
        <f t="shared" si="66"/>
        <v>2666572229</v>
      </c>
      <c r="L116" s="978">
        <f t="shared" si="66"/>
        <v>2215360605</v>
      </c>
      <c r="M116" s="2287"/>
    </row>
    <row r="117" spans="1:13" ht="18" customHeight="1" thickBot="1">
      <c r="A117" s="980"/>
      <c r="B117" s="981">
        <f t="shared" ref="B117:J117" si="67">+B116-B74</f>
        <v>0.30000001192092896</v>
      </c>
      <c r="C117" s="981">
        <f t="shared" si="67"/>
        <v>0</v>
      </c>
      <c r="D117" s="2831">
        <f t="shared" si="67"/>
        <v>0</v>
      </c>
      <c r="E117" s="981">
        <f t="shared" si="67"/>
        <v>0</v>
      </c>
      <c r="F117" s="981">
        <f t="shared" si="67"/>
        <v>0</v>
      </c>
      <c r="G117" s="981">
        <f t="shared" si="67"/>
        <v>0</v>
      </c>
      <c r="H117" s="981">
        <f t="shared" si="67"/>
        <v>0</v>
      </c>
      <c r="I117" s="981">
        <f t="shared" si="67"/>
        <v>0</v>
      </c>
      <c r="J117" s="981">
        <f t="shared" si="67"/>
        <v>0.30000019073486328</v>
      </c>
      <c r="K117" s="981"/>
      <c r="L117" s="981"/>
    </row>
    <row r="118" spans="1:13" ht="30" customHeight="1" thickBot="1">
      <c r="A118" s="2832" t="s">
        <v>743</v>
      </c>
      <c r="B118" s="982">
        <f t="shared" ref="B118:J118" si="68">+B72+B38</f>
        <v>126045766</v>
      </c>
      <c r="C118" s="1739">
        <f t="shared" si="68"/>
        <v>270687405</v>
      </c>
      <c r="D118" s="1772">
        <f t="shared" si="68"/>
        <v>459450209</v>
      </c>
      <c r="E118" s="983">
        <f t="shared" si="68"/>
        <v>341577778</v>
      </c>
      <c r="F118" s="982">
        <f t="shared" si="68"/>
        <v>301781786</v>
      </c>
      <c r="G118" s="982">
        <f t="shared" si="68"/>
        <v>135398391</v>
      </c>
      <c r="H118" s="982">
        <f t="shared" si="68"/>
        <v>36613469</v>
      </c>
      <c r="I118" s="982">
        <f t="shared" si="68"/>
        <v>31994737</v>
      </c>
      <c r="J118" s="982">
        <f t="shared" si="68"/>
        <v>1717016255</v>
      </c>
      <c r="K118" s="984" t="s">
        <v>22</v>
      </c>
      <c r="L118" s="984" t="s">
        <v>22</v>
      </c>
    </row>
    <row r="119" spans="1:13" ht="14.25" customHeight="1">
      <c r="A119" s="358" t="s">
        <v>13</v>
      </c>
      <c r="B119" s="4">
        <f t="shared" ref="B119:L119" si="69">+B64+B29</f>
        <v>2951841</v>
      </c>
      <c r="C119" s="1737">
        <f t="shared" si="69"/>
        <v>25461540</v>
      </c>
      <c r="D119" s="1769">
        <f t="shared" si="69"/>
        <v>29314504</v>
      </c>
      <c r="E119" s="1752">
        <f t="shared" si="69"/>
        <v>4601231</v>
      </c>
      <c r="F119" s="3">
        <f t="shared" si="69"/>
        <v>3876631</v>
      </c>
      <c r="G119" s="3">
        <f t="shared" si="69"/>
        <v>1109676</v>
      </c>
      <c r="H119" s="3">
        <f t="shared" si="69"/>
        <v>666312</v>
      </c>
      <c r="I119" s="3">
        <f t="shared" si="69"/>
        <v>640586</v>
      </c>
      <c r="J119" s="985">
        <f t="shared" si="69"/>
        <v>68622321</v>
      </c>
      <c r="K119" s="3">
        <f t="shared" si="69"/>
        <v>0</v>
      </c>
      <c r="L119" s="3">
        <f t="shared" si="69"/>
        <v>0</v>
      </c>
    </row>
    <row r="120" spans="1:13" ht="14.25" customHeight="1">
      <c r="A120" s="358" t="s">
        <v>15</v>
      </c>
      <c r="B120" s="4">
        <f t="shared" ref="B120:L120" si="70">+B30+B65</f>
        <v>14168595</v>
      </c>
      <c r="C120" s="1737">
        <f t="shared" si="70"/>
        <v>5739934</v>
      </c>
      <c r="D120" s="1769">
        <f t="shared" si="70"/>
        <v>12165125</v>
      </c>
      <c r="E120" s="1752">
        <f t="shared" si="70"/>
        <v>4157433</v>
      </c>
      <c r="F120" s="3">
        <f t="shared" si="70"/>
        <v>0</v>
      </c>
      <c r="G120" s="3">
        <f t="shared" si="70"/>
        <v>0</v>
      </c>
      <c r="H120" s="3">
        <f t="shared" si="70"/>
        <v>0</v>
      </c>
      <c r="I120" s="3">
        <f t="shared" si="70"/>
        <v>0</v>
      </c>
      <c r="J120" s="985">
        <f t="shared" si="70"/>
        <v>36231087</v>
      </c>
      <c r="K120" s="3">
        <f t="shared" si="70"/>
        <v>0</v>
      </c>
      <c r="L120" s="3">
        <f t="shared" si="70"/>
        <v>0</v>
      </c>
    </row>
    <row r="121" spans="1:13" ht="14.25" customHeight="1">
      <c r="A121" s="358" t="s">
        <v>50</v>
      </c>
      <c r="B121" s="4">
        <f t="shared" ref="B121:L121" si="71">+B31+B66</f>
        <v>28772061</v>
      </c>
      <c r="C121" s="1737">
        <f t="shared" si="71"/>
        <v>8419285</v>
      </c>
      <c r="D121" s="1769">
        <f t="shared" si="71"/>
        <v>8739285</v>
      </c>
      <c r="E121" s="1752">
        <f t="shared" si="71"/>
        <v>8419285</v>
      </c>
      <c r="F121" s="3">
        <f t="shared" si="71"/>
        <v>8419285</v>
      </c>
      <c r="G121" s="3">
        <f t="shared" si="71"/>
        <v>0</v>
      </c>
      <c r="H121" s="3">
        <f t="shared" si="71"/>
        <v>0</v>
      </c>
      <c r="I121" s="3">
        <f t="shared" si="71"/>
        <v>0</v>
      </c>
      <c r="J121" s="985">
        <f t="shared" si="71"/>
        <v>62769201</v>
      </c>
      <c r="K121" s="3">
        <f t="shared" si="71"/>
        <v>0</v>
      </c>
      <c r="L121" s="3">
        <f t="shared" si="71"/>
        <v>0</v>
      </c>
    </row>
    <row r="122" spans="1:13" ht="14.25" customHeight="1">
      <c r="A122" s="1" t="s">
        <v>12</v>
      </c>
      <c r="B122" s="4">
        <f t="shared" ref="B122:L122" si="72">+B67</f>
        <v>23298471</v>
      </c>
      <c r="C122" s="1737">
        <f t="shared" si="72"/>
        <v>13980246</v>
      </c>
      <c r="D122" s="1769">
        <f t="shared" si="72"/>
        <v>26479969</v>
      </c>
      <c r="E122" s="1752">
        <f t="shared" si="72"/>
        <v>39323352</v>
      </c>
      <c r="F122" s="3">
        <f t="shared" si="72"/>
        <v>33387250</v>
      </c>
      <c r="G122" s="3">
        <f t="shared" si="72"/>
        <v>5675073</v>
      </c>
      <c r="H122" s="3">
        <f t="shared" si="72"/>
        <v>1650729</v>
      </c>
      <c r="I122" s="3">
        <f t="shared" si="72"/>
        <v>0</v>
      </c>
      <c r="J122" s="985">
        <f t="shared" si="72"/>
        <v>143795090</v>
      </c>
      <c r="K122" s="3">
        <f t="shared" ref="K122" si="73">+K67</f>
        <v>0</v>
      </c>
      <c r="L122" s="3">
        <f t="shared" si="72"/>
        <v>0</v>
      </c>
    </row>
    <row r="123" spans="1:13" ht="14.25" customHeight="1">
      <c r="A123" s="358" t="s">
        <v>17</v>
      </c>
      <c r="B123" s="4">
        <f>+B32</f>
        <v>0</v>
      </c>
      <c r="C123" s="4">
        <f t="shared" ref="C123:L123" si="74">+C32</f>
        <v>0</v>
      </c>
      <c r="D123" s="4">
        <f t="shared" si="74"/>
        <v>12869758</v>
      </c>
      <c r="E123" s="4">
        <f t="shared" si="74"/>
        <v>3189386</v>
      </c>
      <c r="F123" s="4">
        <f t="shared" si="74"/>
        <v>4581649</v>
      </c>
      <c r="G123" s="4">
        <f t="shared" si="74"/>
        <v>886081</v>
      </c>
      <c r="H123" s="4">
        <f t="shared" si="74"/>
        <v>0</v>
      </c>
      <c r="I123" s="4">
        <f t="shared" si="74"/>
        <v>0</v>
      </c>
      <c r="J123" s="4">
        <f t="shared" si="74"/>
        <v>21526874</v>
      </c>
      <c r="K123" s="4">
        <f t="shared" si="74"/>
        <v>0</v>
      </c>
      <c r="L123" s="4">
        <f t="shared" si="74"/>
        <v>0</v>
      </c>
    </row>
    <row r="124" spans="1:13" ht="14.25" customHeight="1">
      <c r="A124" s="358" t="s">
        <v>19</v>
      </c>
      <c r="B124" s="4">
        <f t="shared" ref="B124:L124" si="75">+B34</f>
        <v>292115</v>
      </c>
      <c r="C124" s="1737">
        <f t="shared" si="75"/>
        <v>650534</v>
      </c>
      <c r="D124" s="1769">
        <f t="shared" si="75"/>
        <v>980250</v>
      </c>
      <c r="E124" s="1752">
        <f t="shared" si="75"/>
        <v>14147910</v>
      </c>
      <c r="F124" s="3">
        <f t="shared" si="75"/>
        <v>25977542</v>
      </c>
      <c r="G124" s="3">
        <f t="shared" si="75"/>
        <v>5688091</v>
      </c>
      <c r="H124" s="3">
        <f t="shared" si="75"/>
        <v>0</v>
      </c>
      <c r="I124" s="3">
        <f t="shared" si="75"/>
        <v>0</v>
      </c>
      <c r="J124" s="985">
        <f t="shared" si="75"/>
        <v>47736442</v>
      </c>
      <c r="K124" s="3">
        <f t="shared" ref="K124" si="76">+K34</f>
        <v>0</v>
      </c>
      <c r="L124" s="3">
        <f t="shared" si="75"/>
        <v>0</v>
      </c>
    </row>
    <row r="125" spans="1:13" ht="14.25" customHeight="1" thickBot="1">
      <c r="A125" s="976" t="s">
        <v>20</v>
      </c>
      <c r="B125" s="987">
        <f t="shared" ref="B125:L125" si="77">+B35</f>
        <v>56562683</v>
      </c>
      <c r="C125" s="1740">
        <f t="shared" si="77"/>
        <v>216435866</v>
      </c>
      <c r="D125" s="1773">
        <f t="shared" si="77"/>
        <v>368901318</v>
      </c>
      <c r="E125" s="1754">
        <f t="shared" si="77"/>
        <v>267739181</v>
      </c>
      <c r="F125" s="986">
        <f t="shared" si="77"/>
        <v>225539429</v>
      </c>
      <c r="G125" s="986">
        <f t="shared" si="77"/>
        <v>122039470</v>
      </c>
      <c r="H125" s="986">
        <f t="shared" si="77"/>
        <v>34296428</v>
      </c>
      <c r="I125" s="986">
        <f t="shared" si="77"/>
        <v>31354151</v>
      </c>
      <c r="J125" s="988">
        <f t="shared" si="77"/>
        <v>1336335240</v>
      </c>
      <c r="K125" s="986">
        <f t="shared" ref="K125" si="78">+K35</f>
        <v>0</v>
      </c>
      <c r="L125" s="986">
        <f t="shared" si="77"/>
        <v>0</v>
      </c>
    </row>
    <row r="126" spans="1:13" ht="14.25" customHeight="1">
      <c r="A126" s="989"/>
      <c r="B126" s="990">
        <f t="shared" ref="B126:L126" si="79">SUM(B119:B125)</f>
        <v>126045766</v>
      </c>
      <c r="C126" s="990">
        <f t="shared" si="79"/>
        <v>270687405</v>
      </c>
      <c r="D126" s="1774">
        <f t="shared" si="79"/>
        <v>459450209</v>
      </c>
      <c r="E126" s="990">
        <f t="shared" si="79"/>
        <v>341577778</v>
      </c>
      <c r="F126" s="990">
        <f t="shared" si="79"/>
        <v>301781786</v>
      </c>
      <c r="G126" s="990">
        <f t="shared" si="79"/>
        <v>135398391</v>
      </c>
      <c r="H126" s="990">
        <f t="shared" si="79"/>
        <v>36613469</v>
      </c>
      <c r="I126" s="990">
        <f t="shared" si="79"/>
        <v>31994737</v>
      </c>
      <c r="J126" s="990">
        <f t="shared" si="79"/>
        <v>1717016255</v>
      </c>
      <c r="K126" s="990">
        <f t="shared" si="79"/>
        <v>0</v>
      </c>
      <c r="L126" s="990">
        <f t="shared" si="79"/>
        <v>0</v>
      </c>
    </row>
    <row r="127" spans="1:13" ht="14.25" customHeight="1">
      <c r="A127" s="991"/>
      <c r="B127" s="992">
        <f t="shared" ref="B127:J127" si="80">+B126-B77</f>
        <v>0</v>
      </c>
      <c r="C127" s="992">
        <f t="shared" si="80"/>
        <v>0</v>
      </c>
      <c r="D127" s="1775">
        <f t="shared" si="80"/>
        <v>0</v>
      </c>
      <c r="E127" s="992">
        <f t="shared" si="80"/>
        <v>0</v>
      </c>
      <c r="F127" s="992">
        <f t="shared" si="80"/>
        <v>0</v>
      </c>
      <c r="G127" s="992">
        <f t="shared" si="80"/>
        <v>0</v>
      </c>
      <c r="H127" s="992">
        <f t="shared" si="80"/>
        <v>0</v>
      </c>
      <c r="I127" s="992">
        <f t="shared" si="80"/>
        <v>0</v>
      </c>
      <c r="J127" s="992">
        <f t="shared" si="80"/>
        <v>0</v>
      </c>
      <c r="K127" s="990"/>
      <c r="L127" s="990"/>
    </row>
    <row r="128" spans="1:13" ht="13.5" thickBot="1">
      <c r="A128" s="856"/>
      <c r="B128" s="993" t="s">
        <v>496</v>
      </c>
      <c r="C128" s="1736" t="s">
        <v>5</v>
      </c>
      <c r="D128" s="1776" t="s">
        <v>6</v>
      </c>
      <c r="E128" s="1751" t="s">
        <v>202</v>
      </c>
      <c r="F128" s="953" t="s">
        <v>204</v>
      </c>
      <c r="G128" s="953" t="s">
        <v>246</v>
      </c>
      <c r="H128" s="953" t="s">
        <v>247</v>
      </c>
      <c r="I128" s="953" t="s">
        <v>245</v>
      </c>
      <c r="J128" s="954" t="s">
        <v>45</v>
      </c>
      <c r="K128" s="994" t="s">
        <v>429</v>
      </c>
      <c r="L128" s="994" t="s">
        <v>555</v>
      </c>
    </row>
    <row r="129" spans="1:15" ht="3" customHeight="1">
      <c r="A129" s="3279" t="s">
        <v>744</v>
      </c>
      <c r="B129" s="996"/>
      <c r="C129" s="996"/>
      <c r="D129" s="1777"/>
      <c r="E129" s="997"/>
      <c r="F129" s="995"/>
      <c r="G129" s="995"/>
      <c r="H129" s="995"/>
      <c r="I129" s="995"/>
      <c r="J129" s="995"/>
      <c r="K129" s="998"/>
      <c r="L129" s="998"/>
    </row>
    <row r="130" spans="1:15" ht="27" customHeight="1" thickBot="1">
      <c r="A130" s="3280"/>
      <c r="B130" s="999">
        <f t="shared" ref="B130:L130" si="81">SUM(B131:B138)</f>
        <v>496582705.30000001</v>
      </c>
      <c r="C130" s="1001">
        <f t="shared" si="81"/>
        <v>451315927</v>
      </c>
      <c r="D130" s="1778">
        <f t="shared" si="81"/>
        <v>716013248</v>
      </c>
      <c r="E130" s="1000">
        <f t="shared" si="81"/>
        <v>615514186</v>
      </c>
      <c r="F130" s="999">
        <f t="shared" si="81"/>
        <v>490910866</v>
      </c>
      <c r="G130" s="999">
        <f t="shared" si="81"/>
        <v>113084244</v>
      </c>
      <c r="H130" s="999">
        <f t="shared" si="81"/>
        <v>45581871</v>
      </c>
      <c r="I130" s="999">
        <f t="shared" si="81"/>
        <v>40454091</v>
      </c>
      <c r="J130" s="999">
        <f t="shared" si="81"/>
        <v>3003093463.3000002</v>
      </c>
      <c r="K130" s="1001">
        <f t="shared" si="81"/>
        <v>2506510758</v>
      </c>
      <c r="L130" s="1001">
        <f t="shared" si="81"/>
        <v>2055194831</v>
      </c>
    </row>
    <row r="131" spans="1:15">
      <c r="A131" s="1002" t="s">
        <v>48</v>
      </c>
      <c r="B131" s="2900">
        <v>401719706.30000001</v>
      </c>
      <c r="C131" s="1741">
        <v>174421956</v>
      </c>
      <c r="D131" s="1779">
        <v>225292848</v>
      </c>
      <c r="E131" s="1755">
        <v>250727832</v>
      </c>
      <c r="F131" s="1003">
        <v>218771425</v>
      </c>
      <c r="G131" s="1003">
        <v>25032690</v>
      </c>
      <c r="H131" s="1003">
        <v>9834431</v>
      </c>
      <c r="I131" s="1003">
        <v>8672492</v>
      </c>
      <c r="J131" s="1003">
        <v>1348109705.3</v>
      </c>
      <c r="K131" s="1004">
        <v>946389999</v>
      </c>
      <c r="L131" s="1004">
        <v>771968043</v>
      </c>
      <c r="N131" s="867"/>
      <c r="O131" s="867"/>
    </row>
    <row r="132" spans="1:15">
      <c r="A132" s="1002" t="s">
        <v>49</v>
      </c>
      <c r="B132" s="2900">
        <v>8217368</v>
      </c>
      <c r="C132" s="1741">
        <v>7874823</v>
      </c>
      <c r="D132" s="1779">
        <v>19795420</v>
      </c>
      <c r="E132" s="1755">
        <v>64390783</v>
      </c>
      <c r="F132" s="1003">
        <v>30232378</v>
      </c>
      <c r="G132" s="1003">
        <v>16856941</v>
      </c>
      <c r="H132" s="1003">
        <v>1472245</v>
      </c>
      <c r="I132" s="1003">
        <v>0</v>
      </c>
      <c r="J132" s="1003">
        <v>148839958</v>
      </c>
      <c r="K132" s="1004">
        <v>140622590</v>
      </c>
      <c r="L132" s="1004">
        <v>132747767</v>
      </c>
      <c r="N132" s="867"/>
      <c r="O132" s="867"/>
    </row>
    <row r="133" spans="1:15">
      <c r="A133" s="153" t="s">
        <v>13</v>
      </c>
      <c r="B133" s="2900">
        <v>2982180</v>
      </c>
      <c r="C133" s="1741">
        <v>25479231</v>
      </c>
      <c r="D133" s="1779">
        <v>29536068</v>
      </c>
      <c r="E133" s="1755">
        <v>4580779</v>
      </c>
      <c r="F133" s="1003">
        <v>3783610</v>
      </c>
      <c r="G133" s="1003">
        <v>1075392</v>
      </c>
      <c r="H133" s="1003">
        <v>666312</v>
      </c>
      <c r="I133" s="1003">
        <v>567846</v>
      </c>
      <c r="J133" s="1003">
        <v>68671418</v>
      </c>
      <c r="K133" s="1004">
        <v>65689238</v>
      </c>
      <c r="L133" s="1004">
        <v>40210007</v>
      </c>
      <c r="N133" s="867"/>
      <c r="O133" s="867"/>
    </row>
    <row r="134" spans="1:15">
      <c r="A134" s="153" t="s">
        <v>15</v>
      </c>
      <c r="B134" s="2900">
        <v>14174089</v>
      </c>
      <c r="C134" s="1741">
        <v>6133734</v>
      </c>
      <c r="D134" s="1779">
        <v>12758843</v>
      </c>
      <c r="E134" s="1755">
        <v>2426653</v>
      </c>
      <c r="F134" s="1003">
        <v>0</v>
      </c>
      <c r="G134" s="1003">
        <v>0</v>
      </c>
      <c r="H134" s="1003">
        <v>0</v>
      </c>
      <c r="I134" s="1003">
        <v>0</v>
      </c>
      <c r="J134" s="1003">
        <v>35493319</v>
      </c>
      <c r="K134" s="1004">
        <v>21319230</v>
      </c>
      <c r="L134" s="1004">
        <v>15185496</v>
      </c>
      <c r="N134" s="867"/>
      <c r="O134" s="867"/>
    </row>
    <row r="135" spans="1:15">
      <c r="A135" s="153" t="s">
        <v>50</v>
      </c>
      <c r="B135" s="2900">
        <v>0</v>
      </c>
      <c r="C135" s="1741">
        <v>10003578</v>
      </c>
      <c r="D135" s="1779">
        <v>22098500</v>
      </c>
      <c r="E135" s="1755">
        <v>16484263</v>
      </c>
      <c r="F135" s="1003">
        <v>14182860</v>
      </c>
      <c r="G135" s="1003">
        <v>0</v>
      </c>
      <c r="H135" s="1003">
        <v>0</v>
      </c>
      <c r="I135" s="1003">
        <v>0</v>
      </c>
      <c r="J135" s="1003">
        <v>62769201</v>
      </c>
      <c r="K135" s="1004">
        <v>62769201</v>
      </c>
      <c r="L135" s="1004">
        <v>52765623</v>
      </c>
      <c r="N135" s="867"/>
      <c r="O135" s="867"/>
    </row>
    <row r="136" spans="1:15">
      <c r="A136" s="153" t="s">
        <v>19</v>
      </c>
      <c r="B136" s="2900">
        <v>770242</v>
      </c>
      <c r="C136" s="1741">
        <v>1000275</v>
      </c>
      <c r="D136" s="1779">
        <v>1361378</v>
      </c>
      <c r="E136" s="1755">
        <v>13721857</v>
      </c>
      <c r="F136" s="1003">
        <v>26053854</v>
      </c>
      <c r="G136" s="1003">
        <v>5606076</v>
      </c>
      <c r="H136" s="1003">
        <v>0</v>
      </c>
      <c r="I136" s="1003">
        <v>0</v>
      </c>
      <c r="J136" s="1003">
        <v>48513682</v>
      </c>
      <c r="K136" s="1004">
        <v>47743440</v>
      </c>
      <c r="L136" s="1004">
        <v>46743165</v>
      </c>
      <c r="N136" s="867"/>
      <c r="O136" s="867"/>
    </row>
    <row r="137" spans="1:15">
      <c r="A137" s="153" t="s">
        <v>17</v>
      </c>
      <c r="B137" s="2900">
        <v>0</v>
      </c>
      <c r="C137" s="1741">
        <v>0</v>
      </c>
      <c r="D137" s="1779">
        <v>11485758</v>
      </c>
      <c r="E137" s="1755">
        <v>3189386</v>
      </c>
      <c r="F137" s="1003">
        <v>4581649</v>
      </c>
      <c r="G137" s="1003">
        <v>886081</v>
      </c>
      <c r="H137" s="1003">
        <v>0</v>
      </c>
      <c r="I137" s="1003">
        <v>0</v>
      </c>
      <c r="J137" s="1003">
        <v>20142874</v>
      </c>
      <c r="K137" s="1004">
        <v>20142874</v>
      </c>
      <c r="L137" s="1004">
        <v>20142874</v>
      </c>
      <c r="N137" s="867"/>
      <c r="O137" s="867"/>
    </row>
    <row r="138" spans="1:15" ht="13.5" thickBot="1">
      <c r="A138" s="548" t="s">
        <v>20</v>
      </c>
      <c r="B138" s="2901">
        <v>68719120</v>
      </c>
      <c r="C138" s="1742">
        <v>226402330</v>
      </c>
      <c r="D138" s="1780">
        <v>393684433</v>
      </c>
      <c r="E138" s="1756">
        <v>259992633</v>
      </c>
      <c r="F138" s="1005">
        <v>193305090</v>
      </c>
      <c r="G138" s="1005">
        <v>63627064</v>
      </c>
      <c r="H138" s="1005">
        <v>33608883</v>
      </c>
      <c r="I138" s="1005">
        <v>31213753</v>
      </c>
      <c r="J138" s="1005">
        <v>1270553306</v>
      </c>
      <c r="K138" s="1006">
        <v>1201834186</v>
      </c>
      <c r="L138" s="1006">
        <v>975431856</v>
      </c>
      <c r="N138" s="867"/>
      <c r="O138" s="867"/>
    </row>
    <row r="139" spans="1:15">
      <c r="A139" s="1008"/>
      <c r="B139" s="1010">
        <f t="shared" ref="B139:L139" si="82">SUM(B131:B138)</f>
        <v>496582705.30000001</v>
      </c>
      <c r="C139" s="1009">
        <f t="shared" si="82"/>
        <v>451315927</v>
      </c>
      <c r="D139" s="1781">
        <f t="shared" si="82"/>
        <v>716013248</v>
      </c>
      <c r="E139" s="1009">
        <f t="shared" si="82"/>
        <v>615514186</v>
      </c>
      <c r="F139" s="1009">
        <f t="shared" si="82"/>
        <v>490910866</v>
      </c>
      <c r="G139" s="1009">
        <f t="shared" si="82"/>
        <v>113084244</v>
      </c>
      <c r="H139" s="1009">
        <f t="shared" si="82"/>
        <v>45581871</v>
      </c>
      <c r="I139" s="1009">
        <f t="shared" si="82"/>
        <v>40454091</v>
      </c>
      <c r="J139" s="1009">
        <f t="shared" si="82"/>
        <v>3003093463.3000002</v>
      </c>
      <c r="K139" s="1009">
        <f t="shared" si="82"/>
        <v>2506510758</v>
      </c>
      <c r="L139" s="1009">
        <f t="shared" si="82"/>
        <v>2055194831</v>
      </c>
    </row>
    <row r="140" spans="1:15">
      <c r="A140" s="1011" t="s">
        <v>41</v>
      </c>
      <c r="B140" s="1013">
        <f>+B139-B130</f>
        <v>0</v>
      </c>
      <c r="C140" s="1012">
        <f>+C139-C130</f>
        <v>0</v>
      </c>
      <c r="D140" s="1782">
        <f>+D139-D130</f>
        <v>0</v>
      </c>
      <c r="E140" s="1012">
        <f>+E139-E130</f>
        <v>0</v>
      </c>
      <c r="F140" s="1012">
        <f>+F139-F130</f>
        <v>0</v>
      </c>
      <c r="G140" s="1012"/>
      <c r="H140" s="1012"/>
      <c r="I140" s="1012"/>
      <c r="J140" s="1012">
        <f>+J139-J130</f>
        <v>0</v>
      </c>
      <c r="K140" s="1012">
        <f>+K139-K130</f>
        <v>0</v>
      </c>
      <c r="L140" s="1012">
        <f>+L139-L130</f>
        <v>0</v>
      </c>
    </row>
    <row r="141" spans="1:15" ht="3.75" customHeight="1" thickBot="1">
      <c r="A141" s="980"/>
      <c r="B141" s="1014"/>
      <c r="C141" s="1014"/>
      <c r="D141" s="1783"/>
      <c r="E141" s="1014"/>
      <c r="F141" s="1014"/>
      <c r="G141" s="1014"/>
      <c r="H141" s="1014"/>
      <c r="I141" s="1014"/>
      <c r="J141" s="1014"/>
    </row>
    <row r="142" spans="1:15" ht="32.25" customHeight="1" thickBot="1">
      <c r="A142" s="2833" t="s">
        <v>696</v>
      </c>
      <c r="B142" s="1015">
        <f t="shared" ref="B142:J142" si="83">SUM(B143:B149)</f>
        <v>126045766</v>
      </c>
      <c r="C142" s="1743">
        <f t="shared" si="83"/>
        <v>270791649</v>
      </c>
      <c r="D142" s="1784">
        <f t="shared" si="83"/>
        <v>472992365</v>
      </c>
      <c r="E142" s="1016">
        <f t="shared" si="83"/>
        <v>348170064</v>
      </c>
      <c r="F142" s="1015">
        <f t="shared" si="83"/>
        <v>268917852</v>
      </c>
      <c r="G142" s="1015">
        <f t="shared" si="83"/>
        <v>82357391</v>
      </c>
      <c r="H142" s="1015">
        <f t="shared" si="83"/>
        <v>35776859</v>
      </c>
      <c r="I142" s="1015">
        <f t="shared" si="83"/>
        <v>32142634</v>
      </c>
      <c r="J142" s="1015">
        <f t="shared" si="83"/>
        <v>1648341037</v>
      </c>
      <c r="K142" s="1017"/>
      <c r="L142" s="1017"/>
    </row>
    <row r="143" spans="1:15">
      <c r="A143" s="153" t="s">
        <v>13</v>
      </c>
      <c r="B143" s="1003">
        <v>2951841</v>
      </c>
      <c r="C143" s="1741">
        <v>25461540</v>
      </c>
      <c r="D143" s="1779">
        <v>29541764</v>
      </c>
      <c r="E143" s="1755">
        <v>4595748</v>
      </c>
      <c r="F143" s="1003">
        <v>3783610</v>
      </c>
      <c r="G143" s="1003">
        <v>1102757</v>
      </c>
      <c r="H143" s="1003">
        <v>666312</v>
      </c>
      <c r="I143" s="1003">
        <v>567846</v>
      </c>
      <c r="J143" s="1003">
        <v>68671418</v>
      </c>
      <c r="K143" s="1018">
        <v>0</v>
      </c>
      <c r="L143" s="1018"/>
    </row>
    <row r="144" spans="1:15" ht="14.25" customHeight="1">
      <c r="A144" s="153" t="s">
        <v>15</v>
      </c>
      <c r="B144" s="1003">
        <v>14168595</v>
      </c>
      <c r="C144" s="1741">
        <v>5739934</v>
      </c>
      <c r="D144" s="1779">
        <v>13158137</v>
      </c>
      <c r="E144" s="1755">
        <v>2426653</v>
      </c>
      <c r="F144" s="1003">
        <v>0</v>
      </c>
      <c r="G144" s="1003">
        <v>0</v>
      </c>
      <c r="H144" s="1003">
        <v>0</v>
      </c>
      <c r="I144" s="1003">
        <v>0</v>
      </c>
      <c r="J144" s="1003">
        <v>35493319</v>
      </c>
      <c r="K144" s="1018">
        <v>0</v>
      </c>
      <c r="L144" s="1018"/>
    </row>
    <row r="145" spans="1:12" ht="14.25" customHeight="1">
      <c r="A145" s="153" t="s">
        <v>50</v>
      </c>
      <c r="B145" s="1003">
        <v>28772061</v>
      </c>
      <c r="C145" s="1741">
        <v>8419285</v>
      </c>
      <c r="D145" s="1779">
        <v>8739285</v>
      </c>
      <c r="E145" s="1755">
        <v>8419285</v>
      </c>
      <c r="F145" s="1003">
        <v>8419285</v>
      </c>
      <c r="G145" s="1003">
        <v>0</v>
      </c>
      <c r="H145" s="1003">
        <v>0</v>
      </c>
      <c r="I145" s="1003">
        <v>0</v>
      </c>
      <c r="J145" s="1003">
        <v>62769201</v>
      </c>
      <c r="K145" s="1018">
        <v>0</v>
      </c>
      <c r="L145" s="1018"/>
    </row>
    <row r="146" spans="1:12">
      <c r="A146" s="1002" t="s">
        <v>12</v>
      </c>
      <c r="B146" s="1003">
        <v>23298471</v>
      </c>
      <c r="C146" s="1741">
        <v>13980246</v>
      </c>
      <c r="D146" s="1779">
        <v>26403369</v>
      </c>
      <c r="E146" s="1755">
        <v>37802099</v>
      </c>
      <c r="F146" s="1003">
        <v>33387250</v>
      </c>
      <c r="G146" s="1003">
        <v>5675073</v>
      </c>
      <c r="H146" s="1003">
        <v>1650729</v>
      </c>
      <c r="I146" s="1003">
        <v>0</v>
      </c>
      <c r="J146" s="1003">
        <v>142197237</v>
      </c>
      <c r="K146" s="1018">
        <v>0</v>
      </c>
      <c r="L146" s="1018"/>
    </row>
    <row r="147" spans="1:12">
      <c r="A147" s="2899" t="s">
        <v>17</v>
      </c>
      <c r="B147" s="1003">
        <v>0</v>
      </c>
      <c r="C147" s="1741">
        <v>0</v>
      </c>
      <c r="D147" s="1779">
        <v>11485758</v>
      </c>
      <c r="E147" s="1755">
        <v>3189386</v>
      </c>
      <c r="F147" s="1003">
        <v>4581649</v>
      </c>
      <c r="G147" s="1003">
        <v>886081</v>
      </c>
      <c r="H147" s="1003">
        <v>0</v>
      </c>
      <c r="I147" s="1003">
        <v>0</v>
      </c>
      <c r="J147" s="1003">
        <v>20142874</v>
      </c>
      <c r="K147" s="1018">
        <v>0</v>
      </c>
      <c r="L147" s="1018"/>
    </row>
    <row r="148" spans="1:12" ht="13.5" customHeight="1">
      <c r="A148" s="2899" t="s">
        <v>19</v>
      </c>
      <c r="B148" s="1003">
        <v>292115</v>
      </c>
      <c r="C148" s="1741">
        <v>696268</v>
      </c>
      <c r="D148" s="1779">
        <v>1239354</v>
      </c>
      <c r="E148" s="1755">
        <v>14467808</v>
      </c>
      <c r="F148" s="1003">
        <v>26130046</v>
      </c>
      <c r="G148" s="1003">
        <v>5688091</v>
      </c>
      <c r="H148" s="1003">
        <v>0</v>
      </c>
      <c r="I148" s="1003">
        <v>0</v>
      </c>
      <c r="J148" s="1003">
        <v>48513682</v>
      </c>
      <c r="K148" s="1018">
        <v>0</v>
      </c>
      <c r="L148" s="1018"/>
    </row>
    <row r="149" spans="1:12" ht="13.5" thickBot="1">
      <c r="A149" s="2898" t="s">
        <v>20</v>
      </c>
      <c r="B149" s="1007">
        <v>56562683</v>
      </c>
      <c r="C149" s="1742">
        <v>216494376</v>
      </c>
      <c r="D149" s="1780">
        <v>382424698</v>
      </c>
      <c r="E149" s="1756">
        <v>277269085</v>
      </c>
      <c r="F149" s="1337">
        <v>192616012</v>
      </c>
      <c r="G149" s="1337">
        <v>69005389</v>
      </c>
      <c r="H149" s="1337">
        <v>33459818</v>
      </c>
      <c r="I149" s="1337">
        <v>31574788</v>
      </c>
      <c r="J149" s="1337">
        <v>1270553306</v>
      </c>
      <c r="K149" s="1018">
        <v>0</v>
      </c>
      <c r="L149" s="1018"/>
    </row>
    <row r="150" spans="1:12" ht="13.5" thickBot="1">
      <c r="A150" s="2368"/>
      <c r="B150" s="1335">
        <f t="shared" ref="B150:J150" si="84">SUM(B143:B149)</f>
        <v>126045766</v>
      </c>
      <c r="C150" s="1744">
        <f t="shared" si="84"/>
        <v>270791649</v>
      </c>
      <c r="D150" s="1785">
        <f t="shared" si="84"/>
        <v>472992365</v>
      </c>
      <c r="E150" s="1757">
        <f t="shared" si="84"/>
        <v>348170064</v>
      </c>
      <c r="F150" s="1336">
        <f t="shared" si="84"/>
        <v>268917852</v>
      </c>
      <c r="G150" s="1336">
        <f t="shared" si="84"/>
        <v>82357391</v>
      </c>
      <c r="H150" s="1336">
        <f t="shared" si="84"/>
        <v>35776859</v>
      </c>
      <c r="I150" s="1336">
        <f t="shared" si="84"/>
        <v>32142634</v>
      </c>
      <c r="J150" s="1019">
        <f t="shared" si="84"/>
        <v>1648341037</v>
      </c>
      <c r="K150" s="1020"/>
      <c r="L150" s="1020"/>
    </row>
    <row r="151" spans="1:12" ht="17.25" customHeight="1" thickBot="1">
      <c r="A151" s="2369"/>
      <c r="B151" s="993" t="s">
        <v>496</v>
      </c>
      <c r="C151" s="1736" t="s">
        <v>5</v>
      </c>
      <c r="D151" s="1776" t="s">
        <v>6</v>
      </c>
      <c r="E151" s="1751" t="s">
        <v>202</v>
      </c>
      <c r="F151" s="953" t="s">
        <v>204</v>
      </c>
      <c r="G151" s="953" t="s">
        <v>246</v>
      </c>
      <c r="H151" s="953" t="s">
        <v>247</v>
      </c>
      <c r="I151" s="953" t="s">
        <v>245</v>
      </c>
      <c r="J151" s="954" t="s">
        <v>45</v>
      </c>
    </row>
    <row r="152" spans="1:12" ht="11.25" customHeight="1" thickBot="1">
      <c r="A152" s="2370"/>
      <c r="B152" s="1022"/>
      <c r="C152" s="1022"/>
      <c r="D152" s="1786"/>
      <c r="E152" s="1023"/>
      <c r="F152" s="1021"/>
      <c r="G152" s="1021"/>
      <c r="H152" s="1021"/>
      <c r="I152" s="1021"/>
      <c r="J152" s="1021"/>
      <c r="K152" s="1024"/>
      <c r="L152" s="1024"/>
    </row>
    <row r="153" spans="1:12" ht="18" customHeight="1" thickBot="1">
      <c r="A153" s="2882" t="s">
        <v>51</v>
      </c>
      <c r="B153" s="1025">
        <f t="shared" ref="B153:J153" si="85">+B107-B130</f>
        <v>0</v>
      </c>
      <c r="C153" s="1745">
        <f t="shared" si="85"/>
        <v>-104303</v>
      </c>
      <c r="D153" s="1787">
        <f t="shared" si="85"/>
        <v>-52529832</v>
      </c>
      <c r="E153" s="1026">
        <f t="shared" si="85"/>
        <v>40455911</v>
      </c>
      <c r="F153" s="1025">
        <f t="shared" si="85"/>
        <v>64177575</v>
      </c>
      <c r="G153" s="1025">
        <f t="shared" si="85"/>
        <v>75744873</v>
      </c>
      <c r="H153" s="1025">
        <f t="shared" si="85"/>
        <v>26598247</v>
      </c>
      <c r="I153" s="1025">
        <f t="shared" si="85"/>
        <v>5719000</v>
      </c>
      <c r="J153" s="1025">
        <f t="shared" si="85"/>
        <v>160061471</v>
      </c>
      <c r="K153" s="1027"/>
      <c r="L153" s="1027"/>
    </row>
    <row r="154" spans="1:12">
      <c r="A154" s="2884" t="s">
        <v>12</v>
      </c>
      <c r="B154" s="1028">
        <f t="shared" ref="B154:J154" si="86">+B108-B131</f>
        <v>540</v>
      </c>
      <c r="C154" s="1746">
        <f t="shared" si="86"/>
        <v>2261</v>
      </c>
      <c r="D154" s="1788">
        <f t="shared" si="86"/>
        <v>-14833321</v>
      </c>
      <c r="E154" s="1029">
        <f t="shared" si="86"/>
        <v>10977389</v>
      </c>
      <c r="F154" s="1028">
        <f t="shared" si="86"/>
        <v>20225372</v>
      </c>
      <c r="G154" s="1028">
        <f t="shared" si="86"/>
        <v>44239373</v>
      </c>
      <c r="H154" s="1028">
        <f t="shared" si="86"/>
        <v>26468442</v>
      </c>
      <c r="I154" s="1028">
        <f t="shared" si="86"/>
        <v>5904050</v>
      </c>
      <c r="J154" s="1030">
        <f t="shared" si="86"/>
        <v>92984106</v>
      </c>
      <c r="K154" s="1031"/>
      <c r="L154" s="1031"/>
    </row>
    <row r="155" spans="1:12">
      <c r="A155" s="2884" t="s">
        <v>49</v>
      </c>
      <c r="B155" s="1030">
        <f t="shared" ref="B155:J155" si="87">+B109-B132</f>
        <v>0</v>
      </c>
      <c r="C155" s="1747">
        <f t="shared" si="87"/>
        <v>0</v>
      </c>
      <c r="D155" s="1789">
        <f t="shared" si="87"/>
        <v>-2568147</v>
      </c>
      <c r="E155" s="1758">
        <f t="shared" si="87"/>
        <v>2568147</v>
      </c>
      <c r="F155" s="1030">
        <f t="shared" si="87"/>
        <v>0</v>
      </c>
      <c r="G155" s="1030">
        <f t="shared" si="87"/>
        <v>0</v>
      </c>
      <c r="H155" s="1030">
        <f t="shared" si="87"/>
        <v>0</v>
      </c>
      <c r="I155" s="1030">
        <f t="shared" si="87"/>
        <v>0</v>
      </c>
      <c r="J155" s="1030">
        <f t="shared" si="87"/>
        <v>0</v>
      </c>
      <c r="K155" s="1031"/>
      <c r="L155" s="1031"/>
    </row>
    <row r="156" spans="1:12">
      <c r="A156" s="2884" t="s">
        <v>13</v>
      </c>
      <c r="B156" s="2887">
        <f t="shared" ref="B156:J156" si="88">+B110-B133</f>
        <v>-57</v>
      </c>
      <c r="C156" s="1747">
        <f t="shared" si="88"/>
        <v>-244</v>
      </c>
      <c r="D156" s="1789">
        <f t="shared" si="88"/>
        <v>-222578</v>
      </c>
      <c r="E156" s="1758">
        <f t="shared" si="88"/>
        <v>2204</v>
      </c>
      <c r="F156" s="1030">
        <f t="shared" si="88"/>
        <v>98838</v>
      </c>
      <c r="G156" s="1030">
        <f t="shared" si="88"/>
        <v>0</v>
      </c>
      <c r="H156" s="1030">
        <f t="shared" si="88"/>
        <v>0</v>
      </c>
      <c r="I156" s="1030">
        <f t="shared" si="88"/>
        <v>72740</v>
      </c>
      <c r="J156" s="2912">
        <f t="shared" si="88"/>
        <v>-49097</v>
      </c>
      <c r="K156" s="1031"/>
      <c r="L156" s="1031"/>
    </row>
    <row r="157" spans="1:12">
      <c r="A157" s="2884" t="s">
        <v>15</v>
      </c>
      <c r="B157" s="2886">
        <f t="shared" ref="B157:J157" si="89">+B111-B134</f>
        <v>0</v>
      </c>
      <c r="C157" s="1747">
        <f t="shared" si="89"/>
        <v>0</v>
      </c>
      <c r="D157" s="1789">
        <f t="shared" si="89"/>
        <v>-993012</v>
      </c>
      <c r="E157" s="1758">
        <f t="shared" si="89"/>
        <v>1730780</v>
      </c>
      <c r="F157" s="1030">
        <f t="shared" si="89"/>
        <v>0</v>
      </c>
      <c r="G157" s="1030">
        <f t="shared" si="89"/>
        <v>0</v>
      </c>
      <c r="H157" s="1030">
        <f t="shared" si="89"/>
        <v>0</v>
      </c>
      <c r="I157" s="1030">
        <f t="shared" si="89"/>
        <v>0</v>
      </c>
      <c r="J157" s="2912">
        <f t="shared" si="89"/>
        <v>737768</v>
      </c>
      <c r="K157" s="1031"/>
      <c r="L157" s="1031"/>
    </row>
    <row r="158" spans="1:12">
      <c r="A158" s="2884" t="s">
        <v>50</v>
      </c>
      <c r="B158" s="1030">
        <f t="shared" ref="B158:J158" si="90">+B112-B135</f>
        <v>0</v>
      </c>
      <c r="C158" s="1747">
        <f t="shared" si="90"/>
        <v>0</v>
      </c>
      <c r="D158" s="1789">
        <f t="shared" si="90"/>
        <v>-5291253</v>
      </c>
      <c r="E158" s="1758">
        <f t="shared" si="90"/>
        <v>9774223</v>
      </c>
      <c r="F158" s="1030">
        <f t="shared" si="90"/>
        <v>-4482970</v>
      </c>
      <c r="G158" s="1030">
        <f t="shared" si="90"/>
        <v>0</v>
      </c>
      <c r="H158" s="1030">
        <f t="shared" si="90"/>
        <v>0</v>
      </c>
      <c r="I158" s="1030">
        <f t="shared" si="90"/>
        <v>0</v>
      </c>
      <c r="J158" s="1030">
        <f t="shared" si="90"/>
        <v>0</v>
      </c>
      <c r="K158" s="1031"/>
      <c r="L158" s="1031"/>
    </row>
    <row r="159" spans="1:12">
      <c r="A159" s="2884" t="s">
        <v>19</v>
      </c>
      <c r="B159" s="1030">
        <f t="shared" ref="B159:J159" si="91">+B113-B136</f>
        <v>-40826</v>
      </c>
      <c r="C159" s="1747">
        <f t="shared" si="91"/>
        <v>-127959</v>
      </c>
      <c r="D159" s="1789">
        <f t="shared" si="91"/>
        <v>-394966</v>
      </c>
      <c r="E159" s="1758">
        <f t="shared" si="91"/>
        <v>-143983</v>
      </c>
      <c r="F159" s="1030">
        <f t="shared" si="91"/>
        <v>-69506</v>
      </c>
      <c r="G159" s="1030">
        <f t="shared" si="91"/>
        <v>0</v>
      </c>
      <c r="H159" s="1030">
        <f t="shared" si="91"/>
        <v>0</v>
      </c>
      <c r="I159" s="1030">
        <f t="shared" si="91"/>
        <v>0</v>
      </c>
      <c r="J159" s="2912">
        <f t="shared" si="91"/>
        <v>-777240</v>
      </c>
      <c r="K159" s="1031"/>
      <c r="L159" s="1031"/>
    </row>
    <row r="160" spans="1:12">
      <c r="A160" s="2884" t="s">
        <v>17</v>
      </c>
      <c r="B160" s="1030">
        <f t="shared" ref="B160:J160" si="92">+B114-B137</f>
        <v>0</v>
      </c>
      <c r="C160" s="1747">
        <f t="shared" si="92"/>
        <v>0</v>
      </c>
      <c r="D160" s="1789">
        <f t="shared" si="92"/>
        <v>1384000</v>
      </c>
      <c r="E160" s="1758">
        <f t="shared" si="92"/>
        <v>0</v>
      </c>
      <c r="F160" s="1030">
        <f t="shared" si="92"/>
        <v>0</v>
      </c>
      <c r="G160" s="1030">
        <f t="shared" si="92"/>
        <v>0</v>
      </c>
      <c r="H160" s="1030">
        <f t="shared" si="92"/>
        <v>0</v>
      </c>
      <c r="I160" s="1030">
        <f t="shared" si="92"/>
        <v>0</v>
      </c>
      <c r="J160" s="2912">
        <f t="shared" si="92"/>
        <v>1384000</v>
      </c>
      <c r="K160" s="1031"/>
      <c r="L160" s="1031"/>
    </row>
    <row r="161" spans="1:17" ht="13.5" thickBot="1">
      <c r="A161" s="2884" t="s">
        <v>20</v>
      </c>
      <c r="B161" s="1034">
        <f t="shared" ref="B161:J161" si="93">+B115-B138</f>
        <v>40343</v>
      </c>
      <c r="C161" s="1748">
        <f t="shared" si="93"/>
        <v>21639</v>
      </c>
      <c r="D161" s="1790">
        <f t="shared" si="93"/>
        <v>-29610555</v>
      </c>
      <c r="E161" s="1759">
        <f t="shared" si="93"/>
        <v>15547151</v>
      </c>
      <c r="F161" s="1034">
        <f t="shared" si="93"/>
        <v>48405841</v>
      </c>
      <c r="G161" s="1034">
        <f t="shared" si="93"/>
        <v>31505500</v>
      </c>
      <c r="H161" s="1034">
        <f t="shared" si="93"/>
        <v>129805</v>
      </c>
      <c r="I161" s="1034">
        <f t="shared" si="93"/>
        <v>-257790</v>
      </c>
      <c r="J161" s="2912">
        <f t="shared" si="93"/>
        <v>65781934</v>
      </c>
      <c r="K161" s="1031">
        <f>+I161-I171</f>
        <v>-37153</v>
      </c>
      <c r="L161" s="1031">
        <f>+J161-J171</f>
        <v>0</v>
      </c>
      <c r="Q161" s="867">
        <f>+J161-J171</f>
        <v>0</v>
      </c>
    </row>
    <row r="162" spans="1:17" ht="15" customHeight="1" thickBot="1">
      <c r="A162" s="2883"/>
      <c r="B162" s="1035">
        <f t="shared" ref="B162:J162" si="94">SUM(B154:B161)</f>
        <v>0</v>
      </c>
      <c r="C162" s="1749">
        <f t="shared" si="94"/>
        <v>-104303</v>
      </c>
      <c r="D162" s="1791">
        <f t="shared" si="94"/>
        <v>-52529832</v>
      </c>
      <c r="E162" s="1036">
        <f t="shared" si="94"/>
        <v>40455911</v>
      </c>
      <c r="F162" s="1035">
        <f t="shared" si="94"/>
        <v>64177575</v>
      </c>
      <c r="G162" s="1035">
        <f t="shared" si="94"/>
        <v>75744873</v>
      </c>
      <c r="H162" s="1035">
        <f t="shared" si="94"/>
        <v>26598247</v>
      </c>
      <c r="I162" s="1035">
        <f t="shared" si="94"/>
        <v>5719000</v>
      </c>
      <c r="J162" s="1035">
        <f t="shared" si="94"/>
        <v>160061471</v>
      </c>
      <c r="K162" s="1037"/>
      <c r="L162" s="1037"/>
    </row>
    <row r="163" spans="1:17" ht="14.25" customHeight="1" thickBot="1">
      <c r="A163" s="2371" t="s">
        <v>41</v>
      </c>
      <c r="B163" s="1040">
        <f t="shared" ref="B163:J163" si="95">+B107-B130</f>
        <v>0</v>
      </c>
      <c r="C163" s="1039">
        <f t="shared" si="95"/>
        <v>-104303</v>
      </c>
      <c r="D163" s="1792">
        <f t="shared" si="95"/>
        <v>-52529832</v>
      </c>
      <c r="E163" s="1039">
        <f t="shared" si="95"/>
        <v>40455911</v>
      </c>
      <c r="F163" s="1039">
        <f t="shared" si="95"/>
        <v>64177575</v>
      </c>
      <c r="G163" s="1039">
        <f t="shared" si="95"/>
        <v>75744873</v>
      </c>
      <c r="H163" s="1039">
        <f t="shared" si="95"/>
        <v>26598247</v>
      </c>
      <c r="I163" s="1039">
        <f t="shared" si="95"/>
        <v>5719000</v>
      </c>
      <c r="J163" s="1039">
        <f t="shared" si="95"/>
        <v>160061471</v>
      </c>
      <c r="K163" s="1039"/>
      <c r="L163" s="1039"/>
    </row>
    <row r="164" spans="1:17" ht="16.5" customHeight="1" thickBot="1">
      <c r="A164" s="2885" t="s">
        <v>52</v>
      </c>
      <c r="B164" s="1041">
        <f t="shared" ref="B164:I171" si="96">+B118-B142</f>
        <v>0</v>
      </c>
      <c r="C164" s="1750">
        <f t="shared" si="96"/>
        <v>-104244</v>
      </c>
      <c r="D164" s="1793">
        <f t="shared" si="96"/>
        <v>-13542156</v>
      </c>
      <c r="E164" s="1042">
        <f t="shared" si="96"/>
        <v>-6592286</v>
      </c>
      <c r="F164" s="1041">
        <f t="shared" si="96"/>
        <v>32863934</v>
      </c>
      <c r="G164" s="1041">
        <f t="shared" si="96"/>
        <v>53041000</v>
      </c>
      <c r="H164" s="1041">
        <f t="shared" si="96"/>
        <v>836610</v>
      </c>
      <c r="I164" s="1041">
        <f t="shared" si="96"/>
        <v>-147897</v>
      </c>
      <c r="J164" s="1041">
        <f>SUM(J165:J171)</f>
        <v>68675218</v>
      </c>
      <c r="K164" s="1043"/>
      <c r="L164" s="1043"/>
    </row>
    <row r="165" spans="1:17">
      <c r="A165" s="2884" t="s">
        <v>13</v>
      </c>
      <c r="B165" s="1030">
        <f t="shared" si="96"/>
        <v>0</v>
      </c>
      <c r="C165" s="1747">
        <f t="shared" si="96"/>
        <v>0</v>
      </c>
      <c r="D165" s="1789">
        <f t="shared" si="96"/>
        <v>-227260</v>
      </c>
      <c r="E165" s="1758">
        <f t="shared" si="96"/>
        <v>5483</v>
      </c>
      <c r="F165" s="1030">
        <f t="shared" si="96"/>
        <v>93021</v>
      </c>
      <c r="G165" s="1030">
        <f t="shared" si="96"/>
        <v>6919</v>
      </c>
      <c r="H165" s="1030">
        <f t="shared" si="96"/>
        <v>0</v>
      </c>
      <c r="I165" s="1030">
        <f t="shared" si="96"/>
        <v>72740</v>
      </c>
      <c r="J165" s="2911">
        <f t="shared" ref="J165:J171" si="97">+J119-J143</f>
        <v>-49097</v>
      </c>
      <c r="K165" s="1044"/>
      <c r="L165" s="1044"/>
    </row>
    <row r="166" spans="1:17" ht="13.5" thickBot="1">
      <c r="A166" s="2884" t="s">
        <v>15</v>
      </c>
      <c r="B166" s="1030">
        <f t="shared" si="96"/>
        <v>0</v>
      </c>
      <c r="C166" s="1747">
        <f t="shared" si="96"/>
        <v>0</v>
      </c>
      <c r="D166" s="1789">
        <f t="shared" si="96"/>
        <v>-993012</v>
      </c>
      <c r="E166" s="1758">
        <f t="shared" si="96"/>
        <v>1730780</v>
      </c>
      <c r="F166" s="1030">
        <f t="shared" si="96"/>
        <v>0</v>
      </c>
      <c r="G166" s="1030">
        <f t="shared" si="96"/>
        <v>0</v>
      </c>
      <c r="H166" s="1030">
        <f t="shared" si="96"/>
        <v>0</v>
      </c>
      <c r="I166" s="1030">
        <f t="shared" si="96"/>
        <v>0</v>
      </c>
      <c r="J166" s="2911">
        <f t="shared" si="97"/>
        <v>737768</v>
      </c>
      <c r="K166" s="1044"/>
      <c r="L166" s="1044"/>
      <c r="N166" s="1055"/>
      <c r="O166" s="1055"/>
    </row>
    <row r="167" spans="1:17" ht="13.5" thickBot="1">
      <c r="A167" s="2884" t="s">
        <v>54</v>
      </c>
      <c r="B167" s="1030">
        <f t="shared" si="96"/>
        <v>0</v>
      </c>
      <c r="C167" s="2890">
        <f t="shared" si="96"/>
        <v>0</v>
      </c>
      <c r="D167" s="1789">
        <f t="shared" si="96"/>
        <v>0</v>
      </c>
      <c r="E167" s="1758">
        <f t="shared" si="96"/>
        <v>0</v>
      </c>
      <c r="F167" s="1030">
        <f t="shared" si="96"/>
        <v>0</v>
      </c>
      <c r="G167" s="1030">
        <f t="shared" si="96"/>
        <v>0</v>
      </c>
      <c r="H167" s="1030">
        <f t="shared" si="96"/>
        <v>0</v>
      </c>
      <c r="I167" s="1030">
        <f t="shared" si="96"/>
        <v>0</v>
      </c>
      <c r="J167" s="1045">
        <f t="shared" si="97"/>
        <v>0</v>
      </c>
      <c r="K167" s="1044"/>
      <c r="L167" s="1044"/>
      <c r="N167" s="2337"/>
      <c r="O167" s="2337"/>
    </row>
    <row r="168" spans="1:17" ht="13.5" thickBot="1">
      <c r="A168" s="2884" t="s">
        <v>12</v>
      </c>
      <c r="B168" s="1030">
        <f t="shared" si="96"/>
        <v>0</v>
      </c>
      <c r="C168" s="2889">
        <f t="shared" si="96"/>
        <v>0</v>
      </c>
      <c r="D168" s="1789">
        <f t="shared" si="96"/>
        <v>76600</v>
      </c>
      <c r="E168" s="1758">
        <f t="shared" si="96"/>
        <v>1521253</v>
      </c>
      <c r="F168" s="1030">
        <f t="shared" si="96"/>
        <v>0</v>
      </c>
      <c r="G168" s="1030">
        <f t="shared" si="96"/>
        <v>0</v>
      </c>
      <c r="H168" s="1030">
        <f t="shared" si="96"/>
        <v>0</v>
      </c>
      <c r="I168" s="1030">
        <f t="shared" si="96"/>
        <v>0</v>
      </c>
      <c r="J168" s="1045">
        <f t="shared" si="97"/>
        <v>1597853</v>
      </c>
      <c r="K168" s="1044"/>
      <c r="L168" s="1044"/>
      <c r="N168" s="2337"/>
      <c r="O168" s="2337"/>
    </row>
    <row r="169" spans="1:17" ht="13.5" thickBot="1">
      <c r="A169" s="1032" t="s">
        <v>17</v>
      </c>
      <c r="B169" s="1030">
        <f t="shared" si="96"/>
        <v>0</v>
      </c>
      <c r="C169" s="2888">
        <f t="shared" si="96"/>
        <v>0</v>
      </c>
      <c r="D169" s="2891">
        <f t="shared" si="96"/>
        <v>1384000</v>
      </c>
      <c r="E169" s="2892">
        <f t="shared" si="96"/>
        <v>0</v>
      </c>
      <c r="F169" s="2886">
        <f t="shared" si="96"/>
        <v>0</v>
      </c>
      <c r="G169" s="2886">
        <f t="shared" si="96"/>
        <v>0</v>
      </c>
      <c r="H169" s="2886">
        <f t="shared" si="96"/>
        <v>0</v>
      </c>
      <c r="I169" s="2886">
        <f t="shared" si="96"/>
        <v>0</v>
      </c>
      <c r="J169" s="2913">
        <f t="shared" si="97"/>
        <v>1384000</v>
      </c>
      <c r="K169" s="2375"/>
      <c r="L169" s="2375"/>
      <c r="N169" s="1054"/>
      <c r="O169" s="2337"/>
    </row>
    <row r="170" spans="1:17" ht="13.5" customHeight="1" thickBot="1">
      <c r="A170" s="1032" t="s">
        <v>19</v>
      </c>
      <c r="B170" s="1030">
        <f t="shared" si="96"/>
        <v>0</v>
      </c>
      <c r="C170" s="1747">
        <f t="shared" si="96"/>
        <v>-45734</v>
      </c>
      <c r="D170" s="1789">
        <f t="shared" si="96"/>
        <v>-259104</v>
      </c>
      <c r="E170" s="1758">
        <f t="shared" si="96"/>
        <v>-319898</v>
      </c>
      <c r="F170" s="1030">
        <f t="shared" si="96"/>
        <v>-152504</v>
      </c>
      <c r="G170" s="1030">
        <f t="shared" si="96"/>
        <v>0</v>
      </c>
      <c r="H170" s="1030">
        <f t="shared" si="96"/>
        <v>0</v>
      </c>
      <c r="I170" s="1030">
        <f t="shared" si="96"/>
        <v>0</v>
      </c>
      <c r="J170" s="2911">
        <f t="shared" si="97"/>
        <v>-777240</v>
      </c>
      <c r="K170" s="1044"/>
      <c r="L170" s="1044"/>
      <c r="O170" s="2337"/>
    </row>
    <row r="171" spans="1:17" ht="13.5" thickBot="1">
      <c r="A171" s="1033" t="s">
        <v>20</v>
      </c>
      <c r="B171" s="1034">
        <f t="shared" si="96"/>
        <v>0</v>
      </c>
      <c r="C171" s="1748">
        <f t="shared" si="96"/>
        <v>-58510</v>
      </c>
      <c r="D171" s="1790">
        <f t="shared" si="96"/>
        <v>-13523380</v>
      </c>
      <c r="E171" s="1759">
        <f t="shared" si="96"/>
        <v>-9529904</v>
      </c>
      <c r="F171" s="1034">
        <f t="shared" si="96"/>
        <v>32923417</v>
      </c>
      <c r="G171" s="1034">
        <f t="shared" si="96"/>
        <v>53034081</v>
      </c>
      <c r="H171" s="1034">
        <f t="shared" si="96"/>
        <v>836610</v>
      </c>
      <c r="I171" s="1034">
        <f t="shared" si="96"/>
        <v>-220637</v>
      </c>
      <c r="J171" s="2911">
        <f t="shared" si="97"/>
        <v>65781934</v>
      </c>
      <c r="K171" s="1044"/>
      <c r="L171" s="1044"/>
      <c r="O171" s="2337"/>
    </row>
    <row r="172" spans="1:17" ht="13.5" thickBot="1">
      <c r="A172" s="1046"/>
      <c r="B172" s="1048">
        <f t="shared" ref="B172:J172" si="98">SUM(B165:B171)</f>
        <v>0</v>
      </c>
      <c r="C172" s="1047">
        <f t="shared" si="98"/>
        <v>-104244</v>
      </c>
      <c r="D172" s="1794">
        <f t="shared" si="98"/>
        <v>-13542156</v>
      </c>
      <c r="E172" s="1047">
        <f t="shared" si="98"/>
        <v>-6592286</v>
      </c>
      <c r="F172" s="1047">
        <f t="shared" si="98"/>
        <v>32863934</v>
      </c>
      <c r="G172" s="1047">
        <f t="shared" si="98"/>
        <v>53041000</v>
      </c>
      <c r="H172" s="1047">
        <f t="shared" si="98"/>
        <v>836610</v>
      </c>
      <c r="I172" s="1047">
        <f t="shared" si="98"/>
        <v>-147897</v>
      </c>
      <c r="J172" s="1047">
        <f t="shared" si="98"/>
        <v>68675218</v>
      </c>
      <c r="K172" s="1049"/>
      <c r="L172" s="1049"/>
      <c r="O172" s="2337"/>
    </row>
    <row r="173" spans="1:17" ht="2.25" customHeight="1" thickBot="1">
      <c r="A173" s="856"/>
      <c r="B173" s="1050"/>
      <c r="J173" s="856"/>
      <c r="O173" s="2337"/>
    </row>
    <row r="174" spans="1:17" ht="13.5" thickBot="1">
      <c r="A174" s="1038" t="s">
        <v>41</v>
      </c>
      <c r="B174" s="1052">
        <f t="shared" ref="B174:J174" si="99">+B118-B142</f>
        <v>0</v>
      </c>
      <c r="C174" s="1051">
        <f t="shared" si="99"/>
        <v>-104244</v>
      </c>
      <c r="D174" s="1051">
        <f t="shared" si="99"/>
        <v>-13542156</v>
      </c>
      <c r="E174" s="1051">
        <f t="shared" si="99"/>
        <v>-6592286</v>
      </c>
      <c r="F174" s="1051">
        <f t="shared" si="99"/>
        <v>32863934</v>
      </c>
      <c r="G174" s="1051">
        <f t="shared" si="99"/>
        <v>53041000</v>
      </c>
      <c r="H174" s="1051">
        <f t="shared" si="99"/>
        <v>836610</v>
      </c>
      <c r="I174" s="1051">
        <f t="shared" si="99"/>
        <v>-147897</v>
      </c>
      <c r="J174" s="1051">
        <f t="shared" si="99"/>
        <v>68675218</v>
      </c>
      <c r="O174" s="2337"/>
    </row>
    <row r="175" spans="1:17" ht="14.25" customHeight="1" thickBot="1">
      <c r="A175" s="856"/>
      <c r="B175" s="862">
        <f>+B174-B172</f>
        <v>0</v>
      </c>
      <c r="C175" s="862">
        <f t="shared" ref="C175:J175" si="100">+C174-C172</f>
        <v>0</v>
      </c>
      <c r="D175" s="862">
        <f t="shared" si="100"/>
        <v>0</v>
      </c>
      <c r="E175" s="862">
        <f>+E174-E172</f>
        <v>0</v>
      </c>
      <c r="F175" s="862">
        <f>+F174-F172</f>
        <v>0</v>
      </c>
      <c r="G175" s="862">
        <f>+G174-G172</f>
        <v>0</v>
      </c>
      <c r="H175" s="862">
        <f>+H174-H172</f>
        <v>0</v>
      </c>
      <c r="I175" s="862">
        <f>+I174-I172</f>
        <v>0</v>
      </c>
      <c r="J175" s="862">
        <f t="shared" si="100"/>
        <v>0</v>
      </c>
      <c r="O175" s="2337"/>
    </row>
    <row r="176" spans="1:17" ht="12" customHeight="1">
      <c r="A176" s="856"/>
      <c r="J176" s="862"/>
      <c r="O176" s="1054"/>
    </row>
    <row r="177" spans="1:10">
      <c r="A177" s="856"/>
      <c r="J177" s="856"/>
    </row>
    <row r="178" spans="1:10">
      <c r="A178" s="856"/>
    </row>
    <row r="179" spans="1:10">
      <c r="A179" s="856"/>
      <c r="J179" s="856"/>
    </row>
    <row r="180" spans="1:10">
      <c r="A180" s="856"/>
      <c r="J180" s="856"/>
    </row>
    <row r="181" spans="1:10" ht="41.25" customHeight="1">
      <c r="A181" s="856"/>
    </row>
    <row r="182" spans="1:10">
      <c r="A182" s="856"/>
      <c r="J182" s="856"/>
    </row>
    <row r="183" spans="1:10">
      <c r="A183" s="856"/>
      <c r="J183" s="856"/>
    </row>
    <row r="184" spans="1:10">
      <c r="A184" s="856"/>
      <c r="J184" s="856"/>
    </row>
    <row r="185" spans="1:10">
      <c r="A185" s="856"/>
      <c r="J185" s="856"/>
    </row>
    <row r="186" spans="1:10">
      <c r="A186" s="856"/>
      <c r="J186" s="856"/>
    </row>
    <row r="187" spans="1:10">
      <c r="A187" s="856"/>
      <c r="J187" s="856"/>
    </row>
    <row r="188" spans="1:10">
      <c r="A188" s="856"/>
      <c r="J188" s="856"/>
    </row>
    <row r="189" spans="1:10">
      <c r="A189" s="856"/>
      <c r="J189" s="856"/>
    </row>
    <row r="190" spans="1:10">
      <c r="A190" s="856"/>
      <c r="J190" s="856"/>
    </row>
    <row r="191" spans="1:10">
      <c r="A191" s="856"/>
      <c r="J191" s="856"/>
    </row>
    <row r="192" spans="1:10">
      <c r="A192" s="856"/>
      <c r="J192" s="856"/>
    </row>
    <row r="193" spans="1:10">
      <c r="A193" s="856"/>
      <c r="J193" s="856"/>
    </row>
    <row r="194" spans="1:10">
      <c r="A194" s="856"/>
      <c r="J194" s="856"/>
    </row>
    <row r="195" spans="1:10">
      <c r="A195" s="856"/>
      <c r="J195" s="856"/>
    </row>
    <row r="196" spans="1:10">
      <c r="A196" s="856"/>
      <c r="J196" s="856"/>
    </row>
    <row r="197" spans="1:10">
      <c r="A197" s="856"/>
      <c r="J197" s="856"/>
    </row>
    <row r="198" spans="1:10">
      <c r="A198" s="856"/>
      <c r="J198" s="856"/>
    </row>
    <row r="199" spans="1:10">
      <c r="A199" s="856"/>
      <c r="J199" s="856"/>
    </row>
    <row r="200" spans="1:10">
      <c r="A200" s="856"/>
      <c r="J200" s="856"/>
    </row>
    <row r="201" spans="1:10">
      <c r="A201" s="856"/>
      <c r="J201" s="856"/>
    </row>
    <row r="202" spans="1:10">
      <c r="A202" s="856"/>
      <c r="J202" s="856"/>
    </row>
    <row r="203" spans="1:10">
      <c r="A203" s="856"/>
      <c r="J203" s="856"/>
    </row>
    <row r="204" spans="1:10">
      <c r="A204" s="856"/>
      <c r="J204" s="856"/>
    </row>
    <row r="205" spans="1:10">
      <c r="A205" s="856"/>
      <c r="J205" s="856"/>
    </row>
    <row r="206" spans="1:10">
      <c r="A206" s="856"/>
      <c r="J206" s="856"/>
    </row>
    <row r="207" spans="1:10">
      <c r="A207" s="856"/>
      <c r="J207" s="856"/>
    </row>
    <row r="208" spans="1:10">
      <c r="A208" s="856"/>
      <c r="J208" s="856"/>
    </row>
    <row r="209" spans="1:15">
      <c r="A209" s="856"/>
      <c r="J209" s="856"/>
    </row>
    <row r="210" spans="1:15" ht="13.5" thickBot="1">
      <c r="A210" s="856"/>
      <c r="J210" s="856"/>
      <c r="O210" s="1055"/>
    </row>
    <row r="211" spans="1:15" ht="13.5" thickBot="1">
      <c r="A211" s="856"/>
      <c r="J211" s="856"/>
      <c r="O211" s="2337"/>
    </row>
    <row r="212" spans="1:15" ht="13.5" thickBot="1">
      <c r="A212" s="856"/>
      <c r="J212" s="856"/>
      <c r="O212" s="2337"/>
    </row>
    <row r="213" spans="1:15" ht="13.5" thickBot="1">
      <c r="A213" s="856"/>
      <c r="J213" s="856"/>
      <c r="O213" s="2337"/>
    </row>
    <row r="214" spans="1:15" ht="13.5" thickBot="1">
      <c r="A214" s="856"/>
      <c r="J214" s="856"/>
      <c r="O214" s="2337"/>
    </row>
    <row r="215" spans="1:15" ht="13.5" thickBot="1">
      <c r="A215" s="856"/>
      <c r="J215" s="856"/>
      <c r="O215" s="2337"/>
    </row>
    <row r="216" spans="1:15" ht="13.5" thickBot="1">
      <c r="A216" s="856"/>
      <c r="J216" s="856"/>
      <c r="O216" s="2337"/>
    </row>
    <row r="217" spans="1:15" ht="13.5" thickBot="1">
      <c r="A217" s="856"/>
      <c r="J217" s="856"/>
      <c r="O217" s="2337"/>
    </row>
    <row r="218" spans="1:15" ht="13.5" thickBot="1">
      <c r="A218" s="856"/>
      <c r="J218" s="856"/>
      <c r="O218" s="2337"/>
    </row>
    <row r="219" spans="1:15" ht="13.5" thickBot="1">
      <c r="A219" s="856"/>
      <c r="J219" s="856"/>
      <c r="O219" s="2337"/>
    </row>
    <row r="220" spans="1:15" ht="13.5" thickBot="1">
      <c r="A220" s="856"/>
      <c r="J220" s="856"/>
      <c r="O220" s="2337"/>
    </row>
    <row r="221" spans="1:15" ht="13.5" thickBot="1">
      <c r="A221" s="856"/>
      <c r="J221" s="856"/>
      <c r="O221" s="2337"/>
    </row>
    <row r="222" spans="1:15" ht="13.5" thickBot="1">
      <c r="A222" s="856"/>
      <c r="J222" s="856"/>
      <c r="O222" s="2337"/>
    </row>
    <row r="223" spans="1:15" ht="13.5" thickBot="1">
      <c r="A223" s="856"/>
      <c r="J223" s="856"/>
      <c r="O223" s="2337"/>
    </row>
    <row r="224" spans="1:15">
      <c r="A224" s="856"/>
      <c r="J224" s="856"/>
      <c r="O224" s="1054"/>
    </row>
    <row r="225" spans="1:10">
      <c r="A225" s="856"/>
      <c r="J225" s="856"/>
    </row>
    <row r="226" spans="1:10">
      <c r="A226" s="856"/>
      <c r="J226" s="856"/>
    </row>
    <row r="227" spans="1:10">
      <c r="A227" s="856"/>
      <c r="J227" s="856"/>
    </row>
    <row r="228" spans="1:10">
      <c r="A228" s="856"/>
      <c r="J228" s="856"/>
    </row>
    <row r="229" spans="1:10">
      <c r="A229" s="856"/>
      <c r="J229" s="856"/>
    </row>
    <row r="230" spans="1:10">
      <c r="A230" s="856"/>
      <c r="J230" s="856"/>
    </row>
    <row r="231" spans="1:10">
      <c r="A231" s="856"/>
      <c r="J231" s="856"/>
    </row>
    <row r="232" spans="1:10">
      <c r="A232" s="856"/>
      <c r="J232" s="856"/>
    </row>
    <row r="233" spans="1:10">
      <c r="A233" s="856"/>
      <c r="J233" s="856"/>
    </row>
    <row r="234" spans="1:10">
      <c r="A234" s="856"/>
      <c r="J234" s="856"/>
    </row>
    <row r="235" spans="1:10">
      <c r="A235" s="856"/>
      <c r="J235" s="856"/>
    </row>
    <row r="236" spans="1:10">
      <c r="A236" s="856"/>
      <c r="J236" s="856"/>
    </row>
    <row r="237" spans="1:10">
      <c r="A237" s="856"/>
      <c r="J237" s="856"/>
    </row>
    <row r="238" spans="1:10">
      <c r="A238" s="856"/>
      <c r="J238" s="856"/>
    </row>
    <row r="239" spans="1:10">
      <c r="A239" s="856"/>
      <c r="J239" s="856"/>
    </row>
    <row r="240" spans="1:10">
      <c r="A240" s="856"/>
      <c r="J240" s="856"/>
    </row>
    <row r="241" spans="1:10">
      <c r="A241" s="856"/>
      <c r="J241" s="856"/>
    </row>
    <row r="242" spans="1:10">
      <c r="A242" s="856"/>
      <c r="J242" s="856"/>
    </row>
    <row r="243" spans="1:10">
      <c r="A243" s="856"/>
      <c r="J243" s="856"/>
    </row>
    <row r="244" spans="1:10">
      <c r="A244" s="856"/>
      <c r="J244" s="856"/>
    </row>
    <row r="245" spans="1:10">
      <c r="A245" s="856"/>
      <c r="J245" s="856"/>
    </row>
    <row r="246" spans="1:10">
      <c r="A246" s="856"/>
      <c r="J246" s="856"/>
    </row>
    <row r="247" spans="1:10">
      <c r="A247" s="856"/>
      <c r="J247" s="856"/>
    </row>
    <row r="248" spans="1:10">
      <c r="A248" s="856"/>
      <c r="J248" s="856"/>
    </row>
    <row r="249" spans="1:10">
      <c r="A249" s="856"/>
      <c r="J249" s="856"/>
    </row>
    <row r="250" spans="1:10">
      <c r="A250" s="856"/>
      <c r="J250" s="856"/>
    </row>
    <row r="251" spans="1:10">
      <c r="A251" s="856"/>
      <c r="J251" s="856"/>
    </row>
    <row r="252" spans="1:10">
      <c r="A252" s="856"/>
      <c r="J252" s="856"/>
    </row>
    <row r="253" spans="1:10">
      <c r="A253" s="856"/>
      <c r="J253" s="856"/>
    </row>
    <row r="254" spans="1:10">
      <c r="A254" s="856"/>
      <c r="J254" s="856"/>
    </row>
    <row r="255" spans="1:10">
      <c r="A255" s="856"/>
      <c r="J255" s="856"/>
    </row>
    <row r="256" spans="1:10">
      <c r="A256" s="856"/>
      <c r="J256" s="856"/>
    </row>
    <row r="257" spans="1:10">
      <c r="A257" s="856"/>
      <c r="J257" s="856"/>
    </row>
    <row r="258" spans="1:10">
      <c r="A258" s="856"/>
      <c r="J258" s="856"/>
    </row>
    <row r="259" spans="1:10">
      <c r="A259" s="856"/>
      <c r="J259" s="856"/>
    </row>
    <row r="260" spans="1:10">
      <c r="A260" s="856"/>
      <c r="J260" s="856"/>
    </row>
    <row r="261" spans="1:10">
      <c r="A261" s="856"/>
      <c r="J261" s="856"/>
    </row>
    <row r="262" spans="1:10">
      <c r="A262" s="856"/>
      <c r="J262" s="856"/>
    </row>
    <row r="263" spans="1:10">
      <c r="A263" s="856"/>
      <c r="J263" s="856"/>
    </row>
    <row r="264" spans="1:10">
      <c r="A264" s="856"/>
      <c r="J264" s="856"/>
    </row>
    <row r="265" spans="1:10">
      <c r="A265" s="856"/>
      <c r="J265" s="856"/>
    </row>
    <row r="266" spans="1:10">
      <c r="A266" s="856"/>
      <c r="J266" s="856"/>
    </row>
    <row r="267" spans="1:10">
      <c r="A267" s="856"/>
      <c r="J267" s="856"/>
    </row>
    <row r="268" spans="1:10">
      <c r="A268" s="856"/>
      <c r="J268" s="856"/>
    </row>
    <row r="269" spans="1:10">
      <c r="A269" s="856"/>
      <c r="J269" s="856"/>
    </row>
    <row r="270" spans="1:10">
      <c r="A270" s="856"/>
      <c r="J270" s="856"/>
    </row>
    <row r="271" spans="1:10">
      <c r="A271" s="856"/>
      <c r="J271" s="856"/>
    </row>
    <row r="272" spans="1:10">
      <c r="A272" s="856"/>
      <c r="J272" s="856"/>
    </row>
    <row r="273" spans="1:10">
      <c r="A273" s="856"/>
      <c r="J273" s="856"/>
    </row>
    <row r="274" spans="1:10">
      <c r="A274" s="856"/>
      <c r="J274" s="856"/>
    </row>
    <row r="275" spans="1:10">
      <c r="A275" s="856"/>
      <c r="J275" s="856"/>
    </row>
    <row r="276" spans="1:10">
      <c r="A276" s="856"/>
      <c r="J276" s="856"/>
    </row>
    <row r="277" spans="1:10">
      <c r="A277" s="856"/>
      <c r="J277" s="856"/>
    </row>
    <row r="278" spans="1:10">
      <c r="A278" s="856"/>
      <c r="J278" s="856"/>
    </row>
    <row r="279" spans="1:10">
      <c r="A279" s="856"/>
      <c r="J279" s="856"/>
    </row>
    <row r="280" spans="1:10">
      <c r="A280" s="856"/>
      <c r="J280" s="856"/>
    </row>
    <row r="281" spans="1:10">
      <c r="A281" s="856"/>
      <c r="J281" s="856"/>
    </row>
    <row r="282" spans="1:10">
      <c r="A282" s="856"/>
      <c r="J282" s="856"/>
    </row>
    <row r="283" spans="1:10">
      <c r="A283" s="856"/>
      <c r="J283" s="856"/>
    </row>
    <row r="284" spans="1:10">
      <c r="A284" s="856"/>
      <c r="J284" s="856"/>
    </row>
    <row r="285" spans="1:10">
      <c r="A285" s="856"/>
      <c r="J285" s="856"/>
    </row>
    <row r="286" spans="1:10">
      <c r="A286" s="856"/>
      <c r="J286" s="856"/>
    </row>
    <row r="287" spans="1:10">
      <c r="A287" s="856"/>
      <c r="J287" s="856"/>
    </row>
    <row r="288" spans="1:10">
      <c r="A288" s="856"/>
      <c r="J288" s="856"/>
    </row>
    <row r="289" spans="1:10">
      <c r="A289" s="856"/>
      <c r="J289" s="856"/>
    </row>
    <row r="290" spans="1:10">
      <c r="A290" s="856"/>
      <c r="J290" s="856"/>
    </row>
    <row r="291" spans="1:10">
      <c r="A291" s="856"/>
      <c r="J291" s="856"/>
    </row>
    <row r="292" spans="1:10">
      <c r="A292" s="856"/>
      <c r="J292" s="856"/>
    </row>
    <row r="293" spans="1:10">
      <c r="A293" s="856"/>
      <c r="J293" s="856"/>
    </row>
    <row r="294" spans="1:10">
      <c r="A294" s="856"/>
      <c r="J294" s="856"/>
    </row>
    <row r="295" spans="1:10">
      <c r="A295" s="856"/>
      <c r="J295" s="856"/>
    </row>
    <row r="296" spans="1:10">
      <c r="A296" s="856"/>
      <c r="J296" s="856"/>
    </row>
    <row r="297" spans="1:10">
      <c r="A297" s="856"/>
      <c r="J297" s="856"/>
    </row>
    <row r="298" spans="1:10">
      <c r="A298" s="856"/>
      <c r="J298" s="856"/>
    </row>
    <row r="299" spans="1:10">
      <c r="A299" s="856"/>
      <c r="J299" s="856"/>
    </row>
    <row r="300" spans="1:10">
      <c r="A300" s="856"/>
      <c r="J300" s="856"/>
    </row>
    <row r="301" spans="1:10">
      <c r="A301" s="856"/>
      <c r="J301" s="856"/>
    </row>
    <row r="302" spans="1:10">
      <c r="A302" s="856"/>
      <c r="J302" s="856"/>
    </row>
    <row r="303" spans="1:10">
      <c r="A303" s="856"/>
      <c r="J303" s="856"/>
    </row>
    <row r="304" spans="1:10">
      <c r="A304" s="856"/>
      <c r="J304" s="856"/>
    </row>
    <row r="305" spans="1:10">
      <c r="A305" s="856"/>
      <c r="J305" s="856"/>
    </row>
    <row r="306" spans="1:10">
      <c r="A306" s="856"/>
      <c r="J306" s="856"/>
    </row>
    <row r="307" spans="1:10">
      <c r="A307" s="856"/>
      <c r="J307" s="856"/>
    </row>
    <row r="308" spans="1:10">
      <c r="A308" s="856"/>
      <c r="J308" s="856"/>
    </row>
    <row r="309" spans="1:10">
      <c r="A309" s="856"/>
      <c r="J309" s="856"/>
    </row>
    <row r="310" spans="1:10">
      <c r="A310" s="856"/>
      <c r="J310" s="856"/>
    </row>
    <row r="311" spans="1:10">
      <c r="A311" s="856"/>
      <c r="J311" s="856"/>
    </row>
    <row r="312" spans="1:10">
      <c r="A312" s="856"/>
      <c r="J312" s="856"/>
    </row>
    <row r="313" spans="1:10">
      <c r="A313" s="856"/>
      <c r="J313" s="856"/>
    </row>
    <row r="314" spans="1:10">
      <c r="A314" s="856"/>
      <c r="J314" s="856"/>
    </row>
    <row r="315" spans="1:10">
      <c r="A315" s="856"/>
      <c r="J315" s="856"/>
    </row>
    <row r="316" spans="1:10">
      <c r="A316" s="856"/>
      <c r="J316" s="856"/>
    </row>
    <row r="317" spans="1:10">
      <c r="A317" s="856"/>
      <c r="J317" s="856"/>
    </row>
    <row r="318" spans="1:10">
      <c r="A318" s="856"/>
      <c r="J318" s="856"/>
    </row>
    <row r="319" spans="1:10">
      <c r="A319" s="856"/>
      <c r="J319" s="856"/>
    </row>
    <row r="320" spans="1:10">
      <c r="A320" s="856"/>
      <c r="J320" s="856"/>
    </row>
    <row r="321" spans="1:10">
      <c r="A321" s="856"/>
      <c r="J321" s="856"/>
    </row>
    <row r="322" spans="1:10">
      <c r="A322" s="856"/>
      <c r="J322" s="856"/>
    </row>
    <row r="323" spans="1:10">
      <c r="A323" s="856"/>
      <c r="J323" s="856"/>
    </row>
    <row r="324" spans="1:10">
      <c r="A324" s="856"/>
      <c r="J324" s="856"/>
    </row>
    <row r="325" spans="1:10">
      <c r="A325" s="856"/>
      <c r="J325" s="856"/>
    </row>
    <row r="326" spans="1:10">
      <c r="A326" s="856"/>
      <c r="J326" s="856"/>
    </row>
    <row r="327" spans="1:10">
      <c r="A327" s="856"/>
      <c r="J327" s="856"/>
    </row>
    <row r="328" spans="1:10">
      <c r="A328" s="856"/>
      <c r="J328" s="856"/>
    </row>
    <row r="329" spans="1:10">
      <c r="A329" s="856"/>
      <c r="J329" s="856"/>
    </row>
    <row r="330" spans="1:10">
      <c r="A330" s="856"/>
      <c r="J330" s="856"/>
    </row>
    <row r="331" spans="1:10">
      <c r="A331" s="856"/>
      <c r="J331" s="856"/>
    </row>
    <row r="332" spans="1:10">
      <c r="A332" s="856"/>
      <c r="J332" s="856"/>
    </row>
    <row r="333" spans="1:10">
      <c r="A333" s="856"/>
      <c r="J333" s="856"/>
    </row>
    <row r="334" spans="1:10">
      <c r="A334" s="856"/>
      <c r="J334" s="856"/>
    </row>
    <row r="335" spans="1:10">
      <c r="A335" s="856"/>
      <c r="J335" s="856"/>
    </row>
    <row r="336" spans="1:10">
      <c r="A336" s="856"/>
      <c r="J336" s="856"/>
    </row>
    <row r="337" spans="1:13">
      <c r="A337" s="856"/>
      <c r="J337" s="856"/>
    </row>
    <row r="338" spans="1:13">
      <c r="A338" s="856"/>
      <c r="J338" s="856"/>
    </row>
    <row r="339" spans="1:13">
      <c r="A339" s="856"/>
      <c r="J339" s="856"/>
    </row>
    <row r="340" spans="1:13">
      <c r="A340" s="856"/>
      <c r="J340" s="856"/>
    </row>
    <row r="341" spans="1:13">
      <c r="A341" s="856"/>
      <c r="J341" s="856"/>
    </row>
    <row r="342" spans="1:13">
      <c r="A342" s="856"/>
      <c r="J342" s="856"/>
    </row>
    <row r="343" spans="1:13">
      <c r="A343" s="856"/>
      <c r="J343" s="856"/>
    </row>
    <row r="344" spans="1:13">
      <c r="A344" s="856"/>
      <c r="J344" s="856"/>
    </row>
    <row r="345" spans="1:13">
      <c r="A345" s="856"/>
      <c r="J345" s="856"/>
    </row>
    <row r="346" spans="1:13">
      <c r="A346" s="856"/>
      <c r="J346" s="856"/>
    </row>
    <row r="347" spans="1:13">
      <c r="A347" s="856"/>
      <c r="J347" s="856"/>
    </row>
    <row r="348" spans="1:13">
      <c r="A348" s="856"/>
      <c r="J348" s="856"/>
    </row>
    <row r="349" spans="1:13" ht="13.5" thickBot="1">
      <c r="A349" s="856"/>
      <c r="J349" s="856"/>
    </row>
    <row r="350" spans="1:13" ht="45">
      <c r="A350" s="1053" t="s">
        <v>61</v>
      </c>
      <c r="B350" s="1054"/>
      <c r="C350" s="1054"/>
      <c r="D350" s="1054"/>
      <c r="E350" s="1054"/>
      <c r="F350" s="1054"/>
      <c r="G350" s="1054"/>
      <c r="H350" s="1054"/>
      <c r="I350" s="1054"/>
      <c r="J350" s="1054"/>
      <c r="K350" s="2834"/>
      <c r="L350" s="2834"/>
      <c r="M350" s="2834"/>
    </row>
    <row r="351" spans="1:13">
      <c r="A351" s="856"/>
      <c r="J351" s="856"/>
      <c r="K351" s="2454"/>
      <c r="L351" s="2454"/>
      <c r="M351" s="2454"/>
    </row>
    <row r="352" spans="1:13">
      <c r="A352" s="856"/>
      <c r="J352" s="856"/>
      <c r="K352" s="2454"/>
      <c r="L352" s="2454"/>
      <c r="M352" s="2454"/>
    </row>
    <row r="353" spans="1:13">
      <c r="A353" s="856"/>
      <c r="J353" s="856"/>
      <c r="K353" s="2454"/>
      <c r="L353" s="2454"/>
      <c r="M353" s="2454"/>
    </row>
    <row r="354" spans="1:13">
      <c r="A354" s="856"/>
      <c r="J354" s="856"/>
      <c r="K354" s="2454"/>
      <c r="L354" s="2454"/>
      <c r="M354" s="2454"/>
    </row>
    <row r="355" spans="1:13">
      <c r="A355" s="856"/>
      <c r="J355" s="856"/>
      <c r="K355" s="2454"/>
      <c r="L355" s="2454"/>
      <c r="M355" s="2454"/>
    </row>
    <row r="356" spans="1:13">
      <c r="A356" s="856"/>
      <c r="J356" s="856"/>
      <c r="K356" s="2454"/>
      <c r="L356" s="2454"/>
      <c r="M356" s="2454"/>
    </row>
    <row r="357" spans="1:13">
      <c r="A357" s="856"/>
      <c r="J357" s="856"/>
      <c r="K357" s="2454"/>
      <c r="L357" s="2454"/>
      <c r="M357" s="2454"/>
    </row>
    <row r="358" spans="1:13">
      <c r="A358" s="856"/>
      <c r="J358" s="856"/>
      <c r="K358" s="2454"/>
      <c r="L358" s="2454"/>
      <c r="M358" s="2454"/>
    </row>
    <row r="359" spans="1:13">
      <c r="A359" s="856"/>
      <c r="J359" s="856"/>
      <c r="K359" s="2454"/>
      <c r="L359" s="2454"/>
      <c r="M359" s="2454"/>
    </row>
    <row r="360" spans="1:13">
      <c r="A360" s="856"/>
      <c r="J360" s="856"/>
      <c r="K360" s="2454"/>
      <c r="L360" s="2454"/>
      <c r="M360" s="2454"/>
    </row>
    <row r="361" spans="1:13" ht="13.5" thickBot="1">
      <c r="A361" s="1055"/>
      <c r="B361" s="1055"/>
      <c r="C361" s="1055"/>
      <c r="D361" s="1055"/>
      <c r="E361" s="1055"/>
      <c r="F361" s="1055"/>
      <c r="G361" s="1055"/>
      <c r="H361" s="1055"/>
      <c r="I361" s="1055"/>
      <c r="J361" s="1055"/>
      <c r="K361" s="2797"/>
      <c r="L361" s="2797"/>
      <c r="M361" s="2797"/>
    </row>
    <row r="362" spans="1:13">
      <c r="A362" s="856"/>
      <c r="J362" s="856"/>
    </row>
    <row r="363" spans="1:13" ht="13.5" thickBot="1">
      <c r="A363" s="1055"/>
      <c r="J363" s="856"/>
    </row>
    <row r="364" spans="1:13" ht="13.5" thickBot="1">
      <c r="A364" s="2337"/>
      <c r="J364" s="856"/>
    </row>
    <row r="365" spans="1:13" ht="13.5" thickBot="1">
      <c r="A365" s="2337"/>
      <c r="J365" s="856"/>
    </row>
    <row r="366" spans="1:13" ht="13.5" thickBot="1">
      <c r="A366" s="2337"/>
      <c r="J366" s="856"/>
    </row>
    <row r="367" spans="1:13" ht="13.5" thickBot="1">
      <c r="A367" s="2337"/>
      <c r="J367" s="856"/>
    </row>
    <row r="368" spans="1:13" ht="13.5" thickBot="1">
      <c r="A368" s="2337"/>
      <c r="J368" s="856"/>
    </row>
    <row r="369" spans="1:15" ht="13.5" thickBot="1">
      <c r="A369" s="2337"/>
      <c r="J369" s="856"/>
      <c r="N369" s="1055"/>
      <c r="O369" s="1055"/>
    </row>
    <row r="370" spans="1:15" ht="13.5" thickBot="1">
      <c r="A370" s="2337"/>
      <c r="C370" s="1055"/>
      <c r="J370" s="856"/>
      <c r="N370" s="2337"/>
      <c r="O370" s="2337"/>
    </row>
    <row r="371" spans="1:15" ht="13.5" thickBot="1">
      <c r="A371" s="2337"/>
      <c r="C371" s="2337"/>
      <c r="D371" s="1055"/>
      <c r="E371" s="1055"/>
      <c r="F371" s="1055"/>
      <c r="G371" s="1055"/>
      <c r="H371" s="1055"/>
      <c r="I371" s="1055"/>
      <c r="J371" s="1055"/>
      <c r="K371" s="2797"/>
      <c r="L371" s="2797"/>
      <c r="N371" s="2337"/>
      <c r="O371" s="2337"/>
    </row>
    <row r="372" spans="1:15" ht="13.5" thickBot="1">
      <c r="A372" s="2337"/>
      <c r="C372" s="1054"/>
      <c r="D372" s="1054"/>
      <c r="E372" s="1054"/>
      <c r="F372" s="1054"/>
      <c r="G372" s="1054"/>
      <c r="H372" s="1054"/>
      <c r="I372" s="1054"/>
      <c r="J372" s="1054"/>
      <c r="K372" s="2834"/>
      <c r="L372" s="2834"/>
      <c r="N372" s="1054"/>
      <c r="O372" s="2337"/>
    </row>
    <row r="373" spans="1:15" ht="13.5" thickBot="1">
      <c r="A373" s="2337"/>
      <c r="J373" s="856"/>
      <c r="O373" s="2337"/>
    </row>
    <row r="374" spans="1:15" ht="13.5" thickBot="1">
      <c r="A374" s="2337"/>
      <c r="J374" s="856"/>
      <c r="O374" s="2337"/>
    </row>
    <row r="375" spans="1:15" ht="13.5" thickBot="1">
      <c r="A375" s="2337"/>
      <c r="J375" s="856"/>
      <c r="O375" s="2337"/>
    </row>
    <row r="376" spans="1:15" ht="13.5" thickBot="1">
      <c r="A376" s="2337"/>
      <c r="J376" s="856"/>
      <c r="O376" s="2337"/>
    </row>
    <row r="377" spans="1:15" ht="13.5" thickBot="1">
      <c r="A377" s="2337"/>
      <c r="J377" s="856"/>
      <c r="O377" s="1054"/>
    </row>
    <row r="378" spans="1:15" ht="13.5" thickBot="1">
      <c r="A378" s="2337"/>
      <c r="J378" s="856"/>
    </row>
    <row r="379" spans="1:15" ht="13.5" thickBot="1">
      <c r="A379" s="2337"/>
      <c r="J379" s="856"/>
    </row>
    <row r="380" spans="1:15">
      <c r="A380" s="1054"/>
      <c r="J380" s="856"/>
    </row>
    <row r="381" spans="1:15">
      <c r="A381" s="856"/>
      <c r="J381" s="856"/>
    </row>
    <row r="382" spans="1:15">
      <c r="A382" s="856"/>
      <c r="J382" s="856"/>
    </row>
    <row r="383" spans="1:15">
      <c r="A383" s="856"/>
      <c r="J383" s="856"/>
    </row>
    <row r="384" spans="1:15">
      <c r="A384" s="856"/>
      <c r="J384" s="856"/>
    </row>
    <row r="385" spans="1:10">
      <c r="A385" s="856"/>
      <c r="J385" s="856"/>
    </row>
    <row r="386" spans="1:10">
      <c r="A386" s="856"/>
      <c r="J386" s="856"/>
    </row>
    <row r="387" spans="1:10">
      <c r="A387" s="856"/>
      <c r="J387" s="856"/>
    </row>
    <row r="388" spans="1:10">
      <c r="A388" s="856"/>
      <c r="J388" s="856"/>
    </row>
    <row r="389" spans="1:10">
      <c r="A389" s="856"/>
      <c r="J389" s="856"/>
    </row>
    <row r="390" spans="1:10">
      <c r="A390" s="856"/>
      <c r="J390" s="856"/>
    </row>
    <row r="391" spans="1:10">
      <c r="A391" s="856"/>
      <c r="J391" s="856"/>
    </row>
    <row r="392" spans="1:10">
      <c r="A392" s="856"/>
      <c r="J392" s="856"/>
    </row>
    <row r="393" spans="1:10">
      <c r="A393" s="856"/>
      <c r="J393" s="856"/>
    </row>
    <row r="394" spans="1:10">
      <c r="A394" s="856"/>
      <c r="J394" s="856"/>
    </row>
    <row r="395" spans="1:10">
      <c r="A395" s="856"/>
      <c r="J395" s="856"/>
    </row>
    <row r="396" spans="1:10">
      <c r="A396" s="856"/>
      <c r="J396" s="856"/>
    </row>
    <row r="397" spans="1:10">
      <c r="A397" s="856"/>
      <c r="J397" s="856"/>
    </row>
    <row r="398" spans="1:10">
      <c r="A398" s="856"/>
      <c r="J398" s="856"/>
    </row>
    <row r="399" spans="1:10">
      <c r="A399" s="856"/>
      <c r="J399" s="856"/>
    </row>
    <row r="400" spans="1:10">
      <c r="A400" s="856"/>
      <c r="J400" s="856"/>
    </row>
    <row r="401" spans="1:10">
      <c r="A401" s="856"/>
      <c r="J401" s="856"/>
    </row>
    <row r="402" spans="1:10">
      <c r="A402" s="856"/>
      <c r="J402" s="856"/>
    </row>
    <row r="403" spans="1:10">
      <c r="A403" s="856"/>
      <c r="J403" s="856"/>
    </row>
    <row r="404" spans="1:10">
      <c r="A404" s="856"/>
      <c r="J404" s="856"/>
    </row>
    <row r="405" spans="1:10">
      <c r="A405" s="856"/>
      <c r="J405" s="856"/>
    </row>
    <row r="406" spans="1:10">
      <c r="A406" s="856"/>
      <c r="J406" s="856"/>
    </row>
    <row r="407" spans="1:10">
      <c r="A407" s="856"/>
      <c r="J407" s="856"/>
    </row>
    <row r="408" spans="1:10">
      <c r="A408" s="856"/>
      <c r="J408" s="856"/>
    </row>
    <row r="409" spans="1:10">
      <c r="A409" s="856"/>
      <c r="J409" s="856"/>
    </row>
    <row r="410" spans="1:10">
      <c r="A410" s="856"/>
      <c r="J410" s="856"/>
    </row>
    <row r="411" spans="1:10">
      <c r="A411" s="856"/>
      <c r="J411" s="856"/>
    </row>
    <row r="412" spans="1:10">
      <c r="A412" s="856"/>
      <c r="J412" s="856"/>
    </row>
    <row r="413" spans="1:10">
      <c r="A413" s="856"/>
      <c r="J413" s="856"/>
    </row>
    <row r="414" spans="1:10">
      <c r="A414" s="856"/>
      <c r="J414" s="856"/>
    </row>
    <row r="415" spans="1:10">
      <c r="A415" s="856"/>
      <c r="J415" s="856"/>
    </row>
    <row r="416" spans="1:10">
      <c r="A416" s="856"/>
      <c r="J416" s="856"/>
    </row>
    <row r="417" spans="1:10">
      <c r="A417" s="856"/>
      <c r="J417" s="856"/>
    </row>
    <row r="418" spans="1:10">
      <c r="A418" s="856"/>
      <c r="J418" s="856"/>
    </row>
    <row r="419" spans="1:10">
      <c r="A419" s="856"/>
      <c r="J419" s="856"/>
    </row>
    <row r="420" spans="1:10">
      <c r="A420" s="856"/>
      <c r="J420" s="856"/>
    </row>
    <row r="421" spans="1:10">
      <c r="A421" s="856"/>
      <c r="J421" s="856"/>
    </row>
    <row r="422" spans="1:10">
      <c r="A422" s="856"/>
      <c r="J422" s="856"/>
    </row>
    <row r="423" spans="1:10">
      <c r="A423" s="856"/>
      <c r="J423" s="856"/>
    </row>
    <row r="424" spans="1:10">
      <c r="A424" s="856"/>
      <c r="J424" s="856"/>
    </row>
    <row r="425" spans="1:10">
      <c r="A425" s="856"/>
      <c r="J425" s="856"/>
    </row>
    <row r="426" spans="1:10">
      <c r="A426" s="856"/>
      <c r="J426" s="856"/>
    </row>
    <row r="427" spans="1:10">
      <c r="A427" s="856"/>
      <c r="J427" s="856"/>
    </row>
    <row r="428" spans="1:10">
      <c r="A428" s="856"/>
      <c r="J428" s="856"/>
    </row>
    <row r="429" spans="1:10">
      <c r="A429" s="856"/>
      <c r="J429" s="856"/>
    </row>
    <row r="430" spans="1:10">
      <c r="A430" s="856"/>
      <c r="J430" s="856"/>
    </row>
    <row r="431" spans="1:10">
      <c r="A431" s="856"/>
      <c r="J431" s="856"/>
    </row>
    <row r="432" spans="1:10">
      <c r="A432" s="856"/>
      <c r="J432" s="856"/>
    </row>
    <row r="433" spans="1:10">
      <c r="A433" s="856"/>
      <c r="J433" s="856"/>
    </row>
    <row r="434" spans="1:10">
      <c r="A434" s="856"/>
      <c r="J434" s="856"/>
    </row>
    <row r="435" spans="1:10">
      <c r="A435" s="856"/>
      <c r="J435" s="856"/>
    </row>
    <row r="436" spans="1:10">
      <c r="A436" s="856"/>
      <c r="J436" s="856"/>
    </row>
    <row r="437" spans="1:10">
      <c r="A437" s="856"/>
      <c r="J437" s="856"/>
    </row>
    <row r="438" spans="1:10">
      <c r="A438" s="856"/>
      <c r="J438" s="856"/>
    </row>
    <row r="439" spans="1:10">
      <c r="A439" s="856"/>
      <c r="J439" s="856"/>
    </row>
    <row r="440" spans="1:10">
      <c r="A440" s="856"/>
      <c r="J440" s="856"/>
    </row>
    <row r="441" spans="1:10">
      <c r="A441" s="856"/>
      <c r="J441" s="856"/>
    </row>
    <row r="442" spans="1:10">
      <c r="A442" s="856"/>
      <c r="J442" s="856"/>
    </row>
    <row r="443" spans="1:10">
      <c r="A443" s="856"/>
      <c r="J443" s="856"/>
    </row>
    <row r="444" spans="1:10">
      <c r="A444" s="856"/>
      <c r="J444" s="856"/>
    </row>
    <row r="445" spans="1:10">
      <c r="A445" s="856"/>
      <c r="J445" s="856"/>
    </row>
    <row r="446" spans="1:10">
      <c r="A446" s="856"/>
      <c r="J446" s="856"/>
    </row>
    <row r="447" spans="1:10">
      <c r="A447" s="856"/>
      <c r="J447" s="856"/>
    </row>
    <row r="448" spans="1:10">
      <c r="A448" s="856"/>
      <c r="J448" s="856"/>
    </row>
    <row r="449" spans="1:10">
      <c r="A449" s="856"/>
      <c r="J449" s="856"/>
    </row>
    <row r="450" spans="1:10">
      <c r="A450" s="856"/>
      <c r="J450" s="856"/>
    </row>
    <row r="451" spans="1:10">
      <c r="A451" s="856"/>
      <c r="J451" s="856"/>
    </row>
    <row r="452" spans="1:10">
      <c r="A452" s="856"/>
      <c r="J452" s="856"/>
    </row>
    <row r="453" spans="1:10">
      <c r="A453" s="856"/>
      <c r="J453" s="856"/>
    </row>
    <row r="454" spans="1:10">
      <c r="A454" s="856"/>
      <c r="J454" s="856"/>
    </row>
    <row r="455" spans="1:10">
      <c r="A455" s="856"/>
      <c r="J455" s="856"/>
    </row>
    <row r="456" spans="1:10">
      <c r="A456" s="856"/>
      <c r="J456" s="856"/>
    </row>
    <row r="457" spans="1:10">
      <c r="A457" s="856"/>
      <c r="J457" s="856"/>
    </row>
    <row r="458" spans="1:10">
      <c r="A458" s="856"/>
      <c r="J458" s="856"/>
    </row>
    <row r="459" spans="1:10">
      <c r="A459" s="856"/>
      <c r="J459" s="856"/>
    </row>
    <row r="460" spans="1:10">
      <c r="A460" s="856"/>
      <c r="J460" s="856"/>
    </row>
    <row r="461" spans="1:10">
      <c r="A461" s="856"/>
      <c r="J461" s="856"/>
    </row>
    <row r="462" spans="1:10">
      <c r="A462" s="856"/>
      <c r="J462" s="856"/>
    </row>
    <row r="463" spans="1:10">
      <c r="A463" s="856"/>
      <c r="J463" s="856"/>
    </row>
    <row r="464" spans="1:10">
      <c r="A464" s="856"/>
      <c r="J464" s="856"/>
    </row>
    <row r="465" spans="1:15">
      <c r="A465" s="856"/>
      <c r="J465" s="856"/>
    </row>
    <row r="466" spans="1:15">
      <c r="A466" s="856"/>
      <c r="J466" s="856"/>
    </row>
    <row r="467" spans="1:15">
      <c r="A467" s="856"/>
      <c r="J467" s="856"/>
    </row>
    <row r="468" spans="1:15">
      <c r="A468" s="856"/>
      <c r="J468" s="856"/>
    </row>
    <row r="469" spans="1:15">
      <c r="A469" s="856"/>
      <c r="J469" s="856"/>
    </row>
    <row r="470" spans="1:15">
      <c r="A470" s="856"/>
      <c r="J470" s="856"/>
    </row>
    <row r="471" spans="1:15">
      <c r="A471" s="856"/>
      <c r="J471" s="856"/>
    </row>
    <row r="472" spans="1:15">
      <c r="A472" s="856"/>
      <c r="J472" s="856"/>
    </row>
    <row r="473" spans="1:15">
      <c r="A473" s="856"/>
      <c r="J473" s="856"/>
    </row>
    <row r="474" spans="1:15">
      <c r="A474" s="856"/>
      <c r="J474" s="856"/>
    </row>
    <row r="475" spans="1:15">
      <c r="A475" s="856"/>
      <c r="J475" s="856"/>
    </row>
    <row r="476" spans="1:15">
      <c r="A476" s="856"/>
      <c r="J476" s="856"/>
    </row>
    <row r="477" spans="1:15">
      <c r="A477" s="856"/>
      <c r="J477" s="856"/>
    </row>
    <row r="478" spans="1:15" ht="13.5" thickBot="1">
      <c r="A478" s="856"/>
      <c r="J478" s="856"/>
      <c r="O478" s="1055"/>
    </row>
    <row r="479" spans="1:15" ht="13.5" thickBot="1">
      <c r="A479" s="856"/>
      <c r="J479" s="856"/>
      <c r="O479" s="2337"/>
    </row>
    <row r="480" spans="1:15" ht="13.5" thickBot="1">
      <c r="A480" s="856"/>
      <c r="J480" s="856"/>
      <c r="O480" s="2337"/>
    </row>
    <row r="481" spans="1:15" ht="13.5" thickBot="1">
      <c r="A481" s="856"/>
      <c r="J481" s="856"/>
      <c r="O481" s="2337"/>
    </row>
    <row r="482" spans="1:15" ht="13.5" thickBot="1">
      <c r="A482" s="856"/>
      <c r="J482" s="856"/>
      <c r="N482" s="1055"/>
      <c r="O482" s="2337"/>
    </row>
    <row r="483" spans="1:15" ht="13.5" thickBot="1">
      <c r="A483" s="856"/>
      <c r="J483" s="856"/>
      <c r="N483" s="2337"/>
      <c r="O483" s="2337"/>
    </row>
    <row r="484" spans="1:15" ht="13.5" thickBot="1">
      <c r="A484" s="856"/>
      <c r="J484" s="856"/>
      <c r="N484" s="2337"/>
      <c r="O484" s="2337"/>
    </row>
    <row r="485" spans="1:15" ht="13.5" thickBot="1">
      <c r="A485" s="856"/>
      <c r="J485" s="856"/>
      <c r="N485" s="2337"/>
      <c r="O485" s="2337"/>
    </row>
    <row r="486" spans="1:15" ht="13.5" thickBot="1">
      <c r="A486" s="856"/>
      <c r="J486" s="856"/>
      <c r="N486" s="2337"/>
      <c r="O486" s="2337"/>
    </row>
    <row r="487" spans="1:15" ht="13.5" thickBot="1">
      <c r="A487" s="1055"/>
      <c r="B487" s="1055"/>
      <c r="C487" s="1055"/>
      <c r="D487" s="1055"/>
      <c r="E487" s="1055"/>
      <c r="F487" s="1055"/>
      <c r="G487" s="1055"/>
      <c r="H487" s="1055"/>
      <c r="I487" s="1055"/>
      <c r="J487" s="1055"/>
      <c r="K487" s="2797"/>
      <c r="L487" s="2797"/>
      <c r="N487" s="2337"/>
      <c r="O487" s="2337"/>
    </row>
    <row r="488" spans="1:15" ht="13.5" thickBot="1">
      <c r="A488" s="2337"/>
      <c r="B488" s="1054"/>
      <c r="C488" s="1054"/>
      <c r="D488" s="1054"/>
      <c r="E488" s="1054"/>
      <c r="F488" s="1054"/>
      <c r="G488" s="1054"/>
      <c r="H488" s="1054"/>
      <c r="I488" s="1054"/>
      <c r="J488" s="1054"/>
      <c r="K488" s="2834"/>
      <c r="L488" s="2834"/>
      <c r="N488" s="1054"/>
      <c r="O488" s="2337"/>
    </row>
    <row r="489" spans="1:15" ht="13.5" thickBot="1">
      <c r="A489" s="2337"/>
      <c r="J489" s="856"/>
      <c r="O489" s="2337"/>
    </row>
    <row r="490" spans="1:15" ht="13.5" thickBot="1">
      <c r="A490" s="2337"/>
      <c r="J490" s="856"/>
      <c r="O490" s="2337"/>
    </row>
    <row r="491" spans="1:15" ht="13.5" thickBot="1">
      <c r="A491" s="2337"/>
      <c r="J491" s="856"/>
      <c r="O491" s="2337"/>
    </row>
    <row r="492" spans="1:15" ht="13.5" thickBot="1">
      <c r="A492" s="2337"/>
      <c r="J492" s="856"/>
      <c r="O492" s="2337"/>
    </row>
    <row r="493" spans="1:15" ht="13.5" thickBot="1">
      <c r="A493" s="2337"/>
      <c r="J493" s="856"/>
      <c r="O493" s="2337"/>
    </row>
    <row r="494" spans="1:15" ht="13.5" thickBot="1">
      <c r="A494" s="2337"/>
      <c r="J494" s="856"/>
      <c r="O494" s="2337"/>
    </row>
    <row r="495" spans="1:15">
      <c r="A495" s="1054"/>
      <c r="J495" s="856"/>
      <c r="O495" s="1054"/>
    </row>
    <row r="496" spans="1:15">
      <c r="A496" s="856"/>
      <c r="J496" s="856"/>
    </row>
    <row r="497" spans="1:10">
      <c r="A497" s="856"/>
      <c r="J497" s="856"/>
    </row>
    <row r="498" spans="1:10">
      <c r="A498" s="856"/>
      <c r="J498" s="856"/>
    </row>
    <row r="499" spans="1:10">
      <c r="A499" s="856"/>
      <c r="J499" s="856"/>
    </row>
    <row r="500" spans="1:10">
      <c r="A500" s="856"/>
      <c r="J500" s="856"/>
    </row>
    <row r="501" spans="1:10">
      <c r="A501" s="856"/>
      <c r="J501" s="856"/>
    </row>
    <row r="502" spans="1:10">
      <c r="A502" s="856"/>
      <c r="J502" s="856"/>
    </row>
    <row r="503" spans="1:10">
      <c r="A503" s="856"/>
      <c r="J503" s="856"/>
    </row>
    <row r="504" spans="1:10">
      <c r="A504" s="856"/>
      <c r="J504" s="856"/>
    </row>
    <row r="505" spans="1:10">
      <c r="A505" s="856"/>
      <c r="J505" s="856"/>
    </row>
    <row r="506" spans="1:10">
      <c r="A506" s="856"/>
      <c r="J506" s="856"/>
    </row>
    <row r="507" spans="1:10">
      <c r="A507" s="856"/>
      <c r="J507" s="856"/>
    </row>
    <row r="508" spans="1:10">
      <c r="A508" s="856"/>
      <c r="J508" s="856"/>
    </row>
    <row r="509" spans="1:10">
      <c r="A509" s="856"/>
      <c r="J509" s="856"/>
    </row>
    <row r="510" spans="1:10">
      <c r="A510" s="856"/>
      <c r="J510" s="856"/>
    </row>
    <row r="511" spans="1:10">
      <c r="A511" s="856"/>
      <c r="J511" s="856"/>
    </row>
    <row r="512" spans="1:10">
      <c r="A512" s="856"/>
      <c r="J512" s="856"/>
    </row>
    <row r="513" spans="1:10">
      <c r="A513" s="856"/>
      <c r="J513" s="856"/>
    </row>
    <row r="514" spans="1:10">
      <c r="A514" s="856"/>
      <c r="J514" s="856"/>
    </row>
    <row r="515" spans="1:10">
      <c r="A515" s="856"/>
      <c r="J515" s="856"/>
    </row>
    <row r="516" spans="1:10">
      <c r="A516" s="856"/>
      <c r="J516" s="856"/>
    </row>
    <row r="517" spans="1:10">
      <c r="A517" s="856"/>
      <c r="J517" s="856"/>
    </row>
    <row r="518" spans="1:10">
      <c r="A518" s="856"/>
      <c r="J518" s="856"/>
    </row>
    <row r="519" spans="1:10">
      <c r="A519" s="856"/>
      <c r="J519" s="856"/>
    </row>
    <row r="520" spans="1:10">
      <c r="A520" s="856"/>
      <c r="J520" s="856"/>
    </row>
    <row r="521" spans="1:10">
      <c r="A521" s="856"/>
      <c r="J521" s="856"/>
    </row>
    <row r="522" spans="1:10">
      <c r="A522" s="856"/>
      <c r="J522" s="856"/>
    </row>
    <row r="523" spans="1:10">
      <c r="A523" s="856"/>
      <c r="J523" s="856"/>
    </row>
    <row r="524" spans="1:10">
      <c r="A524" s="856"/>
      <c r="J524" s="856"/>
    </row>
    <row r="525" spans="1:10">
      <c r="A525" s="856"/>
      <c r="J525" s="856"/>
    </row>
    <row r="526" spans="1:10">
      <c r="A526" s="856"/>
      <c r="J526" s="856"/>
    </row>
    <row r="527" spans="1:10">
      <c r="A527" s="856"/>
      <c r="J527" s="856"/>
    </row>
    <row r="528" spans="1:10">
      <c r="A528" s="856"/>
      <c r="J528" s="856"/>
    </row>
    <row r="529" spans="1:10">
      <c r="A529" s="856"/>
      <c r="J529" s="856"/>
    </row>
    <row r="530" spans="1:10">
      <c r="A530" s="856"/>
      <c r="J530" s="856"/>
    </row>
    <row r="531" spans="1:10">
      <c r="A531" s="856"/>
      <c r="J531" s="856"/>
    </row>
    <row r="532" spans="1:10">
      <c r="A532" s="856"/>
      <c r="J532" s="856"/>
    </row>
    <row r="533" spans="1:10">
      <c r="A533" s="856"/>
      <c r="J533" s="856"/>
    </row>
    <row r="534" spans="1:10">
      <c r="A534" s="856"/>
      <c r="J534" s="856"/>
    </row>
    <row r="535" spans="1:10">
      <c r="A535" s="856"/>
      <c r="J535" s="856"/>
    </row>
    <row r="536" spans="1:10">
      <c r="A536" s="856"/>
      <c r="J536" s="856"/>
    </row>
    <row r="537" spans="1:10">
      <c r="A537" s="856"/>
      <c r="J537" s="856"/>
    </row>
    <row r="538" spans="1:10">
      <c r="A538" s="856"/>
      <c r="J538" s="856"/>
    </row>
    <row r="539" spans="1:10">
      <c r="A539" s="856"/>
      <c r="J539" s="856"/>
    </row>
    <row r="540" spans="1:10">
      <c r="A540" s="856"/>
      <c r="J540" s="856"/>
    </row>
    <row r="541" spans="1:10">
      <c r="A541" s="856"/>
      <c r="J541" s="856"/>
    </row>
    <row r="542" spans="1:10">
      <c r="A542" s="856"/>
      <c r="J542" s="856"/>
    </row>
    <row r="543" spans="1:10">
      <c r="A543" s="856"/>
      <c r="J543" s="856"/>
    </row>
    <row r="544" spans="1:10">
      <c r="A544" s="856"/>
      <c r="J544" s="856"/>
    </row>
    <row r="545" spans="1:10">
      <c r="A545" s="856"/>
      <c r="J545" s="856"/>
    </row>
    <row r="546" spans="1:10">
      <c r="A546" s="856"/>
      <c r="J546" s="856"/>
    </row>
    <row r="547" spans="1:10">
      <c r="A547" s="856"/>
      <c r="J547" s="856"/>
    </row>
    <row r="548" spans="1:10">
      <c r="A548" s="856"/>
      <c r="J548" s="856"/>
    </row>
    <row r="549" spans="1:10">
      <c r="A549" s="856"/>
      <c r="J549" s="856"/>
    </row>
    <row r="550" spans="1:10">
      <c r="A550" s="856"/>
      <c r="J550" s="856"/>
    </row>
    <row r="551" spans="1:10">
      <c r="A551" s="856"/>
      <c r="J551" s="856"/>
    </row>
    <row r="552" spans="1:10">
      <c r="A552" s="856"/>
      <c r="J552" s="856"/>
    </row>
    <row r="553" spans="1:10">
      <c r="A553" s="856"/>
      <c r="J553" s="856"/>
    </row>
    <row r="554" spans="1:10">
      <c r="A554" s="856"/>
      <c r="J554" s="856"/>
    </row>
    <row r="555" spans="1:10">
      <c r="A555" s="856"/>
      <c r="J555" s="856"/>
    </row>
    <row r="556" spans="1:10">
      <c r="A556" s="856"/>
      <c r="J556" s="856"/>
    </row>
    <row r="557" spans="1:10">
      <c r="A557" s="856"/>
      <c r="J557" s="856"/>
    </row>
    <row r="558" spans="1:10">
      <c r="A558" s="856"/>
      <c r="J558" s="856"/>
    </row>
    <row r="559" spans="1:10">
      <c r="A559" s="856"/>
      <c r="J559" s="856"/>
    </row>
    <row r="560" spans="1:10">
      <c r="A560" s="856"/>
      <c r="J560" s="856"/>
    </row>
    <row r="561" spans="1:10">
      <c r="A561" s="856"/>
      <c r="J561" s="856"/>
    </row>
    <row r="562" spans="1:10">
      <c r="A562" s="856"/>
      <c r="J562" s="856"/>
    </row>
    <row r="563" spans="1:10">
      <c r="A563" s="856"/>
      <c r="J563" s="856"/>
    </row>
    <row r="564" spans="1:10">
      <c r="A564" s="856"/>
      <c r="J564" s="856"/>
    </row>
    <row r="565" spans="1:10">
      <c r="A565" s="856"/>
      <c r="J565" s="856"/>
    </row>
    <row r="566" spans="1:10">
      <c r="A566" s="856"/>
      <c r="J566" s="856"/>
    </row>
    <row r="567" spans="1:10">
      <c r="A567" s="856"/>
      <c r="J567" s="856"/>
    </row>
    <row r="568" spans="1:10">
      <c r="A568" s="856"/>
      <c r="J568" s="856"/>
    </row>
    <row r="569" spans="1:10">
      <c r="A569" s="856"/>
      <c r="J569" s="856"/>
    </row>
    <row r="570" spans="1:10">
      <c r="A570" s="856"/>
      <c r="J570" s="856"/>
    </row>
    <row r="571" spans="1:10">
      <c r="A571" s="856"/>
      <c r="J571" s="856"/>
    </row>
    <row r="572" spans="1:10">
      <c r="A572" s="856"/>
      <c r="J572" s="856"/>
    </row>
    <row r="573" spans="1:10">
      <c r="A573" s="856"/>
      <c r="J573" s="856"/>
    </row>
    <row r="574" spans="1:10">
      <c r="A574" s="856"/>
      <c r="J574" s="856"/>
    </row>
    <row r="575" spans="1:10">
      <c r="A575" s="856"/>
      <c r="J575" s="856"/>
    </row>
    <row r="576" spans="1:10">
      <c r="A576" s="856"/>
      <c r="J576" s="856"/>
    </row>
    <row r="577" spans="1:10">
      <c r="A577" s="856"/>
      <c r="J577" s="856"/>
    </row>
    <row r="578" spans="1:10">
      <c r="A578" s="856"/>
      <c r="J578" s="856"/>
    </row>
    <row r="579" spans="1:10">
      <c r="A579" s="856"/>
      <c r="J579" s="856"/>
    </row>
    <row r="580" spans="1:10">
      <c r="A580" s="856"/>
      <c r="J580" s="856"/>
    </row>
    <row r="581" spans="1:10">
      <c r="A581" s="856"/>
      <c r="J581" s="856"/>
    </row>
    <row r="582" spans="1:10">
      <c r="A582" s="856"/>
      <c r="J582" s="856"/>
    </row>
    <row r="583" spans="1:10">
      <c r="A583" s="856"/>
      <c r="J583" s="856"/>
    </row>
    <row r="584" spans="1:10">
      <c r="A584" s="856"/>
      <c r="J584" s="856"/>
    </row>
    <row r="585" spans="1:10">
      <c r="A585" s="856"/>
      <c r="J585" s="856"/>
    </row>
    <row r="586" spans="1:10">
      <c r="A586" s="856"/>
      <c r="J586" s="856"/>
    </row>
    <row r="587" spans="1:10">
      <c r="A587" s="856"/>
      <c r="J587" s="856"/>
    </row>
    <row r="588" spans="1:10">
      <c r="A588" s="856"/>
      <c r="J588" s="856"/>
    </row>
    <row r="589" spans="1:10">
      <c r="A589" s="856"/>
      <c r="J589" s="856"/>
    </row>
    <row r="590" spans="1:10">
      <c r="A590" s="856"/>
      <c r="J590" s="856"/>
    </row>
    <row r="591" spans="1:10">
      <c r="A591" s="856"/>
      <c r="J591" s="856"/>
    </row>
    <row r="592" spans="1:10">
      <c r="A592" s="856"/>
      <c r="J592" s="856"/>
    </row>
    <row r="593" spans="1:10">
      <c r="A593" s="856"/>
      <c r="J593" s="856"/>
    </row>
    <row r="594" spans="1:10">
      <c r="A594" s="856"/>
      <c r="J594" s="856"/>
    </row>
    <row r="595" spans="1:10">
      <c r="A595" s="856"/>
      <c r="J595" s="856"/>
    </row>
    <row r="596" spans="1:10">
      <c r="A596" s="856"/>
      <c r="J596" s="856"/>
    </row>
    <row r="597" spans="1:10">
      <c r="A597" s="856"/>
      <c r="J597" s="856"/>
    </row>
    <row r="598" spans="1:10">
      <c r="A598" s="856"/>
      <c r="J598" s="856"/>
    </row>
    <row r="599" spans="1:10">
      <c r="A599" s="856"/>
      <c r="J599" s="856"/>
    </row>
    <row r="600" spans="1:10">
      <c r="A600" s="856"/>
      <c r="J600" s="856"/>
    </row>
    <row r="601" spans="1:10">
      <c r="A601" s="856"/>
      <c r="J601" s="856"/>
    </row>
    <row r="602" spans="1:10">
      <c r="A602" s="856"/>
      <c r="J602" s="856"/>
    </row>
    <row r="603" spans="1:10">
      <c r="A603" s="856"/>
      <c r="J603" s="856"/>
    </row>
    <row r="604" spans="1:10">
      <c r="A604" s="856"/>
      <c r="J604" s="856"/>
    </row>
    <row r="605" spans="1:10">
      <c r="A605" s="856"/>
      <c r="J605" s="856"/>
    </row>
    <row r="606" spans="1:10">
      <c r="A606" s="856"/>
      <c r="J606" s="856"/>
    </row>
    <row r="607" spans="1:10">
      <c r="A607" s="856"/>
      <c r="J607" s="856"/>
    </row>
    <row r="608" spans="1:10">
      <c r="A608" s="856"/>
      <c r="J608" s="856"/>
    </row>
    <row r="609" spans="1:10">
      <c r="A609" s="856"/>
      <c r="J609" s="856"/>
    </row>
    <row r="610" spans="1:10">
      <c r="A610" s="856"/>
      <c r="J610" s="856"/>
    </row>
    <row r="611" spans="1:10">
      <c r="A611" s="856"/>
      <c r="J611" s="856"/>
    </row>
    <row r="612" spans="1:10">
      <c r="A612" s="856"/>
      <c r="J612" s="856"/>
    </row>
    <row r="613" spans="1:10">
      <c r="A613" s="856"/>
      <c r="J613" s="856"/>
    </row>
    <row r="614" spans="1:10">
      <c r="A614" s="856"/>
      <c r="J614" s="856"/>
    </row>
    <row r="615" spans="1:10">
      <c r="A615" s="856"/>
      <c r="J615" s="856"/>
    </row>
    <row r="616" spans="1:10">
      <c r="A616" s="856"/>
      <c r="J616" s="856"/>
    </row>
    <row r="617" spans="1:10">
      <c r="A617" s="856"/>
      <c r="J617" s="856"/>
    </row>
    <row r="618" spans="1:10">
      <c r="A618" s="856"/>
      <c r="J618" s="856"/>
    </row>
    <row r="619" spans="1:10">
      <c r="A619" s="856"/>
      <c r="J619" s="856"/>
    </row>
    <row r="620" spans="1:10">
      <c r="A620" s="856"/>
      <c r="J620" s="856"/>
    </row>
    <row r="621" spans="1:10">
      <c r="A621" s="856"/>
      <c r="J621" s="856"/>
    </row>
    <row r="622" spans="1:10">
      <c r="A622" s="856"/>
      <c r="J622" s="856"/>
    </row>
    <row r="623" spans="1:10">
      <c r="A623" s="856"/>
      <c r="J623" s="856"/>
    </row>
    <row r="624" spans="1:10">
      <c r="A624" s="856"/>
      <c r="J624" s="856"/>
    </row>
    <row r="625" spans="1:10">
      <c r="A625" s="856"/>
      <c r="J625" s="856"/>
    </row>
    <row r="626" spans="1:10">
      <c r="A626" s="856"/>
      <c r="J626" s="856"/>
    </row>
    <row r="627" spans="1:10">
      <c r="A627" s="856"/>
      <c r="J627" s="856"/>
    </row>
    <row r="628" spans="1:10">
      <c r="A628" s="856"/>
      <c r="J628" s="856"/>
    </row>
    <row r="629" spans="1:10">
      <c r="A629" s="856"/>
      <c r="J629" s="856"/>
    </row>
    <row r="630" spans="1:10">
      <c r="A630" s="856"/>
      <c r="J630" s="856"/>
    </row>
    <row r="631" spans="1:10">
      <c r="A631" s="856"/>
      <c r="J631" s="856"/>
    </row>
    <row r="632" spans="1:10">
      <c r="A632" s="856"/>
      <c r="J632" s="856"/>
    </row>
    <row r="633" spans="1:10">
      <c r="A633" s="856"/>
      <c r="J633" s="856"/>
    </row>
    <row r="634" spans="1:10">
      <c r="A634" s="856"/>
      <c r="J634" s="856"/>
    </row>
    <row r="635" spans="1:10">
      <c r="A635" s="856"/>
      <c r="J635" s="856"/>
    </row>
    <row r="636" spans="1:10">
      <c r="A636" s="856"/>
      <c r="J636" s="856"/>
    </row>
    <row r="637" spans="1:10">
      <c r="A637" s="856"/>
      <c r="J637" s="856"/>
    </row>
    <row r="638" spans="1:10">
      <c r="A638" s="856"/>
      <c r="J638" s="856"/>
    </row>
    <row r="639" spans="1:10">
      <c r="A639" s="856"/>
      <c r="J639" s="856"/>
    </row>
    <row r="640" spans="1:10">
      <c r="A640" s="856"/>
      <c r="J640" s="856"/>
    </row>
    <row r="641" spans="1:10">
      <c r="A641" s="856"/>
      <c r="J641" s="856"/>
    </row>
    <row r="642" spans="1:10">
      <c r="A642" s="856"/>
      <c r="J642" s="856"/>
    </row>
    <row r="643" spans="1:10">
      <c r="A643" s="856"/>
      <c r="J643" s="856"/>
    </row>
    <row r="644" spans="1:10">
      <c r="A644" s="856"/>
      <c r="J644" s="856"/>
    </row>
    <row r="645" spans="1:10">
      <c r="A645" s="856"/>
      <c r="J645" s="856"/>
    </row>
    <row r="646" spans="1:10">
      <c r="A646" s="856"/>
      <c r="J646" s="856"/>
    </row>
    <row r="647" spans="1:10">
      <c r="A647" s="856"/>
      <c r="J647" s="856"/>
    </row>
    <row r="648" spans="1:10">
      <c r="A648" s="856"/>
      <c r="J648" s="856"/>
    </row>
    <row r="649" spans="1:10">
      <c r="A649" s="856"/>
      <c r="J649" s="856"/>
    </row>
    <row r="650" spans="1:10">
      <c r="A650" s="856"/>
      <c r="J650" s="856"/>
    </row>
    <row r="651" spans="1:10">
      <c r="A651" s="856"/>
      <c r="J651" s="856"/>
    </row>
    <row r="652" spans="1:10">
      <c r="A652" s="856"/>
      <c r="J652" s="856"/>
    </row>
    <row r="653" spans="1:10">
      <c r="A653" s="856"/>
      <c r="J653" s="856"/>
    </row>
    <row r="654" spans="1:10">
      <c r="A654" s="856"/>
      <c r="J654" s="856"/>
    </row>
    <row r="655" spans="1:10">
      <c r="A655" s="856"/>
      <c r="J655" s="856"/>
    </row>
    <row r="656" spans="1:10">
      <c r="A656" s="856"/>
      <c r="J656" s="856"/>
    </row>
    <row r="657" spans="1:10">
      <c r="A657" s="856"/>
      <c r="J657" s="856"/>
    </row>
    <row r="658" spans="1:10">
      <c r="A658" s="856"/>
      <c r="J658" s="856"/>
    </row>
    <row r="659" spans="1:10">
      <c r="A659" s="856"/>
      <c r="J659" s="856"/>
    </row>
    <row r="660" spans="1:10">
      <c r="A660" s="856"/>
      <c r="J660" s="856"/>
    </row>
    <row r="661" spans="1:10">
      <c r="A661" s="856"/>
      <c r="J661" s="856"/>
    </row>
    <row r="662" spans="1:10">
      <c r="A662" s="856"/>
      <c r="J662" s="856"/>
    </row>
    <row r="663" spans="1:10">
      <c r="A663" s="856"/>
      <c r="J663" s="856"/>
    </row>
    <row r="664" spans="1:10">
      <c r="A664" s="856"/>
      <c r="J664" s="856"/>
    </row>
    <row r="665" spans="1:10">
      <c r="A665" s="856"/>
      <c r="J665" s="856"/>
    </row>
    <row r="666" spans="1:10">
      <c r="A666" s="856"/>
      <c r="J666" s="856"/>
    </row>
    <row r="667" spans="1:10">
      <c r="A667" s="856"/>
      <c r="J667" s="856"/>
    </row>
    <row r="668" spans="1:10">
      <c r="A668" s="856"/>
      <c r="J668" s="856"/>
    </row>
    <row r="669" spans="1:10">
      <c r="A669" s="856"/>
      <c r="J669" s="856"/>
    </row>
    <row r="670" spans="1:10">
      <c r="A670" s="856"/>
      <c r="J670" s="856"/>
    </row>
    <row r="671" spans="1:10">
      <c r="A671" s="856"/>
      <c r="J671" s="856"/>
    </row>
    <row r="672" spans="1:10">
      <c r="A672" s="856"/>
      <c r="J672" s="856"/>
    </row>
    <row r="673" spans="1:10">
      <c r="A673" s="856"/>
      <c r="J673" s="856"/>
    </row>
    <row r="674" spans="1:10">
      <c r="A674" s="856"/>
      <c r="J674" s="856"/>
    </row>
    <row r="675" spans="1:10">
      <c r="A675" s="856"/>
      <c r="J675" s="856"/>
    </row>
    <row r="676" spans="1:10">
      <c r="A676" s="856"/>
      <c r="J676" s="856"/>
    </row>
    <row r="677" spans="1:10">
      <c r="A677" s="856"/>
      <c r="J677" s="856"/>
    </row>
    <row r="678" spans="1:10">
      <c r="A678" s="856"/>
      <c r="J678" s="856"/>
    </row>
    <row r="679" spans="1:10">
      <c r="A679" s="856"/>
      <c r="J679" s="856"/>
    </row>
    <row r="680" spans="1:10">
      <c r="A680" s="856"/>
      <c r="J680" s="856"/>
    </row>
    <row r="681" spans="1:10">
      <c r="A681" s="856"/>
      <c r="J681" s="856"/>
    </row>
    <row r="682" spans="1:10">
      <c r="A682" s="856"/>
      <c r="J682" s="856"/>
    </row>
    <row r="683" spans="1:10">
      <c r="A683" s="856"/>
      <c r="J683" s="856"/>
    </row>
    <row r="684" spans="1:10">
      <c r="A684" s="856"/>
      <c r="J684" s="856"/>
    </row>
    <row r="685" spans="1:10">
      <c r="A685" s="856"/>
      <c r="J685" s="856"/>
    </row>
    <row r="686" spans="1:10">
      <c r="A686" s="856"/>
      <c r="J686" s="856"/>
    </row>
    <row r="687" spans="1:10">
      <c r="A687" s="856"/>
      <c r="J687" s="856"/>
    </row>
    <row r="688" spans="1:10">
      <c r="A688" s="856"/>
      <c r="J688" s="856"/>
    </row>
    <row r="689" spans="1:10">
      <c r="A689" s="856"/>
      <c r="J689" s="856"/>
    </row>
    <row r="690" spans="1:10">
      <c r="A690" s="856"/>
      <c r="J690" s="856"/>
    </row>
    <row r="691" spans="1:10">
      <c r="A691" s="856"/>
      <c r="J691" s="856"/>
    </row>
    <row r="692" spans="1:10">
      <c r="A692" s="856"/>
      <c r="J692" s="856"/>
    </row>
    <row r="693" spans="1:10">
      <c r="A693" s="856"/>
      <c r="J693" s="856"/>
    </row>
    <row r="694" spans="1:10">
      <c r="A694" s="856"/>
      <c r="J694" s="856"/>
    </row>
    <row r="695" spans="1:10">
      <c r="A695" s="856"/>
      <c r="J695" s="856"/>
    </row>
    <row r="696" spans="1:10">
      <c r="A696" s="856"/>
      <c r="J696" s="856"/>
    </row>
    <row r="697" spans="1:10">
      <c r="A697" s="856"/>
      <c r="J697" s="856"/>
    </row>
    <row r="698" spans="1:10">
      <c r="A698" s="856"/>
      <c r="J698" s="856"/>
    </row>
    <row r="699" spans="1:10">
      <c r="A699" s="856"/>
      <c r="J699" s="856"/>
    </row>
    <row r="700" spans="1:10">
      <c r="A700" s="856"/>
      <c r="J700" s="856"/>
    </row>
    <row r="701" spans="1:10">
      <c r="A701" s="856"/>
      <c r="J701" s="856"/>
    </row>
    <row r="702" spans="1:10">
      <c r="A702" s="856"/>
      <c r="J702" s="856"/>
    </row>
    <row r="703" spans="1:10">
      <c r="A703" s="856"/>
      <c r="J703" s="856"/>
    </row>
    <row r="704" spans="1:10">
      <c r="A704" s="856"/>
      <c r="J704" s="856"/>
    </row>
    <row r="705" spans="1:10">
      <c r="A705" s="856"/>
      <c r="J705" s="856"/>
    </row>
    <row r="706" spans="1:10">
      <c r="A706" s="856"/>
      <c r="J706" s="856"/>
    </row>
    <row r="707" spans="1:10">
      <c r="A707" s="856"/>
      <c r="J707" s="856"/>
    </row>
    <row r="708" spans="1:10">
      <c r="A708" s="856"/>
      <c r="J708" s="856"/>
    </row>
    <row r="709" spans="1:10">
      <c r="A709" s="856"/>
      <c r="J709" s="856"/>
    </row>
    <row r="710" spans="1:10">
      <c r="A710" s="856"/>
      <c r="J710" s="856"/>
    </row>
    <row r="711" spans="1:10">
      <c r="A711" s="856"/>
      <c r="J711" s="856"/>
    </row>
    <row r="712" spans="1:10">
      <c r="A712" s="856"/>
      <c r="J712" s="856"/>
    </row>
    <row r="713" spans="1:10">
      <c r="A713" s="856"/>
      <c r="J713" s="856"/>
    </row>
    <row r="714" spans="1:10">
      <c r="A714" s="856"/>
      <c r="J714" s="856"/>
    </row>
    <row r="715" spans="1:10">
      <c r="A715" s="856"/>
      <c r="J715" s="856"/>
    </row>
    <row r="716" spans="1:10">
      <c r="A716" s="856"/>
      <c r="J716" s="856"/>
    </row>
    <row r="717" spans="1:10">
      <c r="A717" s="856"/>
      <c r="J717" s="856"/>
    </row>
    <row r="718" spans="1:10">
      <c r="A718" s="856"/>
      <c r="J718" s="856"/>
    </row>
    <row r="719" spans="1:10">
      <c r="A719" s="856"/>
      <c r="J719" s="856"/>
    </row>
    <row r="720" spans="1:10">
      <c r="A720" s="856"/>
      <c r="J720" s="856"/>
    </row>
    <row r="721" spans="1:10">
      <c r="A721" s="856"/>
      <c r="J721" s="856"/>
    </row>
    <row r="722" spans="1:10">
      <c r="A722" s="856"/>
      <c r="J722" s="856"/>
    </row>
    <row r="723" spans="1:10">
      <c r="A723" s="856"/>
      <c r="J723" s="856"/>
    </row>
    <row r="724" spans="1:10">
      <c r="A724" s="856"/>
      <c r="J724" s="856"/>
    </row>
    <row r="725" spans="1:10">
      <c r="A725" s="856"/>
      <c r="J725" s="856"/>
    </row>
    <row r="726" spans="1:10">
      <c r="A726" s="856"/>
      <c r="J726" s="856"/>
    </row>
    <row r="727" spans="1:10">
      <c r="A727" s="856"/>
      <c r="J727" s="856"/>
    </row>
    <row r="728" spans="1:10">
      <c r="A728" s="856"/>
      <c r="J728" s="856"/>
    </row>
    <row r="729" spans="1:10">
      <c r="A729" s="856"/>
      <c r="J729" s="856"/>
    </row>
    <row r="730" spans="1:10">
      <c r="A730" s="856"/>
      <c r="J730" s="856"/>
    </row>
    <row r="731" spans="1:10">
      <c r="A731" s="856"/>
      <c r="J731" s="856"/>
    </row>
    <row r="732" spans="1:10">
      <c r="A732" s="856"/>
      <c r="J732" s="856"/>
    </row>
    <row r="733" spans="1:10">
      <c r="A733" s="856"/>
      <c r="J733" s="856"/>
    </row>
    <row r="734" spans="1:10">
      <c r="A734" s="856"/>
      <c r="J734" s="856"/>
    </row>
    <row r="735" spans="1:10">
      <c r="A735" s="856"/>
      <c r="J735" s="856"/>
    </row>
    <row r="736" spans="1:10">
      <c r="A736" s="856"/>
      <c r="J736" s="856"/>
    </row>
    <row r="737" spans="1:10">
      <c r="A737" s="856"/>
      <c r="J737" s="856"/>
    </row>
    <row r="738" spans="1:10">
      <c r="A738" s="856"/>
      <c r="J738" s="856"/>
    </row>
    <row r="739" spans="1:10">
      <c r="A739" s="856"/>
      <c r="J739" s="856"/>
    </row>
    <row r="740" spans="1:10">
      <c r="A740" s="856"/>
      <c r="J740" s="856"/>
    </row>
    <row r="741" spans="1:10">
      <c r="A741" s="856"/>
      <c r="J741" s="856"/>
    </row>
    <row r="742" spans="1:10">
      <c r="A742" s="856"/>
      <c r="J742" s="856"/>
    </row>
    <row r="743" spans="1:10">
      <c r="A743" s="856"/>
      <c r="J743" s="856"/>
    </row>
    <row r="744" spans="1:10">
      <c r="A744" s="856"/>
      <c r="J744" s="856"/>
    </row>
    <row r="745" spans="1:10">
      <c r="A745" s="856"/>
      <c r="J745" s="856"/>
    </row>
    <row r="746" spans="1:10">
      <c r="A746" s="856"/>
      <c r="J746" s="856"/>
    </row>
    <row r="747" spans="1:10">
      <c r="A747" s="856"/>
      <c r="J747" s="856"/>
    </row>
    <row r="748" spans="1:10">
      <c r="A748" s="856"/>
      <c r="J748" s="856"/>
    </row>
    <row r="749" spans="1:10">
      <c r="A749" s="856"/>
      <c r="J749" s="856"/>
    </row>
    <row r="750" spans="1:10">
      <c r="A750" s="856"/>
      <c r="J750" s="856"/>
    </row>
    <row r="751" spans="1:10">
      <c r="A751" s="856"/>
      <c r="J751" s="856"/>
    </row>
    <row r="752" spans="1:10">
      <c r="A752" s="856"/>
      <c r="J752" s="856"/>
    </row>
    <row r="753" spans="1:10">
      <c r="A753" s="856"/>
      <c r="J753" s="856"/>
    </row>
    <row r="754" spans="1:10">
      <c r="A754" s="856"/>
      <c r="J754" s="856"/>
    </row>
    <row r="755" spans="1:10">
      <c r="A755" s="856"/>
      <c r="J755" s="856"/>
    </row>
    <row r="756" spans="1:10">
      <c r="A756" s="856"/>
      <c r="J756" s="856"/>
    </row>
    <row r="757" spans="1:10">
      <c r="A757" s="856"/>
      <c r="J757" s="856"/>
    </row>
    <row r="758" spans="1:10">
      <c r="A758" s="856"/>
      <c r="J758" s="856"/>
    </row>
    <row r="759" spans="1:10">
      <c r="A759" s="856"/>
      <c r="J759" s="856"/>
    </row>
    <row r="760" spans="1:10">
      <c r="A760" s="856"/>
      <c r="J760" s="856"/>
    </row>
    <row r="761" spans="1:10">
      <c r="A761" s="856"/>
      <c r="J761" s="856"/>
    </row>
    <row r="762" spans="1:10">
      <c r="A762" s="856"/>
      <c r="J762" s="856"/>
    </row>
    <row r="763" spans="1:10">
      <c r="A763" s="856"/>
      <c r="J763" s="856"/>
    </row>
    <row r="764" spans="1:10">
      <c r="A764" s="856"/>
      <c r="J764" s="856"/>
    </row>
    <row r="765" spans="1:10">
      <c r="A765" s="856"/>
      <c r="J765" s="856"/>
    </row>
    <row r="766" spans="1:10">
      <c r="A766" s="856"/>
      <c r="J766" s="856"/>
    </row>
    <row r="767" spans="1:10">
      <c r="A767" s="856"/>
      <c r="J767" s="856"/>
    </row>
    <row r="768" spans="1:10">
      <c r="A768" s="856"/>
      <c r="J768" s="856"/>
    </row>
    <row r="769" spans="1:10">
      <c r="A769" s="856"/>
      <c r="J769" s="856"/>
    </row>
    <row r="770" spans="1:10">
      <c r="A770" s="856"/>
      <c r="J770" s="856"/>
    </row>
    <row r="771" spans="1:10">
      <c r="A771" s="856"/>
      <c r="J771" s="856"/>
    </row>
    <row r="772" spans="1:10">
      <c r="A772" s="856"/>
      <c r="J772" s="856"/>
    </row>
    <row r="773" spans="1:10">
      <c r="A773" s="856"/>
      <c r="J773" s="856"/>
    </row>
    <row r="774" spans="1:10">
      <c r="A774" s="856"/>
      <c r="J774" s="856"/>
    </row>
    <row r="775" spans="1:10">
      <c r="A775" s="856"/>
      <c r="J775" s="856"/>
    </row>
    <row r="776" spans="1:10">
      <c r="A776" s="856"/>
      <c r="J776" s="856"/>
    </row>
    <row r="777" spans="1:10">
      <c r="A777" s="856"/>
      <c r="J777" s="856"/>
    </row>
    <row r="778" spans="1:10">
      <c r="A778" s="856"/>
      <c r="J778" s="856"/>
    </row>
    <row r="779" spans="1:10">
      <c r="A779" s="856"/>
      <c r="J779" s="856"/>
    </row>
    <row r="780" spans="1:10">
      <c r="A780" s="856"/>
      <c r="J780" s="856"/>
    </row>
    <row r="781" spans="1:10">
      <c r="A781" s="856"/>
      <c r="J781" s="856"/>
    </row>
    <row r="782" spans="1:10">
      <c r="A782" s="856"/>
      <c r="J782" s="856"/>
    </row>
    <row r="783" spans="1:10">
      <c r="A783" s="856"/>
      <c r="J783" s="856"/>
    </row>
    <row r="784" spans="1:10">
      <c r="A784" s="856"/>
      <c r="J784" s="856"/>
    </row>
    <row r="785" spans="1:10">
      <c r="A785" s="856"/>
      <c r="J785" s="856"/>
    </row>
    <row r="786" spans="1:10">
      <c r="A786" s="856"/>
      <c r="J786" s="856"/>
    </row>
    <row r="787" spans="1:10">
      <c r="A787" s="856"/>
      <c r="J787" s="856"/>
    </row>
    <row r="788" spans="1:10">
      <c r="A788" s="856"/>
      <c r="J788" s="856"/>
    </row>
    <row r="789" spans="1:10">
      <c r="A789" s="856"/>
      <c r="J789" s="856"/>
    </row>
    <row r="790" spans="1:10">
      <c r="A790" s="856"/>
      <c r="J790" s="856"/>
    </row>
    <row r="791" spans="1:10">
      <c r="A791" s="856"/>
      <c r="J791" s="856"/>
    </row>
    <row r="792" spans="1:10">
      <c r="A792" s="856"/>
      <c r="J792" s="856"/>
    </row>
    <row r="793" spans="1:10">
      <c r="A793" s="856"/>
      <c r="J793" s="856"/>
    </row>
    <row r="794" spans="1:10">
      <c r="A794" s="856"/>
      <c r="J794" s="856"/>
    </row>
    <row r="795" spans="1:10">
      <c r="A795" s="856"/>
      <c r="J795" s="856"/>
    </row>
    <row r="796" spans="1:10">
      <c r="A796" s="856"/>
      <c r="J796" s="856"/>
    </row>
    <row r="797" spans="1:10">
      <c r="A797" s="856"/>
      <c r="J797" s="856"/>
    </row>
    <row r="798" spans="1:10">
      <c r="A798" s="856"/>
      <c r="J798" s="856"/>
    </row>
    <row r="799" spans="1:10">
      <c r="A799" s="856"/>
      <c r="J799" s="856"/>
    </row>
    <row r="800" spans="1:10">
      <c r="A800" s="856"/>
      <c r="J800" s="856"/>
    </row>
    <row r="801" spans="1:10">
      <c r="A801" s="856"/>
      <c r="J801" s="856"/>
    </row>
    <row r="802" spans="1:10">
      <c r="A802" s="856"/>
      <c r="J802" s="856"/>
    </row>
    <row r="803" spans="1:10">
      <c r="A803" s="856"/>
      <c r="J803" s="856"/>
    </row>
    <row r="804" spans="1:10">
      <c r="A804" s="856"/>
      <c r="J804" s="856"/>
    </row>
    <row r="805" spans="1:10">
      <c r="A805" s="856"/>
      <c r="J805" s="856"/>
    </row>
    <row r="806" spans="1:10">
      <c r="A806" s="856"/>
      <c r="J806" s="856"/>
    </row>
    <row r="807" spans="1:10">
      <c r="A807" s="856"/>
      <c r="J807" s="856"/>
    </row>
    <row r="808" spans="1:10">
      <c r="A808" s="856"/>
      <c r="J808" s="856"/>
    </row>
    <row r="809" spans="1:10">
      <c r="A809" s="856"/>
      <c r="J809" s="856"/>
    </row>
    <row r="810" spans="1:10">
      <c r="A810" s="856"/>
      <c r="J810" s="856"/>
    </row>
    <row r="811" spans="1:10">
      <c r="A811" s="856"/>
      <c r="J811" s="856"/>
    </row>
    <row r="812" spans="1:10">
      <c r="A812" s="856"/>
      <c r="J812" s="856"/>
    </row>
    <row r="813" spans="1:10">
      <c r="A813" s="856"/>
      <c r="J813" s="856"/>
    </row>
    <row r="814" spans="1:10">
      <c r="A814" s="856"/>
      <c r="J814" s="856"/>
    </row>
    <row r="815" spans="1:10">
      <c r="A815" s="856"/>
      <c r="J815" s="856"/>
    </row>
    <row r="816" spans="1:10">
      <c r="A816" s="856"/>
      <c r="J816" s="856"/>
    </row>
    <row r="817" spans="1:10">
      <c r="A817" s="856"/>
      <c r="J817" s="856"/>
    </row>
    <row r="818" spans="1:10">
      <c r="A818" s="856"/>
      <c r="J818" s="856"/>
    </row>
    <row r="819" spans="1:10">
      <c r="A819" s="856"/>
      <c r="J819" s="856"/>
    </row>
    <row r="820" spans="1:10">
      <c r="A820" s="856"/>
      <c r="J820" s="856"/>
    </row>
    <row r="821" spans="1:10">
      <c r="A821" s="856"/>
      <c r="J821" s="856"/>
    </row>
    <row r="822" spans="1:10">
      <c r="A822" s="856"/>
      <c r="J822" s="856"/>
    </row>
    <row r="823" spans="1:10">
      <c r="A823" s="856"/>
      <c r="J823" s="856"/>
    </row>
    <row r="824" spans="1:10">
      <c r="A824" s="856"/>
      <c r="J824" s="856"/>
    </row>
    <row r="825" spans="1:10">
      <c r="A825" s="856"/>
      <c r="J825" s="856"/>
    </row>
    <row r="826" spans="1:10">
      <c r="A826" s="856"/>
      <c r="J826" s="856"/>
    </row>
    <row r="827" spans="1:10">
      <c r="A827" s="856"/>
      <c r="J827" s="856"/>
    </row>
    <row r="828" spans="1:10">
      <c r="A828" s="856"/>
      <c r="J828" s="856"/>
    </row>
    <row r="829" spans="1:10">
      <c r="A829" s="856"/>
      <c r="J829" s="856"/>
    </row>
    <row r="830" spans="1:10">
      <c r="A830" s="856"/>
      <c r="J830" s="856"/>
    </row>
    <row r="831" spans="1:10">
      <c r="A831" s="856"/>
      <c r="J831" s="856"/>
    </row>
    <row r="832" spans="1:10">
      <c r="A832" s="856"/>
      <c r="J832" s="856"/>
    </row>
    <row r="833" spans="1:10">
      <c r="A833" s="856"/>
      <c r="J833" s="856"/>
    </row>
    <row r="834" spans="1:10">
      <c r="A834" s="856"/>
      <c r="J834" s="856"/>
    </row>
    <row r="835" spans="1:10">
      <c r="A835" s="856"/>
      <c r="J835" s="856"/>
    </row>
    <row r="836" spans="1:10">
      <c r="A836" s="856"/>
      <c r="J836" s="856"/>
    </row>
    <row r="837" spans="1:10">
      <c r="A837" s="856"/>
      <c r="J837" s="856"/>
    </row>
    <row r="838" spans="1:10">
      <c r="A838" s="856"/>
      <c r="J838" s="856"/>
    </row>
    <row r="839" spans="1:10">
      <c r="A839" s="856"/>
      <c r="J839" s="856"/>
    </row>
    <row r="840" spans="1:10">
      <c r="A840" s="856"/>
      <c r="J840" s="856"/>
    </row>
    <row r="841" spans="1:10">
      <c r="A841" s="856"/>
      <c r="J841" s="856"/>
    </row>
    <row r="842" spans="1:10">
      <c r="A842" s="856"/>
      <c r="J842" s="856"/>
    </row>
    <row r="843" spans="1:10">
      <c r="A843" s="856"/>
      <c r="J843" s="856"/>
    </row>
    <row r="844" spans="1:10">
      <c r="A844" s="856"/>
      <c r="J844" s="856"/>
    </row>
    <row r="845" spans="1:10">
      <c r="A845" s="856"/>
      <c r="J845" s="856"/>
    </row>
    <row r="846" spans="1:10">
      <c r="A846" s="856"/>
      <c r="J846" s="856"/>
    </row>
    <row r="847" spans="1:10">
      <c r="A847" s="856"/>
      <c r="J847" s="856"/>
    </row>
    <row r="848" spans="1:10">
      <c r="A848" s="856"/>
      <c r="J848" s="856"/>
    </row>
    <row r="849" spans="1:10">
      <c r="A849" s="856"/>
      <c r="J849" s="856"/>
    </row>
    <row r="850" spans="1:10">
      <c r="A850" s="856"/>
      <c r="J850" s="856"/>
    </row>
    <row r="851" spans="1:10">
      <c r="A851" s="856"/>
      <c r="J851" s="856"/>
    </row>
    <row r="852" spans="1:10">
      <c r="A852" s="856"/>
      <c r="J852" s="856"/>
    </row>
    <row r="853" spans="1:10">
      <c r="A853" s="856"/>
      <c r="J853" s="856"/>
    </row>
    <row r="854" spans="1:10">
      <c r="A854" s="856"/>
      <c r="J854" s="856"/>
    </row>
    <row r="855" spans="1:10">
      <c r="A855" s="856"/>
      <c r="J855" s="856"/>
    </row>
    <row r="856" spans="1:10">
      <c r="A856" s="856"/>
      <c r="J856" s="856"/>
    </row>
    <row r="857" spans="1:10">
      <c r="A857" s="856"/>
      <c r="J857" s="856"/>
    </row>
    <row r="858" spans="1:10">
      <c r="A858" s="856"/>
      <c r="J858" s="856"/>
    </row>
    <row r="859" spans="1:10">
      <c r="A859" s="856"/>
      <c r="J859" s="856"/>
    </row>
    <row r="860" spans="1:10">
      <c r="A860" s="856"/>
      <c r="J860" s="856"/>
    </row>
    <row r="861" spans="1:10">
      <c r="A861" s="856"/>
      <c r="J861" s="856"/>
    </row>
    <row r="862" spans="1:10">
      <c r="A862" s="856"/>
      <c r="J862" s="856"/>
    </row>
    <row r="863" spans="1:10">
      <c r="A863" s="856"/>
      <c r="J863" s="856"/>
    </row>
    <row r="864" spans="1:10">
      <c r="A864" s="856"/>
      <c r="J864" s="856"/>
    </row>
    <row r="865" spans="1:10">
      <c r="A865" s="856"/>
      <c r="J865" s="856"/>
    </row>
    <row r="866" spans="1:10">
      <c r="A866" s="856"/>
      <c r="J866" s="856"/>
    </row>
    <row r="867" spans="1:10">
      <c r="A867" s="856"/>
      <c r="J867" s="856"/>
    </row>
    <row r="868" spans="1:10">
      <c r="A868" s="856"/>
      <c r="J868" s="856"/>
    </row>
    <row r="869" spans="1:10">
      <c r="A869" s="856"/>
      <c r="J869" s="856"/>
    </row>
    <row r="870" spans="1:10">
      <c r="A870" s="856"/>
      <c r="J870" s="856"/>
    </row>
    <row r="871" spans="1:10">
      <c r="A871" s="856"/>
      <c r="J871" s="856"/>
    </row>
    <row r="872" spans="1:10">
      <c r="A872" s="856"/>
      <c r="J872" s="856"/>
    </row>
    <row r="873" spans="1:10">
      <c r="A873" s="856"/>
      <c r="J873" s="856"/>
    </row>
    <row r="874" spans="1:10">
      <c r="A874" s="856"/>
      <c r="J874" s="856"/>
    </row>
    <row r="875" spans="1:10">
      <c r="A875" s="856"/>
      <c r="J875" s="856"/>
    </row>
    <row r="876" spans="1:10">
      <c r="A876" s="856"/>
      <c r="J876" s="856"/>
    </row>
    <row r="877" spans="1:10">
      <c r="A877" s="856"/>
      <c r="J877" s="856"/>
    </row>
    <row r="878" spans="1:10">
      <c r="A878" s="856"/>
      <c r="J878" s="856"/>
    </row>
    <row r="879" spans="1:10">
      <c r="A879" s="856"/>
      <c r="J879" s="856"/>
    </row>
    <row r="880" spans="1:10">
      <c r="A880" s="856"/>
      <c r="J880" s="856"/>
    </row>
    <row r="881" spans="1:10">
      <c r="A881" s="856"/>
      <c r="J881" s="856"/>
    </row>
    <row r="882" spans="1:10">
      <c r="A882" s="856"/>
      <c r="J882" s="856"/>
    </row>
    <row r="883" spans="1:10">
      <c r="A883" s="856"/>
      <c r="J883" s="856"/>
    </row>
    <row r="884" spans="1:10">
      <c r="A884" s="856"/>
      <c r="J884" s="856"/>
    </row>
    <row r="885" spans="1:10">
      <c r="A885" s="856"/>
      <c r="J885" s="856"/>
    </row>
    <row r="886" spans="1:10">
      <c r="A886" s="856"/>
      <c r="J886" s="856"/>
    </row>
    <row r="887" spans="1:10">
      <c r="A887" s="856"/>
      <c r="J887" s="856"/>
    </row>
    <row r="888" spans="1:10">
      <c r="A888" s="856"/>
      <c r="J888" s="856"/>
    </row>
    <row r="889" spans="1:10">
      <c r="A889" s="856"/>
      <c r="J889" s="856"/>
    </row>
    <row r="890" spans="1:10">
      <c r="A890" s="856"/>
      <c r="J890" s="856"/>
    </row>
    <row r="891" spans="1:10">
      <c r="A891" s="856"/>
      <c r="J891" s="856"/>
    </row>
    <row r="892" spans="1:10">
      <c r="A892" s="856"/>
      <c r="J892" s="856"/>
    </row>
    <row r="893" spans="1:10">
      <c r="A893" s="856"/>
      <c r="J893" s="856"/>
    </row>
    <row r="894" spans="1:10">
      <c r="A894" s="856"/>
      <c r="J894" s="856"/>
    </row>
    <row r="895" spans="1:10">
      <c r="A895" s="856"/>
      <c r="J895" s="856"/>
    </row>
    <row r="896" spans="1:10">
      <c r="A896" s="856"/>
      <c r="J896" s="856"/>
    </row>
    <row r="897" spans="1:10">
      <c r="A897" s="856"/>
      <c r="J897" s="856"/>
    </row>
    <row r="898" spans="1:10">
      <c r="A898" s="856"/>
      <c r="J898" s="856"/>
    </row>
    <row r="899" spans="1:10">
      <c r="A899" s="856"/>
      <c r="J899" s="856"/>
    </row>
    <row r="900" spans="1:10">
      <c r="A900" s="856"/>
      <c r="J900" s="856"/>
    </row>
    <row r="901" spans="1:10">
      <c r="A901" s="856"/>
      <c r="J901" s="856"/>
    </row>
    <row r="902" spans="1:10">
      <c r="A902" s="856"/>
      <c r="J902" s="856"/>
    </row>
    <row r="903" spans="1:10">
      <c r="A903" s="856"/>
      <c r="J903" s="856"/>
    </row>
    <row r="904" spans="1:10">
      <c r="A904" s="856"/>
      <c r="J904" s="856"/>
    </row>
    <row r="905" spans="1:10">
      <c r="A905" s="856"/>
      <c r="J905" s="856"/>
    </row>
    <row r="906" spans="1:10">
      <c r="A906" s="856"/>
      <c r="J906" s="856"/>
    </row>
    <row r="907" spans="1:10">
      <c r="A907" s="856"/>
      <c r="J907" s="856"/>
    </row>
    <row r="908" spans="1:10">
      <c r="A908" s="856"/>
      <c r="J908" s="856"/>
    </row>
    <row r="909" spans="1:10">
      <c r="A909" s="856"/>
      <c r="J909" s="856"/>
    </row>
    <row r="910" spans="1:10">
      <c r="A910" s="856"/>
      <c r="J910" s="856"/>
    </row>
    <row r="911" spans="1:10">
      <c r="A911" s="856"/>
      <c r="J911" s="856"/>
    </row>
    <row r="912" spans="1:10">
      <c r="A912" s="856"/>
      <c r="J912" s="856"/>
    </row>
    <row r="913" spans="1:10">
      <c r="A913" s="856"/>
      <c r="J913" s="856"/>
    </row>
    <row r="914" spans="1:10">
      <c r="A914" s="856"/>
      <c r="J914" s="856"/>
    </row>
    <row r="915" spans="1:10">
      <c r="A915" s="856"/>
      <c r="J915" s="856"/>
    </row>
    <row r="916" spans="1:10">
      <c r="A916" s="856"/>
      <c r="J916" s="856"/>
    </row>
    <row r="917" spans="1:10">
      <c r="A917" s="856"/>
      <c r="J917" s="856"/>
    </row>
    <row r="918" spans="1:10">
      <c r="A918" s="856"/>
      <c r="J918" s="856"/>
    </row>
    <row r="919" spans="1:10">
      <c r="A919" s="856"/>
      <c r="J919" s="856"/>
    </row>
    <row r="920" spans="1:10">
      <c r="A920" s="856"/>
      <c r="J920" s="856"/>
    </row>
    <row r="921" spans="1:10">
      <c r="A921" s="856"/>
      <c r="J921" s="856"/>
    </row>
    <row r="922" spans="1:10">
      <c r="A922" s="856"/>
      <c r="J922" s="856"/>
    </row>
    <row r="923" spans="1:10">
      <c r="A923" s="856"/>
      <c r="J923" s="856"/>
    </row>
    <row r="924" spans="1:10">
      <c r="A924" s="856"/>
      <c r="J924" s="856"/>
    </row>
    <row r="925" spans="1:10">
      <c r="A925" s="856"/>
      <c r="J925" s="856"/>
    </row>
    <row r="926" spans="1:10">
      <c r="A926" s="856"/>
      <c r="J926" s="856"/>
    </row>
    <row r="927" spans="1:10">
      <c r="A927" s="856"/>
      <c r="J927" s="856"/>
    </row>
    <row r="928" spans="1:10">
      <c r="A928" s="856"/>
      <c r="J928" s="856"/>
    </row>
    <row r="929" spans="1:10">
      <c r="A929" s="856"/>
      <c r="J929" s="856"/>
    </row>
    <row r="930" spans="1:10">
      <c r="A930" s="856"/>
      <c r="J930" s="856"/>
    </row>
    <row r="931" spans="1:10">
      <c r="A931" s="856"/>
      <c r="J931" s="856"/>
    </row>
    <row r="932" spans="1:10">
      <c r="A932" s="856"/>
      <c r="J932" s="856"/>
    </row>
    <row r="933" spans="1:10">
      <c r="A933" s="856"/>
      <c r="J933" s="856"/>
    </row>
    <row r="934" spans="1:10">
      <c r="A934" s="856"/>
      <c r="J934" s="856"/>
    </row>
    <row r="935" spans="1:10">
      <c r="A935" s="856"/>
      <c r="J935" s="856"/>
    </row>
    <row r="936" spans="1:10">
      <c r="A936" s="856"/>
      <c r="J936" s="856"/>
    </row>
    <row r="937" spans="1:10">
      <c r="A937" s="856"/>
      <c r="J937" s="856"/>
    </row>
    <row r="938" spans="1:10">
      <c r="A938" s="856"/>
      <c r="J938" s="856"/>
    </row>
    <row r="939" spans="1:10">
      <c r="A939" s="856"/>
      <c r="J939" s="856"/>
    </row>
    <row r="940" spans="1:10">
      <c r="A940" s="856"/>
      <c r="J940" s="856"/>
    </row>
    <row r="941" spans="1:10">
      <c r="A941" s="856"/>
      <c r="J941" s="856"/>
    </row>
    <row r="942" spans="1:10">
      <c r="A942" s="856"/>
      <c r="J942" s="856"/>
    </row>
    <row r="943" spans="1:10">
      <c r="A943" s="856"/>
      <c r="J943" s="856"/>
    </row>
    <row r="944" spans="1:10">
      <c r="A944" s="856"/>
      <c r="J944" s="856"/>
    </row>
    <row r="945" spans="1:10">
      <c r="A945" s="856"/>
      <c r="J945" s="856"/>
    </row>
    <row r="946" spans="1:10">
      <c r="A946" s="856"/>
      <c r="J946" s="856"/>
    </row>
    <row r="947" spans="1:10">
      <c r="A947" s="856"/>
      <c r="J947" s="856"/>
    </row>
    <row r="948" spans="1:10">
      <c r="A948" s="856"/>
      <c r="J948" s="856"/>
    </row>
    <row r="949" spans="1:10">
      <c r="A949" s="856"/>
      <c r="J949" s="856"/>
    </row>
    <row r="950" spans="1:10">
      <c r="A950" s="856"/>
      <c r="J950" s="856"/>
    </row>
    <row r="951" spans="1:10">
      <c r="A951" s="856"/>
      <c r="J951" s="856"/>
    </row>
    <row r="952" spans="1:10">
      <c r="A952" s="856"/>
      <c r="J952" s="856"/>
    </row>
    <row r="953" spans="1:10">
      <c r="A953" s="856"/>
      <c r="J953" s="856"/>
    </row>
    <row r="954" spans="1:10">
      <c r="A954" s="856"/>
      <c r="J954" s="856"/>
    </row>
    <row r="955" spans="1:10">
      <c r="A955" s="856"/>
      <c r="J955" s="856"/>
    </row>
    <row r="956" spans="1:10">
      <c r="A956" s="856"/>
      <c r="J956" s="856"/>
    </row>
    <row r="957" spans="1:10">
      <c r="A957" s="856"/>
      <c r="J957" s="856"/>
    </row>
    <row r="958" spans="1:10">
      <c r="A958" s="856"/>
      <c r="J958" s="856"/>
    </row>
    <row r="959" spans="1:10">
      <c r="A959" s="856"/>
      <c r="J959" s="856"/>
    </row>
    <row r="960" spans="1:10">
      <c r="A960" s="856"/>
      <c r="J960" s="856"/>
    </row>
    <row r="961" spans="1:10">
      <c r="A961" s="856"/>
      <c r="J961" s="856"/>
    </row>
    <row r="962" spans="1:10">
      <c r="A962" s="856"/>
      <c r="J962" s="856"/>
    </row>
    <row r="963" spans="1:10">
      <c r="A963" s="856"/>
      <c r="J963" s="856"/>
    </row>
    <row r="964" spans="1:10">
      <c r="A964" s="856"/>
      <c r="J964" s="856"/>
    </row>
    <row r="965" spans="1:10">
      <c r="A965" s="856"/>
      <c r="J965" s="856"/>
    </row>
    <row r="966" spans="1:10">
      <c r="A966" s="856"/>
      <c r="J966" s="856"/>
    </row>
    <row r="967" spans="1:10">
      <c r="A967" s="856"/>
      <c r="J967" s="856"/>
    </row>
    <row r="968" spans="1:10">
      <c r="A968" s="856"/>
      <c r="J968" s="856"/>
    </row>
    <row r="969" spans="1:10">
      <c r="A969" s="856"/>
      <c r="J969" s="856"/>
    </row>
    <row r="970" spans="1:10">
      <c r="A970" s="856"/>
      <c r="J970" s="856"/>
    </row>
    <row r="971" spans="1:10">
      <c r="A971" s="856"/>
      <c r="J971" s="856"/>
    </row>
    <row r="972" spans="1:10">
      <c r="A972" s="856"/>
      <c r="J972" s="856"/>
    </row>
    <row r="973" spans="1:10">
      <c r="A973" s="856"/>
      <c r="J973" s="856"/>
    </row>
    <row r="974" spans="1:10">
      <c r="A974" s="856"/>
      <c r="J974" s="856"/>
    </row>
    <row r="975" spans="1:10">
      <c r="A975" s="856"/>
      <c r="J975" s="856"/>
    </row>
    <row r="976" spans="1:10">
      <c r="A976" s="856"/>
      <c r="J976" s="856"/>
    </row>
    <row r="977" spans="1:10">
      <c r="A977" s="856"/>
      <c r="J977" s="856"/>
    </row>
    <row r="978" spans="1:10">
      <c r="A978" s="856"/>
      <c r="J978" s="856"/>
    </row>
    <row r="979" spans="1:10">
      <c r="A979" s="856"/>
      <c r="J979" s="856"/>
    </row>
    <row r="980" spans="1:10">
      <c r="A980" s="856"/>
      <c r="J980" s="856"/>
    </row>
    <row r="981" spans="1:10">
      <c r="A981" s="856"/>
      <c r="J981" s="856"/>
    </row>
    <row r="982" spans="1:10">
      <c r="A982" s="856"/>
      <c r="J982" s="856"/>
    </row>
    <row r="983" spans="1:10">
      <c r="A983" s="856"/>
      <c r="J983" s="856"/>
    </row>
    <row r="984" spans="1:10">
      <c r="A984" s="856"/>
      <c r="J984" s="856"/>
    </row>
    <row r="985" spans="1:10">
      <c r="A985" s="856"/>
      <c r="J985" s="856"/>
    </row>
    <row r="986" spans="1:10">
      <c r="A986" s="856"/>
      <c r="J986" s="856"/>
    </row>
    <row r="987" spans="1:10">
      <c r="A987" s="856"/>
      <c r="J987" s="856"/>
    </row>
    <row r="988" spans="1:10">
      <c r="A988" s="856"/>
      <c r="J988" s="856"/>
    </row>
    <row r="989" spans="1:10">
      <c r="A989" s="856"/>
      <c r="J989" s="856"/>
    </row>
    <row r="990" spans="1:10">
      <c r="A990" s="856"/>
      <c r="J990" s="856"/>
    </row>
    <row r="991" spans="1:10">
      <c r="A991" s="856"/>
      <c r="J991" s="856"/>
    </row>
    <row r="992" spans="1:10">
      <c r="A992" s="856"/>
      <c r="J992" s="856"/>
    </row>
    <row r="993" spans="1:10">
      <c r="A993" s="856"/>
      <c r="J993" s="856"/>
    </row>
    <row r="994" spans="1:10">
      <c r="A994" s="856"/>
      <c r="J994" s="856"/>
    </row>
    <row r="995" spans="1:10">
      <c r="A995" s="856"/>
      <c r="J995" s="856"/>
    </row>
    <row r="996" spans="1:10">
      <c r="A996" s="856"/>
      <c r="J996" s="856"/>
    </row>
    <row r="997" spans="1:10">
      <c r="A997" s="856"/>
      <c r="J997" s="856"/>
    </row>
    <row r="998" spans="1:10">
      <c r="A998" s="856"/>
      <c r="J998" s="856"/>
    </row>
    <row r="999" spans="1:10">
      <c r="A999" s="856"/>
      <c r="J999" s="856"/>
    </row>
    <row r="1000" spans="1:10">
      <c r="A1000" s="856"/>
      <c r="J1000" s="856"/>
    </row>
    <row r="1001" spans="1:10">
      <c r="A1001" s="856"/>
      <c r="J1001" s="856"/>
    </row>
    <row r="1002" spans="1:10">
      <c r="A1002" s="856"/>
      <c r="J1002" s="856"/>
    </row>
    <row r="1003" spans="1:10">
      <c r="A1003" s="856"/>
      <c r="J1003" s="856"/>
    </row>
    <row r="1004" spans="1:10">
      <c r="A1004" s="856"/>
      <c r="J1004" s="856"/>
    </row>
    <row r="1005" spans="1:10">
      <c r="A1005" s="856"/>
      <c r="J1005" s="856"/>
    </row>
  </sheetData>
  <mergeCells count="22">
    <mergeCell ref="K8:K10"/>
    <mergeCell ref="K27:K35"/>
    <mergeCell ref="K44:K46"/>
    <mergeCell ref="K62:K69"/>
    <mergeCell ref="N11:O11"/>
    <mergeCell ref="L8:L10"/>
    <mergeCell ref="L27:L35"/>
    <mergeCell ref="L44:L46"/>
    <mergeCell ref="L62:L69"/>
    <mergeCell ref="A106:A107"/>
    <mergeCell ref="A129:A130"/>
    <mergeCell ref="A5:J5"/>
    <mergeCell ref="A7:J7"/>
    <mergeCell ref="J8:J10"/>
    <mergeCell ref="B8:B9"/>
    <mergeCell ref="A43:J43"/>
    <mergeCell ref="J44:J46"/>
    <mergeCell ref="B44:B45"/>
    <mergeCell ref="D8:I9"/>
    <mergeCell ref="C8:C10"/>
    <mergeCell ref="C44:C46"/>
    <mergeCell ref="D44:I45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0" firstPageNumber="27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4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EA688"/>
  <sheetViews>
    <sheetView showGridLines="0" view="pageBreakPreview" topLeftCell="A4" zoomScale="112" zoomScaleSheetLayoutView="112" workbookViewId="0">
      <pane ySplit="3" topLeftCell="A262" activePane="bottomLeft" state="frozen"/>
      <selection activeCell="A4" sqref="A1:XFD1048576"/>
      <selection pane="bottomLeft" activeCell="H282" sqref="H282"/>
    </sheetView>
  </sheetViews>
  <sheetFormatPr defaultColWidth="9.140625" defaultRowHeight="12.75"/>
  <cols>
    <col min="1" max="1" width="3.42578125" style="2287" customWidth="1"/>
    <col min="2" max="2" width="61.42578125" style="2287" customWidth="1"/>
    <col min="3" max="3" width="11" style="2287" customWidth="1"/>
    <col min="4" max="4" width="13.5703125" style="2287" customWidth="1"/>
    <col min="5" max="5" width="13.28515625" style="2287" customWidth="1"/>
    <col min="6" max="6" width="12" style="2287" customWidth="1"/>
    <col min="7" max="7" width="11.42578125" style="2287" customWidth="1"/>
    <col min="8" max="8" width="11.28515625" style="2287" customWidth="1"/>
    <col min="9" max="9" width="11.5703125" style="2287" customWidth="1"/>
    <col min="10" max="10" width="10.42578125" style="2287" customWidth="1"/>
    <col min="11" max="11" width="10.5703125" style="2287" customWidth="1"/>
    <col min="12" max="12" width="7" style="2287" customWidth="1"/>
    <col min="13" max="13" width="12.7109375" style="2287" hidden="1" customWidth="1"/>
    <col min="14" max="15" width="12.7109375" style="2287" customWidth="1"/>
    <col min="16" max="16" width="14.140625" style="2287" customWidth="1"/>
    <col min="17" max="17" width="16" style="2287" customWidth="1"/>
    <col min="18" max="18" width="10" style="2287" customWidth="1"/>
    <col min="19" max="19" width="16.42578125" style="2287" customWidth="1"/>
    <col min="20" max="16384" width="9.140625" style="2287"/>
  </cols>
  <sheetData>
    <row r="1" spans="1:19" ht="15.75" customHeight="1">
      <c r="F1" s="668"/>
      <c r="G1" s="668"/>
      <c r="H1" s="668"/>
      <c r="I1" s="240" t="s">
        <v>62</v>
      </c>
      <c r="J1" s="240"/>
      <c r="K1" s="240"/>
      <c r="L1" s="240"/>
      <c r="M1" s="6"/>
      <c r="N1" s="6"/>
      <c r="O1" s="7"/>
    </row>
    <row r="2" spans="1:19" ht="18.75">
      <c r="D2" s="2291"/>
      <c r="E2" s="2291"/>
      <c r="F2" s="2291"/>
      <c r="G2" s="2291"/>
      <c r="H2" s="2291"/>
      <c r="I2" s="2291"/>
      <c r="J2" s="2291"/>
      <c r="K2" s="2291"/>
      <c r="L2" s="2291"/>
      <c r="M2" s="2291"/>
      <c r="N2" s="2291"/>
      <c r="O2" s="7"/>
    </row>
    <row r="3" spans="1:19" ht="43.5" customHeight="1" thickBot="1">
      <c r="A3" s="3467" t="s">
        <v>223</v>
      </c>
      <c r="B3" s="3467"/>
      <c r="C3" s="3467"/>
      <c r="D3" s="3467"/>
      <c r="E3" s="3467"/>
      <c r="F3" s="3467"/>
      <c r="G3" s="3467"/>
      <c r="H3" s="3467"/>
      <c r="I3" s="3467"/>
      <c r="J3" s="3467"/>
      <c r="K3" s="3467"/>
      <c r="L3" s="3467"/>
      <c r="M3" s="3467"/>
      <c r="N3" s="3467"/>
      <c r="O3" s="3467"/>
    </row>
    <row r="4" spans="1:19" ht="13.5" hidden="1" thickBot="1">
      <c r="A4" s="2739"/>
      <c r="B4" s="2739"/>
      <c r="C4" s="2739"/>
      <c r="D4" s="2739"/>
      <c r="E4" s="2739"/>
      <c r="F4" s="2739"/>
      <c r="G4" s="2739"/>
      <c r="H4" s="2739"/>
      <c r="I4" s="2739"/>
      <c r="J4" s="2739"/>
      <c r="K4" s="2739"/>
      <c r="L4" s="2739"/>
      <c r="M4" s="2739"/>
      <c r="N4" s="2739"/>
      <c r="O4" s="2739"/>
    </row>
    <row r="5" spans="1:19" ht="75.75" customHeight="1">
      <c r="A5" s="3490" t="s">
        <v>66</v>
      </c>
      <c r="B5" s="3492" t="s">
        <v>67</v>
      </c>
      <c r="C5" s="3468" t="s">
        <v>63</v>
      </c>
      <c r="D5" s="3470" t="s">
        <v>64</v>
      </c>
      <c r="E5" s="2959" t="s">
        <v>255</v>
      </c>
      <c r="F5" s="3488" t="s">
        <v>573</v>
      </c>
      <c r="G5" s="3485" t="s">
        <v>513</v>
      </c>
      <c r="H5" s="3486"/>
      <c r="I5" s="3486"/>
      <c r="J5" s="3486"/>
      <c r="K5" s="3486"/>
      <c r="L5" s="3487"/>
      <c r="M5" s="3477" t="s">
        <v>528</v>
      </c>
      <c r="N5" s="3477" t="s">
        <v>599</v>
      </c>
      <c r="O5" s="3472" t="s">
        <v>65</v>
      </c>
    </row>
    <row r="6" spans="1:19" ht="18.75" customHeight="1" thickBot="1">
      <c r="A6" s="3491"/>
      <c r="B6" s="3493"/>
      <c r="C6" s="3469"/>
      <c r="D6" s="3471"/>
      <c r="E6" s="2968" t="s">
        <v>496</v>
      </c>
      <c r="F6" s="3489"/>
      <c r="G6" s="2947" t="s">
        <v>6</v>
      </c>
      <c r="H6" s="2947" t="s">
        <v>202</v>
      </c>
      <c r="I6" s="2947" t="s">
        <v>204</v>
      </c>
      <c r="J6" s="2947" t="s">
        <v>246</v>
      </c>
      <c r="K6" s="2947" t="s">
        <v>247</v>
      </c>
      <c r="L6" s="2947" t="s">
        <v>245</v>
      </c>
      <c r="M6" s="3478"/>
      <c r="N6" s="3478"/>
      <c r="O6" s="3473"/>
      <c r="P6" s="2291"/>
      <c r="Q6" s="2291"/>
    </row>
    <row r="7" spans="1:19" s="244" customFormat="1" ht="12.75" customHeight="1" thickBot="1">
      <c r="A7" s="8">
        <v>1</v>
      </c>
      <c r="B7" s="9">
        <v>2</v>
      </c>
      <c r="C7" s="10">
        <v>3</v>
      </c>
      <c r="D7" s="11">
        <v>4</v>
      </c>
      <c r="E7" s="13">
        <v>5</v>
      </c>
      <c r="F7" s="12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  <c r="L7" s="13">
        <v>12</v>
      </c>
      <c r="M7" s="14">
        <v>13</v>
      </c>
      <c r="N7" s="14">
        <v>13</v>
      </c>
      <c r="O7" s="15">
        <v>14</v>
      </c>
      <c r="P7" s="243"/>
      <c r="Q7" s="243"/>
    </row>
    <row r="8" spans="1:19" ht="16.5" customHeight="1">
      <c r="A8" s="3474" t="s">
        <v>60</v>
      </c>
      <c r="B8" s="202" t="s">
        <v>68</v>
      </c>
      <c r="C8" s="203"/>
      <c r="D8" s="204">
        <f>+D9+D10</f>
        <v>986839735</v>
      </c>
      <c r="E8" s="204">
        <f>+E9+E10</f>
        <v>45432232</v>
      </c>
      <c r="F8" s="204">
        <f t="shared" ref="F8:G8" si="0">+F9+F10</f>
        <v>221049116</v>
      </c>
      <c r="G8" s="204">
        <f t="shared" si="0"/>
        <v>299330294</v>
      </c>
      <c r="H8" s="204">
        <f t="shared" ref="H8:L8" si="1">+H9+H10</f>
        <v>211345861</v>
      </c>
      <c r="I8" s="204">
        <f t="shared" si="1"/>
        <v>162682232</v>
      </c>
      <c r="J8" s="204">
        <f t="shared" si="1"/>
        <v>47000000</v>
      </c>
      <c r="K8" s="204">
        <f t="shared" si="1"/>
        <v>0</v>
      </c>
      <c r="L8" s="204">
        <f t="shared" si="1"/>
        <v>0</v>
      </c>
      <c r="M8" s="16">
        <f>+M9+M10</f>
        <v>861013703</v>
      </c>
      <c r="N8" s="16">
        <f>+N9+N10</f>
        <v>720358387</v>
      </c>
      <c r="O8" s="3182"/>
      <c r="P8" s="2291"/>
    </row>
    <row r="9" spans="1:19" ht="13.5" customHeight="1">
      <c r="A9" s="3475"/>
      <c r="B9" s="205" t="s">
        <v>69</v>
      </c>
      <c r="C9" s="206"/>
      <c r="D9" s="207">
        <f>+D499+D517+D435+D450</f>
        <v>944587</v>
      </c>
      <c r="E9" s="207">
        <f>+E499+E517+E435+E450</f>
        <v>48374</v>
      </c>
      <c r="F9" s="207">
        <f t="shared" ref="F9:J9" si="2">+F499+F517+F435+F450</f>
        <v>150710</v>
      </c>
      <c r="G9" s="207">
        <f t="shared" si="2"/>
        <v>387960</v>
      </c>
      <c r="H9" s="207">
        <f t="shared" si="2"/>
        <v>275371</v>
      </c>
      <c r="I9" s="207">
        <f t="shared" si="2"/>
        <v>82172</v>
      </c>
      <c r="J9" s="207">
        <f t="shared" si="2"/>
        <v>0</v>
      </c>
      <c r="K9" s="207">
        <f t="shared" ref="K9:L9" si="3">+K499+K517+K435</f>
        <v>0</v>
      </c>
      <c r="L9" s="207">
        <f t="shared" si="3"/>
        <v>0</v>
      </c>
      <c r="M9" s="828">
        <f>SUM(F9:K9)</f>
        <v>896213</v>
      </c>
      <c r="N9" s="828">
        <f>SUM(G9:L9)</f>
        <v>745503</v>
      </c>
      <c r="O9" s="669"/>
    </row>
    <row r="10" spans="1:19" ht="14.25" customHeight="1" thickBot="1">
      <c r="A10" s="3475"/>
      <c r="B10" s="670" t="s">
        <v>9</v>
      </c>
      <c r="C10" s="671"/>
      <c r="D10" s="672">
        <f>+D114+D129+D54+D68+D145+D337+D313+D351+D80+D92+D104+D481+D325+D378+D157+D169+D181+D193+D387+D399+D408+D417+D426+D205+D217+D229+D241+D253+D265+D277+D289+D301</f>
        <v>985895148</v>
      </c>
      <c r="E10" s="672">
        <f t="shared" ref="E10:L10" si="4">+E114+E129+E54+E68+E145+E337+E313+E351+E80+E92+E104+E481+E325+E378+E157+E169+E181+E193+E387+E399+E408+E417+E426+E205+E217+E229+E241+E253+E265+E277+E289+E301</f>
        <v>45383858</v>
      </c>
      <c r="F10" s="672">
        <f t="shared" si="4"/>
        <v>220898406</v>
      </c>
      <c r="G10" s="672">
        <f t="shared" si="4"/>
        <v>298942334</v>
      </c>
      <c r="H10" s="672">
        <f t="shared" si="4"/>
        <v>211070490</v>
      </c>
      <c r="I10" s="672">
        <f t="shared" si="4"/>
        <v>162600060</v>
      </c>
      <c r="J10" s="672">
        <f t="shared" si="4"/>
        <v>47000000</v>
      </c>
      <c r="K10" s="672">
        <f t="shared" si="4"/>
        <v>0</v>
      </c>
      <c r="L10" s="672">
        <f t="shared" si="4"/>
        <v>0</v>
      </c>
      <c r="M10" s="672">
        <f t="shared" ref="M10" si="5">+M114+M129+M54+M68+M145+M337+M313+M351+M80+M92+M104+M481+M325+M378+M157+M169+M181+M193+M387+M399+M408+M417+M426+M205+M217+M229+M241+M253+M265+M277</f>
        <v>860117490</v>
      </c>
      <c r="N10" s="147">
        <f>SUM(G10:L10)</f>
        <v>719612884</v>
      </c>
      <c r="O10" s="669"/>
    </row>
    <row r="11" spans="1:19" ht="14.25" customHeight="1">
      <c r="A11" s="3475"/>
      <c r="B11" s="19" t="s">
        <v>10</v>
      </c>
      <c r="C11" s="20"/>
      <c r="D11" s="673">
        <f>+D12+D18</f>
        <v>986839735</v>
      </c>
      <c r="E11" s="673">
        <f t="shared" ref="E11" si="6">+E12+E18</f>
        <v>45432232</v>
      </c>
      <c r="F11" s="673">
        <f t="shared" ref="F11:N11" si="7">+F12+F18</f>
        <v>221049116</v>
      </c>
      <c r="G11" s="673">
        <f t="shared" si="7"/>
        <v>299330294</v>
      </c>
      <c r="H11" s="673">
        <f t="shared" si="7"/>
        <v>211345861</v>
      </c>
      <c r="I11" s="673">
        <f t="shared" si="7"/>
        <v>162682232</v>
      </c>
      <c r="J11" s="673">
        <f t="shared" si="7"/>
        <v>47000000</v>
      </c>
      <c r="K11" s="673">
        <f t="shared" si="7"/>
        <v>0</v>
      </c>
      <c r="L11" s="673">
        <f t="shared" si="7"/>
        <v>0</v>
      </c>
      <c r="M11" s="674">
        <f t="shared" ref="M11" si="8">+M12+M18</f>
        <v>941407503</v>
      </c>
      <c r="N11" s="674">
        <f t="shared" si="7"/>
        <v>720358387</v>
      </c>
      <c r="O11" s="606"/>
      <c r="P11" s="675"/>
      <c r="Q11" s="2291"/>
      <c r="S11" s="2291"/>
    </row>
    <row r="12" spans="1:19" s="678" customFormat="1" ht="14.25" customHeight="1">
      <c r="A12" s="3475"/>
      <c r="B12" s="152" t="s">
        <v>11</v>
      </c>
      <c r="C12" s="2066"/>
      <c r="D12" s="829">
        <f>+D13+D14+D15+D16+D17</f>
        <v>187813642</v>
      </c>
      <c r="E12" s="829">
        <f t="shared" ref="E12" si="9">+E13+E14+E15+E16+E17</f>
        <v>14007215</v>
      </c>
      <c r="F12" s="829">
        <f t="shared" ref="F12:L12" si="10">+F13+F14+F15+F16+F17</f>
        <v>33537646</v>
      </c>
      <c r="G12" s="829">
        <f t="shared" si="10"/>
        <v>50955811</v>
      </c>
      <c r="H12" s="829">
        <f t="shared" si="10"/>
        <v>54171124</v>
      </c>
      <c r="I12" s="829">
        <f t="shared" si="10"/>
        <v>28091846</v>
      </c>
      <c r="J12" s="829">
        <f t="shared" si="10"/>
        <v>7050000</v>
      </c>
      <c r="K12" s="829">
        <f t="shared" si="10"/>
        <v>0</v>
      </c>
      <c r="L12" s="829">
        <f t="shared" si="10"/>
        <v>0</v>
      </c>
      <c r="M12" s="2067">
        <f>SUM(M13:M17)</f>
        <v>173806427</v>
      </c>
      <c r="N12" s="2067">
        <f>SUM(N13:N17)</f>
        <v>140268781</v>
      </c>
      <c r="O12" s="676"/>
      <c r="P12" s="677"/>
      <c r="Q12" s="675"/>
    </row>
    <row r="13" spans="1:19" ht="14.25" customHeight="1">
      <c r="A13" s="3475"/>
      <c r="B13" s="155" t="s">
        <v>12</v>
      </c>
      <c r="C13" s="679"/>
      <c r="D13" s="830">
        <f t="shared" ref="D13:I13" si="11">+D37+D365+D467+D510</f>
        <v>156437217</v>
      </c>
      <c r="E13" s="830">
        <f t="shared" si="11"/>
        <v>4646890</v>
      </c>
      <c r="F13" s="830">
        <f t="shared" si="11"/>
        <v>31449965</v>
      </c>
      <c r="G13" s="830">
        <f t="shared" si="11"/>
        <v>35184825</v>
      </c>
      <c r="H13" s="830">
        <f t="shared" si="11"/>
        <v>50013691</v>
      </c>
      <c r="I13" s="830">
        <f t="shared" si="11"/>
        <v>28091846</v>
      </c>
      <c r="J13" s="830">
        <f>+J37+J365+J467+J510+J267</f>
        <v>7050000</v>
      </c>
      <c r="K13" s="830">
        <f>+K37+K365+K467+K510+K267</f>
        <v>0</v>
      </c>
      <c r="L13" s="830">
        <f>+L37+L365+L467+L510+L267</f>
        <v>0</v>
      </c>
      <c r="M13" s="2068">
        <f>SUM(F13:K13)</f>
        <v>151790327</v>
      </c>
      <c r="N13" s="2068">
        <f>SUM(G13:L13)</f>
        <v>120340362</v>
      </c>
      <c r="O13" s="606"/>
      <c r="P13" s="2291"/>
      <c r="Q13" s="2291"/>
      <c r="S13" s="2291"/>
    </row>
    <row r="14" spans="1:19" ht="14.25" hidden="1" customHeight="1">
      <c r="A14" s="3475"/>
      <c r="B14" s="832" t="s">
        <v>70</v>
      </c>
      <c r="C14" s="2069"/>
      <c r="D14" s="830">
        <f>+D468</f>
        <v>0</v>
      </c>
      <c r="E14" s="830">
        <f t="shared" ref="E14" si="12">+E468</f>
        <v>0</v>
      </c>
      <c r="F14" s="830">
        <f t="shared" ref="F14:L14" si="13">+F468</f>
        <v>0</v>
      </c>
      <c r="G14" s="830">
        <f t="shared" si="13"/>
        <v>0</v>
      </c>
      <c r="H14" s="830">
        <f t="shared" si="13"/>
        <v>0</v>
      </c>
      <c r="I14" s="830">
        <f t="shared" si="13"/>
        <v>0</v>
      </c>
      <c r="J14" s="830">
        <f t="shared" si="13"/>
        <v>0</v>
      </c>
      <c r="K14" s="830">
        <f t="shared" si="13"/>
        <v>0</v>
      </c>
      <c r="L14" s="830">
        <f t="shared" si="13"/>
        <v>0</v>
      </c>
      <c r="M14" s="2068">
        <f>SUM(E14:K14)</f>
        <v>0</v>
      </c>
      <c r="N14" s="2068">
        <f>SUM(F14:L14)</f>
        <v>0</v>
      </c>
      <c r="O14" s="682"/>
      <c r="P14" s="2291"/>
    </row>
    <row r="15" spans="1:19" ht="14.25" customHeight="1">
      <c r="A15" s="3475"/>
      <c r="B15" s="155" t="s">
        <v>15</v>
      </c>
      <c r="C15" s="679"/>
      <c r="D15" s="830">
        <f t="shared" ref="D15:L15" si="14">+D38+D366</f>
        <v>19105425</v>
      </c>
      <c r="E15" s="830">
        <f t="shared" si="14"/>
        <v>9360325</v>
      </c>
      <c r="F15" s="830">
        <f t="shared" si="14"/>
        <v>2087681</v>
      </c>
      <c r="G15" s="830">
        <f t="shared" si="14"/>
        <v>3499986</v>
      </c>
      <c r="H15" s="830">
        <f t="shared" si="14"/>
        <v>4157433</v>
      </c>
      <c r="I15" s="830">
        <f t="shared" si="14"/>
        <v>0</v>
      </c>
      <c r="J15" s="830">
        <f t="shared" si="14"/>
        <v>0</v>
      </c>
      <c r="K15" s="830">
        <f t="shared" si="14"/>
        <v>0</v>
      </c>
      <c r="L15" s="830">
        <f t="shared" si="14"/>
        <v>0</v>
      </c>
      <c r="M15" s="796">
        <f>SUM(F15:K15)</f>
        <v>9745100</v>
      </c>
      <c r="N15" s="796">
        <f>SUM(G15:L15)</f>
        <v>7657419</v>
      </c>
      <c r="O15" s="682"/>
      <c r="P15" s="2291"/>
    </row>
    <row r="16" spans="1:19" ht="14.25" hidden="1" customHeight="1">
      <c r="A16" s="3475"/>
      <c r="B16" s="155" t="s">
        <v>50</v>
      </c>
      <c r="C16" s="679"/>
      <c r="D16" s="830">
        <f t="shared" ref="D16:L16" si="15">+D469+D40</f>
        <v>0</v>
      </c>
      <c r="E16" s="830">
        <f t="shared" si="15"/>
        <v>0</v>
      </c>
      <c r="F16" s="830">
        <f t="shared" si="15"/>
        <v>0</v>
      </c>
      <c r="G16" s="830">
        <f t="shared" si="15"/>
        <v>0</v>
      </c>
      <c r="H16" s="830">
        <f t="shared" si="15"/>
        <v>0</v>
      </c>
      <c r="I16" s="830">
        <f t="shared" si="15"/>
        <v>0</v>
      </c>
      <c r="J16" s="830">
        <f t="shared" si="15"/>
        <v>0</v>
      </c>
      <c r="K16" s="830">
        <f t="shared" si="15"/>
        <v>0</v>
      </c>
      <c r="L16" s="830">
        <f t="shared" si="15"/>
        <v>0</v>
      </c>
      <c r="M16" s="2068">
        <f>SUM(E16:K16)</f>
        <v>0</v>
      </c>
      <c r="N16" s="2068">
        <f>SUM(F16:L16)</f>
        <v>0</v>
      </c>
      <c r="O16" s="682"/>
      <c r="P16" s="2291"/>
    </row>
    <row r="17" spans="1:19" ht="14.25" customHeight="1">
      <c r="A17" s="3475"/>
      <c r="B17" s="155" t="s">
        <v>17</v>
      </c>
      <c r="C17" s="679"/>
      <c r="D17" s="830">
        <f>+D39</f>
        <v>12271000</v>
      </c>
      <c r="E17" s="830">
        <f t="shared" ref="E17" si="16">+E39</f>
        <v>0</v>
      </c>
      <c r="F17" s="830">
        <f t="shared" ref="F17:L17" si="17">+F39</f>
        <v>0</v>
      </c>
      <c r="G17" s="830">
        <f t="shared" si="17"/>
        <v>12271000</v>
      </c>
      <c r="H17" s="830">
        <f t="shared" si="17"/>
        <v>0</v>
      </c>
      <c r="I17" s="830">
        <f t="shared" si="17"/>
        <v>0</v>
      </c>
      <c r="J17" s="830">
        <f t="shared" si="17"/>
        <v>0</v>
      </c>
      <c r="K17" s="830">
        <f t="shared" si="17"/>
        <v>0</v>
      </c>
      <c r="L17" s="830">
        <f t="shared" si="17"/>
        <v>0</v>
      </c>
      <c r="M17" s="796">
        <f>SUM(F17:K17)</f>
        <v>12271000</v>
      </c>
      <c r="N17" s="796">
        <f>SUM(G17:L17)</f>
        <v>12271000</v>
      </c>
      <c r="O17" s="682"/>
      <c r="P17" s="2291"/>
    </row>
    <row r="18" spans="1:19" s="678" customFormat="1" ht="14.25" customHeight="1">
      <c r="A18" s="3475"/>
      <c r="B18" s="152" t="s">
        <v>18</v>
      </c>
      <c r="C18" s="683"/>
      <c r="D18" s="829">
        <f>+D19+D20+D21</f>
        <v>799026093</v>
      </c>
      <c r="E18" s="829">
        <f t="shared" ref="E18" si="18">+E19+E20+E21</f>
        <v>31425017</v>
      </c>
      <c r="F18" s="829">
        <f t="shared" ref="F18:I18" si="19">+F19+F20+F21</f>
        <v>187511470</v>
      </c>
      <c r="G18" s="829">
        <f t="shared" si="19"/>
        <v>248374483</v>
      </c>
      <c r="H18" s="829">
        <f t="shared" si="19"/>
        <v>157174737</v>
      </c>
      <c r="I18" s="829">
        <f t="shared" si="19"/>
        <v>134590386</v>
      </c>
      <c r="J18" s="829">
        <f>+J19+J20+J21</f>
        <v>39950000</v>
      </c>
      <c r="K18" s="829">
        <f>+K19+K20+K21</f>
        <v>0</v>
      </c>
      <c r="L18" s="829">
        <f>+L19+L20+L21</f>
        <v>0</v>
      </c>
      <c r="M18" s="2070">
        <f>+M19+M20+M21</f>
        <v>767601076</v>
      </c>
      <c r="N18" s="2070">
        <f>+N19+N20+N21</f>
        <v>580089606</v>
      </c>
      <c r="O18" s="684"/>
      <c r="P18" s="677"/>
      <c r="Q18" s="675"/>
    </row>
    <row r="19" spans="1:19" ht="14.25" hidden="1" customHeight="1">
      <c r="A19" s="3475"/>
      <c r="B19" s="833" t="s">
        <v>19</v>
      </c>
      <c r="C19" s="2071"/>
      <c r="D19" s="830">
        <f t="shared" ref="D19:L19" si="20">+D368+D512</f>
        <v>0</v>
      </c>
      <c r="E19" s="830">
        <f t="shared" si="20"/>
        <v>0</v>
      </c>
      <c r="F19" s="830">
        <f t="shared" si="20"/>
        <v>0</v>
      </c>
      <c r="G19" s="830">
        <f t="shared" si="20"/>
        <v>0</v>
      </c>
      <c r="H19" s="830">
        <f t="shared" si="20"/>
        <v>0</v>
      </c>
      <c r="I19" s="830">
        <f t="shared" si="20"/>
        <v>0</v>
      </c>
      <c r="J19" s="830">
        <f t="shared" si="20"/>
        <v>0</v>
      </c>
      <c r="K19" s="830">
        <f t="shared" si="20"/>
        <v>0</v>
      </c>
      <c r="L19" s="830">
        <f t="shared" si="20"/>
        <v>0</v>
      </c>
      <c r="M19" s="796">
        <f>SUM(F19:K19)</f>
        <v>0</v>
      </c>
      <c r="N19" s="796">
        <f>SUM(G19:L19)</f>
        <v>0</v>
      </c>
      <c r="O19" s="682"/>
      <c r="P19" s="2291"/>
    </row>
    <row r="20" spans="1:19" ht="14.25" customHeight="1">
      <c r="A20" s="3475"/>
      <c r="B20" s="2072" t="s">
        <v>20</v>
      </c>
      <c r="C20" s="2071"/>
      <c r="D20" s="830">
        <f t="shared" ref="D20:L20" si="21">+D42+D471+D369</f>
        <v>799026093</v>
      </c>
      <c r="E20" s="830">
        <f t="shared" si="21"/>
        <v>31425017</v>
      </c>
      <c r="F20" s="830">
        <f t="shared" si="21"/>
        <v>187511470</v>
      </c>
      <c r="G20" s="830">
        <f t="shared" si="21"/>
        <v>248374483</v>
      </c>
      <c r="H20" s="830">
        <f t="shared" si="21"/>
        <v>157174737</v>
      </c>
      <c r="I20" s="830">
        <f t="shared" si="21"/>
        <v>134590386</v>
      </c>
      <c r="J20" s="830">
        <f t="shared" si="21"/>
        <v>39950000</v>
      </c>
      <c r="K20" s="830">
        <f t="shared" si="21"/>
        <v>0</v>
      </c>
      <c r="L20" s="830">
        <f t="shared" si="21"/>
        <v>0</v>
      </c>
      <c r="M20" s="796">
        <f>SUM(F20:K20)</f>
        <v>767601076</v>
      </c>
      <c r="N20" s="796">
        <f>SUM(G20:L20)</f>
        <v>580089606</v>
      </c>
      <c r="O20" s="606"/>
      <c r="P20" s="2291"/>
      <c r="Q20" s="2291"/>
    </row>
    <row r="21" spans="1:19" ht="14.25" hidden="1" customHeight="1">
      <c r="A21" s="3475"/>
      <c r="B21" s="2072" t="s">
        <v>71</v>
      </c>
      <c r="C21" s="2071"/>
      <c r="D21" s="830">
        <f>+D472</f>
        <v>0</v>
      </c>
      <c r="E21" s="830">
        <f t="shared" ref="E21" si="22">+E472</f>
        <v>0</v>
      </c>
      <c r="F21" s="830">
        <f t="shared" ref="F21:L21" si="23">+F472</f>
        <v>0</v>
      </c>
      <c r="G21" s="830">
        <f t="shared" si="23"/>
        <v>0</v>
      </c>
      <c r="H21" s="830">
        <f t="shared" si="23"/>
        <v>0</v>
      </c>
      <c r="I21" s="830">
        <f t="shared" si="23"/>
        <v>0</v>
      </c>
      <c r="J21" s="830">
        <f t="shared" si="23"/>
        <v>0</v>
      </c>
      <c r="K21" s="830">
        <f t="shared" si="23"/>
        <v>0</v>
      </c>
      <c r="L21" s="830">
        <f t="shared" si="23"/>
        <v>0</v>
      </c>
      <c r="M21" s="2068">
        <f>SUM(E21:H21)</f>
        <v>0</v>
      </c>
      <c r="N21" s="2068">
        <f>SUM(F21:I21)</f>
        <v>0</v>
      </c>
      <c r="O21" s="606"/>
      <c r="P21" s="2291"/>
      <c r="Q21" s="2291"/>
    </row>
    <row r="22" spans="1:19" ht="14.25" customHeight="1">
      <c r="A22" s="3475"/>
      <c r="B22" s="2073" t="s">
        <v>21</v>
      </c>
      <c r="C22" s="1284"/>
      <c r="D22" s="587">
        <f>+D23+D29</f>
        <v>830402518</v>
      </c>
      <c r="E22" s="587">
        <f t="shared" ref="E22" si="24">+E23+E29</f>
        <v>34852146</v>
      </c>
      <c r="F22" s="587">
        <f>+F23+F29</f>
        <v>178912192</v>
      </c>
      <c r="G22" s="587">
        <f t="shared" ref="G22:L22" si="25">+G23+G29</f>
        <v>274379891</v>
      </c>
      <c r="H22" s="587">
        <f t="shared" si="25"/>
        <v>156169005</v>
      </c>
      <c r="I22" s="587">
        <f t="shared" si="25"/>
        <v>124721916</v>
      </c>
      <c r="J22" s="587">
        <f t="shared" si="25"/>
        <v>61367368</v>
      </c>
      <c r="K22" s="587">
        <f t="shared" si="25"/>
        <v>0</v>
      </c>
      <c r="L22" s="587">
        <f t="shared" si="25"/>
        <v>0</v>
      </c>
      <c r="M22" s="3479" t="s">
        <v>22</v>
      </c>
      <c r="N22" s="3479" t="s">
        <v>22</v>
      </c>
      <c r="O22" s="606"/>
      <c r="P22" s="2291"/>
      <c r="S22" s="675"/>
    </row>
    <row r="23" spans="1:19" ht="14.25" customHeight="1">
      <c r="A23" s="3475"/>
      <c r="B23" s="2074" t="s">
        <v>23</v>
      </c>
      <c r="C23" s="2075"/>
      <c r="D23" s="835">
        <f>+D24+D25+D26+D27+D28</f>
        <v>31376425</v>
      </c>
      <c r="E23" s="835">
        <f t="shared" ref="E23" si="26">+E24+E25+E26+E27+E28</f>
        <v>9354831</v>
      </c>
      <c r="F23" s="835">
        <f t="shared" ref="F23:L23" si="27">+F24+F25+F26+F27+F28</f>
        <v>1693881</v>
      </c>
      <c r="G23" s="835">
        <f t="shared" si="27"/>
        <v>16170280</v>
      </c>
      <c r="H23" s="835">
        <f t="shared" si="27"/>
        <v>4157433</v>
      </c>
      <c r="I23" s="835">
        <f t="shared" si="27"/>
        <v>0</v>
      </c>
      <c r="J23" s="835">
        <f t="shared" si="27"/>
        <v>0</v>
      </c>
      <c r="K23" s="835">
        <f t="shared" si="27"/>
        <v>0</v>
      </c>
      <c r="L23" s="835">
        <f t="shared" si="27"/>
        <v>0</v>
      </c>
      <c r="M23" s="3480"/>
      <c r="N23" s="3480"/>
      <c r="O23" s="606"/>
    </row>
    <row r="24" spans="1:19" ht="14.25" hidden="1" customHeight="1">
      <c r="A24" s="3475"/>
      <c r="B24" s="832" t="s">
        <v>70</v>
      </c>
      <c r="C24" s="685"/>
      <c r="D24" s="836">
        <f>+D475</f>
        <v>0</v>
      </c>
      <c r="E24" s="836">
        <f t="shared" ref="E24" si="28">+E475</f>
        <v>0</v>
      </c>
      <c r="F24" s="836">
        <f t="shared" ref="F24:L24" si="29">+F475</f>
        <v>0</v>
      </c>
      <c r="G24" s="836">
        <f t="shared" si="29"/>
        <v>0</v>
      </c>
      <c r="H24" s="836">
        <f t="shared" si="29"/>
        <v>0</v>
      </c>
      <c r="I24" s="836">
        <f t="shared" si="29"/>
        <v>0</v>
      </c>
      <c r="J24" s="836">
        <f t="shared" si="29"/>
        <v>0</v>
      </c>
      <c r="K24" s="836">
        <f t="shared" si="29"/>
        <v>0</v>
      </c>
      <c r="L24" s="836">
        <f t="shared" si="29"/>
        <v>0</v>
      </c>
      <c r="M24" s="3480"/>
      <c r="N24" s="3480"/>
      <c r="O24" s="682"/>
    </row>
    <row r="25" spans="1:19" ht="14.25" customHeight="1">
      <c r="A25" s="3475"/>
      <c r="B25" s="23" t="s">
        <v>15</v>
      </c>
      <c r="C25" s="24"/>
      <c r="D25" s="830">
        <f t="shared" ref="D25:L25" si="30">+D45+D366</f>
        <v>19105425</v>
      </c>
      <c r="E25" s="830">
        <f t="shared" si="30"/>
        <v>9354831</v>
      </c>
      <c r="F25" s="830">
        <f t="shared" si="30"/>
        <v>1693881</v>
      </c>
      <c r="G25" s="830">
        <f t="shared" si="30"/>
        <v>3899280</v>
      </c>
      <c r="H25" s="830">
        <f t="shared" si="30"/>
        <v>4157433</v>
      </c>
      <c r="I25" s="830">
        <f t="shared" si="30"/>
        <v>0</v>
      </c>
      <c r="J25" s="830">
        <f t="shared" si="30"/>
        <v>0</v>
      </c>
      <c r="K25" s="830">
        <f t="shared" si="30"/>
        <v>0</v>
      </c>
      <c r="L25" s="830">
        <f t="shared" si="30"/>
        <v>0</v>
      </c>
      <c r="M25" s="3480"/>
      <c r="N25" s="3480"/>
      <c r="O25" s="682"/>
      <c r="P25" s="2291">
        <f>D25-D15</f>
        <v>0</v>
      </c>
      <c r="Q25" s="2291">
        <f>G25-'[1]Tab. 6A -Drogi'!$G$25</f>
        <v>-1176885</v>
      </c>
    </row>
    <row r="26" spans="1:19" ht="14.25" hidden="1" customHeight="1">
      <c r="A26" s="3475"/>
      <c r="B26" s="23" t="s">
        <v>50</v>
      </c>
      <c r="C26" s="24"/>
      <c r="D26" s="830">
        <f t="shared" ref="D26:L26" si="31">+D476+D48</f>
        <v>0</v>
      </c>
      <c r="E26" s="830">
        <f t="shared" si="31"/>
        <v>0</v>
      </c>
      <c r="F26" s="830">
        <f t="shared" si="31"/>
        <v>0</v>
      </c>
      <c r="G26" s="830">
        <f t="shared" si="31"/>
        <v>0</v>
      </c>
      <c r="H26" s="830">
        <f t="shared" si="31"/>
        <v>0</v>
      </c>
      <c r="I26" s="830">
        <f t="shared" si="31"/>
        <v>0</v>
      </c>
      <c r="J26" s="830">
        <f t="shared" si="31"/>
        <v>0</v>
      </c>
      <c r="K26" s="830">
        <f t="shared" si="31"/>
        <v>0</v>
      </c>
      <c r="L26" s="830">
        <f t="shared" si="31"/>
        <v>0</v>
      </c>
      <c r="M26" s="3480"/>
      <c r="N26" s="3480"/>
      <c r="O26" s="682"/>
      <c r="P26" s="2291">
        <f>D16-D26</f>
        <v>0</v>
      </c>
    </row>
    <row r="27" spans="1:19" ht="14.25" customHeight="1">
      <c r="A27" s="3475"/>
      <c r="B27" s="155" t="s">
        <v>17</v>
      </c>
      <c r="C27" s="25"/>
      <c r="D27" s="830">
        <f>+D46</f>
        <v>12271000</v>
      </c>
      <c r="E27" s="830">
        <f t="shared" ref="E27:E28" si="32">+E46</f>
        <v>0</v>
      </c>
      <c r="F27" s="830">
        <f t="shared" ref="F27:L28" si="33">+F46</f>
        <v>0</v>
      </c>
      <c r="G27" s="830">
        <f t="shared" si="33"/>
        <v>12271000</v>
      </c>
      <c r="H27" s="830">
        <f t="shared" si="33"/>
        <v>0</v>
      </c>
      <c r="I27" s="830">
        <f t="shared" si="33"/>
        <v>0</v>
      </c>
      <c r="J27" s="830">
        <f t="shared" si="33"/>
        <v>0</v>
      </c>
      <c r="K27" s="830">
        <f t="shared" si="33"/>
        <v>0</v>
      </c>
      <c r="L27" s="830">
        <f t="shared" si="33"/>
        <v>0</v>
      </c>
      <c r="M27" s="3480"/>
      <c r="N27" s="3480"/>
      <c r="O27" s="682"/>
      <c r="P27" s="2291">
        <f>D17-D27</f>
        <v>0</v>
      </c>
    </row>
    <row r="28" spans="1:19" ht="14.25" hidden="1" customHeight="1">
      <c r="A28" s="3475"/>
      <c r="B28" s="155" t="s">
        <v>72</v>
      </c>
      <c r="C28" s="25"/>
      <c r="D28" s="830">
        <f>+D47</f>
        <v>0</v>
      </c>
      <c r="E28" s="830">
        <f t="shared" si="32"/>
        <v>0</v>
      </c>
      <c r="F28" s="830">
        <f t="shared" si="33"/>
        <v>0</v>
      </c>
      <c r="G28" s="830">
        <f t="shared" si="33"/>
        <v>0</v>
      </c>
      <c r="H28" s="830">
        <f t="shared" si="33"/>
        <v>0</v>
      </c>
      <c r="I28" s="830">
        <f t="shared" si="33"/>
        <v>0</v>
      </c>
      <c r="J28" s="830">
        <f t="shared" si="33"/>
        <v>0</v>
      </c>
      <c r="K28" s="830">
        <f t="shared" si="33"/>
        <v>0</v>
      </c>
      <c r="L28" s="830">
        <f t="shared" si="33"/>
        <v>0</v>
      </c>
      <c r="M28" s="3480"/>
      <c r="N28" s="3480"/>
      <c r="O28" s="682"/>
    </row>
    <row r="29" spans="1:19" ht="14.25" customHeight="1">
      <c r="A29" s="3475"/>
      <c r="B29" s="2076" t="s">
        <v>18</v>
      </c>
      <c r="C29" s="2077"/>
      <c r="D29" s="835">
        <f>+D30+D31+D32+D33</f>
        <v>799026093</v>
      </c>
      <c r="E29" s="835">
        <f t="shared" ref="E29" si="34">+E30+E31+E32+E33</f>
        <v>25497315</v>
      </c>
      <c r="F29" s="835">
        <f>+F30+F31+F32+F33</f>
        <v>177218311</v>
      </c>
      <c r="G29" s="835">
        <f t="shared" ref="G29:L29" si="35">+G30+G31+G32+G33</f>
        <v>258209611</v>
      </c>
      <c r="H29" s="835">
        <f t="shared" si="35"/>
        <v>152011572</v>
      </c>
      <c r="I29" s="835">
        <f t="shared" si="35"/>
        <v>124721916</v>
      </c>
      <c r="J29" s="835">
        <f t="shared" si="35"/>
        <v>61367368</v>
      </c>
      <c r="K29" s="835">
        <f t="shared" si="35"/>
        <v>0</v>
      </c>
      <c r="L29" s="835">
        <f t="shared" si="35"/>
        <v>0</v>
      </c>
      <c r="M29" s="3480"/>
      <c r="N29" s="3480"/>
      <c r="O29" s="682"/>
      <c r="P29" s="2291">
        <f>D31-D19</f>
        <v>0</v>
      </c>
    </row>
    <row r="30" spans="1:19" ht="12.75" hidden="1" customHeight="1">
      <c r="A30" s="3475"/>
      <c r="B30" s="837" t="s">
        <v>17</v>
      </c>
      <c r="C30" s="2078"/>
      <c r="D30" s="830">
        <f t="shared" ref="D30:L30" si="36">+D50</f>
        <v>0</v>
      </c>
      <c r="E30" s="830">
        <f t="shared" si="36"/>
        <v>0</v>
      </c>
      <c r="F30" s="830">
        <f t="shared" si="36"/>
        <v>0</v>
      </c>
      <c r="G30" s="830">
        <f t="shared" si="36"/>
        <v>0</v>
      </c>
      <c r="H30" s="830">
        <f t="shared" si="36"/>
        <v>0</v>
      </c>
      <c r="I30" s="830">
        <f t="shared" si="36"/>
        <v>0</v>
      </c>
      <c r="J30" s="830">
        <f t="shared" si="36"/>
        <v>0</v>
      </c>
      <c r="K30" s="830">
        <f t="shared" si="36"/>
        <v>0</v>
      </c>
      <c r="L30" s="830">
        <f t="shared" si="36"/>
        <v>0</v>
      </c>
      <c r="M30" s="3480"/>
      <c r="N30" s="3480"/>
      <c r="O30" s="682"/>
    </row>
    <row r="31" spans="1:19" ht="14.25" hidden="1" customHeight="1">
      <c r="A31" s="3475"/>
      <c r="B31" s="833" t="s">
        <v>19</v>
      </c>
      <c r="C31" s="2069"/>
      <c r="D31" s="2079">
        <f>+D374+D515</f>
        <v>0</v>
      </c>
      <c r="E31" s="2079">
        <f>+E374+E515</f>
        <v>0</v>
      </c>
      <c r="F31" s="2079">
        <f>+F374+F515</f>
        <v>0</v>
      </c>
      <c r="G31" s="2079">
        <f t="shared" ref="G31:L31" si="37">+G374</f>
        <v>0</v>
      </c>
      <c r="H31" s="2079">
        <f t="shared" si="37"/>
        <v>0</v>
      </c>
      <c r="I31" s="2079">
        <f t="shared" si="37"/>
        <v>0</v>
      </c>
      <c r="J31" s="2079">
        <f t="shared" si="37"/>
        <v>0</v>
      </c>
      <c r="K31" s="2079">
        <f t="shared" si="37"/>
        <v>0</v>
      </c>
      <c r="L31" s="2079">
        <f t="shared" si="37"/>
        <v>0</v>
      </c>
      <c r="M31" s="3480"/>
      <c r="N31" s="3480"/>
      <c r="O31" s="682"/>
      <c r="P31" s="2291">
        <f>D32-D20</f>
        <v>0</v>
      </c>
    </row>
    <row r="32" spans="1:19" ht="14.25" customHeight="1" thickBot="1">
      <c r="A32" s="3475"/>
      <c r="B32" s="833" t="s">
        <v>20</v>
      </c>
      <c r="C32" s="2078"/>
      <c r="D32" s="2079">
        <f t="shared" ref="D32:L32" si="38">+D51+D478+D375</f>
        <v>799026093</v>
      </c>
      <c r="E32" s="2079">
        <f t="shared" si="38"/>
        <v>25497315</v>
      </c>
      <c r="F32" s="2079">
        <f t="shared" si="38"/>
        <v>177218311</v>
      </c>
      <c r="G32" s="2079">
        <f t="shared" si="38"/>
        <v>258209611</v>
      </c>
      <c r="H32" s="2079">
        <f t="shared" si="38"/>
        <v>152011572</v>
      </c>
      <c r="I32" s="2079">
        <f t="shared" si="38"/>
        <v>124721916</v>
      </c>
      <c r="J32" s="2079">
        <f t="shared" si="38"/>
        <v>61367368</v>
      </c>
      <c r="K32" s="2079">
        <f t="shared" si="38"/>
        <v>0</v>
      </c>
      <c r="L32" s="2079">
        <f t="shared" si="38"/>
        <v>0</v>
      </c>
      <c r="M32" s="3480"/>
      <c r="N32" s="3480"/>
      <c r="O32" s="682"/>
    </row>
    <row r="33" spans="1:17" ht="13.5" hidden="1" thickBot="1">
      <c r="A33" s="3476"/>
      <c r="B33" s="26" t="s">
        <v>71</v>
      </c>
      <c r="C33" s="27"/>
      <c r="D33" s="687">
        <f>+D479</f>
        <v>0</v>
      </c>
      <c r="E33" s="687">
        <f t="shared" ref="E33" si="39">+E479</f>
        <v>0</v>
      </c>
      <c r="F33" s="687">
        <f t="shared" ref="F33:L33" si="40">+F479</f>
        <v>0</v>
      </c>
      <c r="G33" s="687">
        <f t="shared" si="40"/>
        <v>0</v>
      </c>
      <c r="H33" s="687">
        <f t="shared" si="40"/>
        <v>0</v>
      </c>
      <c r="I33" s="687">
        <f t="shared" si="40"/>
        <v>0</v>
      </c>
      <c r="J33" s="687">
        <f t="shared" si="40"/>
        <v>0</v>
      </c>
      <c r="K33" s="687">
        <f t="shared" si="40"/>
        <v>0</v>
      </c>
      <c r="L33" s="687">
        <f t="shared" si="40"/>
        <v>0</v>
      </c>
      <c r="M33" s="3481"/>
      <c r="N33" s="3481"/>
      <c r="O33" s="2080"/>
    </row>
    <row r="34" spans="1:17" ht="30.75" customHeight="1">
      <c r="A34" s="2081" t="s">
        <v>220</v>
      </c>
      <c r="B34" s="2082" t="s">
        <v>236</v>
      </c>
      <c r="C34" s="2083"/>
      <c r="D34" s="2084"/>
      <c r="E34" s="2085"/>
      <c r="F34" s="2085"/>
      <c r="G34" s="2085"/>
      <c r="H34" s="2085"/>
      <c r="I34" s="2085"/>
      <c r="J34" s="2085"/>
      <c r="K34" s="2085"/>
      <c r="L34" s="2085"/>
      <c r="M34" s="2086"/>
      <c r="N34" s="2087"/>
      <c r="O34" s="2088"/>
    </row>
    <row r="35" spans="1:17" ht="14.25" customHeight="1">
      <c r="A35" s="688"/>
      <c r="B35" s="815" t="s">
        <v>10</v>
      </c>
      <c r="C35" s="1284"/>
      <c r="D35" s="789">
        <f>+D36+D41</f>
        <v>935099442</v>
      </c>
      <c r="E35" s="789">
        <f t="shared" ref="E35:L35" si="41">+E36+E41</f>
        <v>44967942</v>
      </c>
      <c r="F35" s="789">
        <f t="shared" si="41"/>
        <v>213466976</v>
      </c>
      <c r="G35" s="789">
        <f t="shared" si="41"/>
        <v>293408642</v>
      </c>
      <c r="H35" s="789">
        <f t="shared" si="41"/>
        <v>181730206</v>
      </c>
      <c r="I35" s="789">
        <f t="shared" si="41"/>
        <v>154525676</v>
      </c>
      <c r="J35" s="789">
        <f t="shared" si="41"/>
        <v>47000000</v>
      </c>
      <c r="K35" s="789">
        <f t="shared" si="41"/>
        <v>0</v>
      </c>
      <c r="L35" s="789">
        <f t="shared" si="41"/>
        <v>0</v>
      </c>
      <c r="M35" s="1807">
        <f t="shared" ref="M35" si="42">+M36+M41</f>
        <v>890131500</v>
      </c>
      <c r="N35" s="1807">
        <f t="shared" ref="N35" si="43">+N36+N41</f>
        <v>676664524</v>
      </c>
      <c r="O35" s="689"/>
      <c r="P35" s="2291"/>
    </row>
    <row r="36" spans="1:17" s="678" customFormat="1" ht="14.25" customHeight="1">
      <c r="A36" s="688"/>
      <c r="B36" s="838" t="s">
        <v>23</v>
      </c>
      <c r="C36" s="2089"/>
      <c r="D36" s="816">
        <f>+D37+D38+D39+D40</f>
        <v>160928016</v>
      </c>
      <c r="E36" s="816">
        <f t="shared" ref="E36:L36" si="44">+E37+E38+E39+E40</f>
        <v>13583751</v>
      </c>
      <c r="F36" s="816">
        <f t="shared" si="44"/>
        <v>32328869</v>
      </c>
      <c r="G36" s="816">
        <f t="shared" si="44"/>
        <v>46767135</v>
      </c>
      <c r="H36" s="816">
        <f t="shared" si="44"/>
        <v>37662410</v>
      </c>
      <c r="I36" s="816">
        <f t="shared" si="44"/>
        <v>23535851</v>
      </c>
      <c r="J36" s="816">
        <f t="shared" si="44"/>
        <v>7050000</v>
      </c>
      <c r="K36" s="816">
        <f t="shared" si="44"/>
        <v>0</v>
      </c>
      <c r="L36" s="816">
        <f t="shared" si="44"/>
        <v>0</v>
      </c>
      <c r="M36" s="839">
        <f>+M37+M38+M39+M40</f>
        <v>147344265</v>
      </c>
      <c r="N36" s="839">
        <f>+N37+N38+N39+N40</f>
        <v>115015396</v>
      </c>
      <c r="O36" s="689"/>
      <c r="Q36" s="675"/>
    </row>
    <row r="37" spans="1:17" ht="14.25" customHeight="1">
      <c r="A37" s="688"/>
      <c r="B37" s="840" t="s">
        <v>12</v>
      </c>
      <c r="C37" s="2090"/>
      <c r="D37" s="817">
        <f t="shared" ref="D37:J37" si="45">+D327+D147+D339+D315+D353+D82+D131+D56+D94+D70+D106+D116+D159+D171+D183+D195+D207+D219+D231+D243+D255+D267+D279+D291+D303</f>
        <v>129608594</v>
      </c>
      <c r="E37" s="817">
        <f t="shared" si="45"/>
        <v>4280429</v>
      </c>
      <c r="F37" s="817">
        <f t="shared" si="45"/>
        <v>30241188</v>
      </c>
      <c r="G37" s="817">
        <f t="shared" si="45"/>
        <v>30996149</v>
      </c>
      <c r="H37" s="817">
        <f t="shared" si="45"/>
        <v>33504977</v>
      </c>
      <c r="I37" s="817">
        <f t="shared" si="45"/>
        <v>23535851</v>
      </c>
      <c r="J37" s="817">
        <f t="shared" si="45"/>
        <v>7050000</v>
      </c>
      <c r="K37" s="817">
        <f t="shared" ref="K37:L37" si="46">+K327+K147+K339+K315+K353+K82+K131+K56+K94+K70+K106+K116+K159+K171+K183+K195+K207+K219+K231+K243+K255+K267+K279</f>
        <v>0</v>
      </c>
      <c r="L37" s="817">
        <f t="shared" si="46"/>
        <v>0</v>
      </c>
      <c r="M37" s="796">
        <f>SUM(F37:K37)</f>
        <v>125328165</v>
      </c>
      <c r="N37" s="796">
        <f t="shared" ref="M37:N39" si="47">SUM(G37:L37)</f>
        <v>95086977</v>
      </c>
      <c r="O37" s="692"/>
      <c r="P37" s="2291"/>
      <c r="Q37" s="675"/>
    </row>
    <row r="38" spans="1:17" ht="14.25" customHeight="1">
      <c r="A38" s="688"/>
      <c r="B38" s="792" t="s">
        <v>15</v>
      </c>
      <c r="C38" s="2091"/>
      <c r="D38" s="817">
        <f t="shared" ref="D38:L38" si="48">+D148+D341+D316+D83+D118+D133+D95+D208+D220+D172+D232</f>
        <v>19048422</v>
      </c>
      <c r="E38" s="817">
        <f t="shared" si="48"/>
        <v>9303322</v>
      </c>
      <c r="F38" s="817">
        <f t="shared" si="48"/>
        <v>2087681</v>
      </c>
      <c r="G38" s="817">
        <f t="shared" si="48"/>
        <v>3499986</v>
      </c>
      <c r="H38" s="817">
        <f t="shared" si="48"/>
        <v>4157433</v>
      </c>
      <c r="I38" s="817">
        <f t="shared" si="48"/>
        <v>0</v>
      </c>
      <c r="J38" s="817">
        <f t="shared" si="48"/>
        <v>0</v>
      </c>
      <c r="K38" s="817">
        <f t="shared" si="48"/>
        <v>0</v>
      </c>
      <c r="L38" s="817">
        <f t="shared" si="48"/>
        <v>0</v>
      </c>
      <c r="M38" s="796">
        <f t="shared" si="47"/>
        <v>9745100</v>
      </c>
      <c r="N38" s="796">
        <f t="shared" si="47"/>
        <v>7657419</v>
      </c>
      <c r="O38" s="692"/>
      <c r="P38" s="2291">
        <f>D38-D45</f>
        <v>0</v>
      </c>
      <c r="Q38" s="675"/>
    </row>
    <row r="39" spans="1:17" ht="14.25" customHeight="1">
      <c r="A39" s="688"/>
      <c r="B39" s="792" t="s">
        <v>17</v>
      </c>
      <c r="C39" s="2091"/>
      <c r="D39" s="817">
        <f>+D117+D132+D57+D71+D354</f>
        <v>12271000</v>
      </c>
      <c r="E39" s="817">
        <f t="shared" ref="E39:L39" si="49">+E117+E132+E57+E71+E354</f>
        <v>0</v>
      </c>
      <c r="F39" s="817">
        <f t="shared" si="49"/>
        <v>0</v>
      </c>
      <c r="G39" s="817">
        <f t="shared" si="49"/>
        <v>12271000</v>
      </c>
      <c r="H39" s="817">
        <f t="shared" si="49"/>
        <v>0</v>
      </c>
      <c r="I39" s="817">
        <f t="shared" si="49"/>
        <v>0</v>
      </c>
      <c r="J39" s="817">
        <f t="shared" si="49"/>
        <v>0</v>
      </c>
      <c r="K39" s="817">
        <f t="shared" si="49"/>
        <v>0</v>
      </c>
      <c r="L39" s="817">
        <f t="shared" si="49"/>
        <v>0</v>
      </c>
      <c r="M39" s="796">
        <f t="shared" si="47"/>
        <v>12271000</v>
      </c>
      <c r="N39" s="796">
        <f t="shared" si="47"/>
        <v>12271000</v>
      </c>
      <c r="O39" s="692"/>
      <c r="P39" s="2291">
        <f>D39-D46</f>
        <v>0</v>
      </c>
      <c r="Q39" s="675"/>
    </row>
    <row r="40" spans="1:17" ht="14.25" hidden="1" customHeight="1">
      <c r="A40" s="688"/>
      <c r="B40" s="792" t="s">
        <v>50</v>
      </c>
      <c r="C40" s="2091"/>
      <c r="D40" s="817">
        <f>+D328+D340</f>
        <v>0</v>
      </c>
      <c r="E40" s="817">
        <f t="shared" ref="E40:L40" si="50">+E328+E340</f>
        <v>0</v>
      </c>
      <c r="F40" s="817">
        <f t="shared" si="50"/>
        <v>0</v>
      </c>
      <c r="G40" s="817">
        <f t="shared" si="50"/>
        <v>0</v>
      </c>
      <c r="H40" s="817">
        <f t="shared" si="50"/>
        <v>0</v>
      </c>
      <c r="I40" s="817">
        <f t="shared" si="50"/>
        <v>0</v>
      </c>
      <c r="J40" s="817">
        <f t="shared" si="50"/>
        <v>0</v>
      </c>
      <c r="K40" s="817">
        <f t="shared" si="50"/>
        <v>0</v>
      </c>
      <c r="L40" s="817">
        <f t="shared" si="50"/>
        <v>0</v>
      </c>
      <c r="M40" s="796">
        <f>SUM(E40:K40)</f>
        <v>0</v>
      </c>
      <c r="N40" s="796">
        <f>SUM(F40:L40)</f>
        <v>0</v>
      </c>
      <c r="O40" s="692"/>
      <c r="P40" s="2291"/>
      <c r="Q40" s="675"/>
    </row>
    <row r="41" spans="1:17" s="678" customFormat="1" ht="14.25" customHeight="1">
      <c r="A41" s="688"/>
      <c r="B41" s="818" t="s">
        <v>18</v>
      </c>
      <c r="C41" s="2092"/>
      <c r="D41" s="816">
        <f>+D42</f>
        <v>774171426</v>
      </c>
      <c r="E41" s="816">
        <f t="shared" ref="E41:L41" si="51">+E42</f>
        <v>31384191</v>
      </c>
      <c r="F41" s="816">
        <f t="shared" si="51"/>
        <v>181138107</v>
      </c>
      <c r="G41" s="816">
        <f t="shared" si="51"/>
        <v>246641507</v>
      </c>
      <c r="H41" s="816">
        <f t="shared" si="51"/>
        <v>144067796</v>
      </c>
      <c r="I41" s="816">
        <f t="shared" si="51"/>
        <v>130989825</v>
      </c>
      <c r="J41" s="816">
        <f t="shared" si="51"/>
        <v>39950000</v>
      </c>
      <c r="K41" s="816">
        <f t="shared" si="51"/>
        <v>0</v>
      </c>
      <c r="L41" s="816">
        <f t="shared" si="51"/>
        <v>0</v>
      </c>
      <c r="M41" s="2093">
        <f>+M42</f>
        <v>742787235</v>
      </c>
      <c r="N41" s="2093">
        <f>+N42</f>
        <v>561649128</v>
      </c>
      <c r="O41" s="692"/>
      <c r="Q41" s="675"/>
    </row>
    <row r="42" spans="1:17" ht="14.25" customHeight="1">
      <c r="A42" s="688"/>
      <c r="B42" s="841" t="s">
        <v>20</v>
      </c>
      <c r="C42" s="842"/>
      <c r="D42" s="843">
        <f>+D330+D150+D120+D343+D318+D356+D85+D136+D60+D97+D73+D108+D162+D174+D186+D198+D210+D222+D234+D246+D258+D270+D282+D294+D306</f>
        <v>774171426</v>
      </c>
      <c r="E42" s="843">
        <f t="shared" ref="E42:L42" si="52">+E330+E150+E120+E343+E318+E356+E85+E136+E60+E97+E73+E108+E162+E174+E186+E198+E210+E222+E234+E246+E258+E270+E282+E294+E306</f>
        <v>31384191</v>
      </c>
      <c r="F42" s="843">
        <f t="shared" si="52"/>
        <v>181138107</v>
      </c>
      <c r="G42" s="843">
        <f t="shared" si="52"/>
        <v>246641507</v>
      </c>
      <c r="H42" s="843">
        <f>+H330+H150+H120+H343+H318+H356+H85+H136+H60+H97+H73+H108+H162+H174+H186+H198+H210+H222+H234+H246+H258+H270+H282+H294+H306</f>
        <v>144067796</v>
      </c>
      <c r="I42" s="843">
        <f t="shared" si="52"/>
        <v>130989825</v>
      </c>
      <c r="J42" s="843">
        <f t="shared" si="52"/>
        <v>39950000</v>
      </c>
      <c r="K42" s="843">
        <f t="shared" si="52"/>
        <v>0</v>
      </c>
      <c r="L42" s="843">
        <f t="shared" si="52"/>
        <v>0</v>
      </c>
      <c r="M42" s="796">
        <f>SUM(F42:K42)</f>
        <v>742787235</v>
      </c>
      <c r="N42" s="796">
        <f>SUM(G42:L42)</f>
        <v>561649128</v>
      </c>
      <c r="O42" s="689"/>
      <c r="P42" s="2291">
        <f>D42-D51</f>
        <v>0</v>
      </c>
      <c r="Q42" s="675"/>
    </row>
    <row r="43" spans="1:17" ht="14.25" customHeight="1">
      <c r="A43" s="688"/>
      <c r="B43" s="2073" t="s">
        <v>21</v>
      </c>
      <c r="C43" s="1284"/>
      <c r="D43" s="789">
        <f>+D44+D49</f>
        <v>805490848</v>
      </c>
      <c r="E43" s="789">
        <f t="shared" ref="E43:L43" si="53">+E44+E49</f>
        <v>34795143</v>
      </c>
      <c r="F43" s="789">
        <f t="shared" si="53"/>
        <v>178866458</v>
      </c>
      <c r="G43" s="789">
        <f t="shared" si="53"/>
        <v>267910413</v>
      </c>
      <c r="H43" s="789">
        <f t="shared" si="53"/>
        <v>148379009</v>
      </c>
      <c r="I43" s="789">
        <f t="shared" si="53"/>
        <v>116089825</v>
      </c>
      <c r="J43" s="789">
        <f t="shared" si="53"/>
        <v>59450000</v>
      </c>
      <c r="K43" s="789">
        <f t="shared" si="53"/>
        <v>0</v>
      </c>
      <c r="L43" s="789">
        <f t="shared" si="53"/>
        <v>0</v>
      </c>
      <c r="M43" s="3482" t="s">
        <v>22</v>
      </c>
      <c r="N43" s="3482" t="s">
        <v>22</v>
      </c>
      <c r="O43" s="692"/>
    </row>
    <row r="44" spans="1:17" ht="14.25" customHeight="1">
      <c r="A44" s="688"/>
      <c r="B44" s="790" t="s">
        <v>23</v>
      </c>
      <c r="C44" s="695"/>
      <c r="D44" s="35">
        <f>+D45+D46+D47+D48</f>
        <v>31319422</v>
      </c>
      <c r="E44" s="35">
        <f t="shared" ref="E44:L44" si="54">+E45+E46+E47+E48</f>
        <v>9297828</v>
      </c>
      <c r="F44" s="35">
        <f t="shared" si="54"/>
        <v>1693881</v>
      </c>
      <c r="G44" s="35">
        <f t="shared" si="54"/>
        <v>16170280</v>
      </c>
      <c r="H44" s="35">
        <f t="shared" si="54"/>
        <v>4157433</v>
      </c>
      <c r="I44" s="35">
        <f t="shared" si="54"/>
        <v>0</v>
      </c>
      <c r="J44" s="35">
        <f t="shared" si="54"/>
        <v>0</v>
      </c>
      <c r="K44" s="35">
        <f t="shared" si="54"/>
        <v>0</v>
      </c>
      <c r="L44" s="35">
        <f t="shared" si="54"/>
        <v>0</v>
      </c>
      <c r="M44" s="3483"/>
      <c r="N44" s="3483"/>
      <c r="O44" s="692"/>
      <c r="P44" s="2291"/>
    </row>
    <row r="45" spans="1:17" ht="14.25" customHeight="1">
      <c r="A45" s="688"/>
      <c r="B45" s="36" t="s">
        <v>15</v>
      </c>
      <c r="C45" s="37"/>
      <c r="D45" s="791">
        <f t="shared" ref="D45:L45" si="55">+D153+D347+D321+D88+D124+D140+D100+D213+D225+D177+D237</f>
        <v>19048422</v>
      </c>
      <c r="E45" s="791">
        <f t="shared" si="55"/>
        <v>9297828</v>
      </c>
      <c r="F45" s="791">
        <f t="shared" si="55"/>
        <v>1693881</v>
      </c>
      <c r="G45" s="791">
        <f t="shared" si="55"/>
        <v>3899280</v>
      </c>
      <c r="H45" s="791">
        <f t="shared" si="55"/>
        <v>4157433</v>
      </c>
      <c r="I45" s="791">
        <f t="shared" si="55"/>
        <v>0</v>
      </c>
      <c r="J45" s="791">
        <f t="shared" si="55"/>
        <v>0</v>
      </c>
      <c r="K45" s="791">
        <f t="shared" si="55"/>
        <v>0</v>
      </c>
      <c r="L45" s="791">
        <f t="shared" si="55"/>
        <v>0</v>
      </c>
      <c r="M45" s="3483"/>
      <c r="N45" s="3483"/>
      <c r="O45" s="692"/>
    </row>
    <row r="46" spans="1:17" ht="14.25" customHeight="1">
      <c r="A46" s="688"/>
      <c r="B46" s="792" t="s">
        <v>17</v>
      </c>
      <c r="C46" s="37"/>
      <c r="D46" s="791">
        <f t="shared" ref="D46:L46" si="56">+D123+D139+D63+D76+D359</f>
        <v>12271000</v>
      </c>
      <c r="E46" s="791">
        <f t="shared" si="56"/>
        <v>0</v>
      </c>
      <c r="F46" s="791">
        <f t="shared" si="56"/>
        <v>0</v>
      </c>
      <c r="G46" s="791">
        <f t="shared" si="56"/>
        <v>12271000</v>
      </c>
      <c r="H46" s="791">
        <f t="shared" si="56"/>
        <v>0</v>
      </c>
      <c r="I46" s="791">
        <f t="shared" si="56"/>
        <v>0</v>
      </c>
      <c r="J46" s="791">
        <f t="shared" si="56"/>
        <v>0</v>
      </c>
      <c r="K46" s="791">
        <f t="shared" si="56"/>
        <v>0</v>
      </c>
      <c r="L46" s="791">
        <f t="shared" si="56"/>
        <v>0</v>
      </c>
      <c r="M46" s="3483"/>
      <c r="N46" s="3483"/>
      <c r="O46" s="692"/>
    </row>
    <row r="47" spans="1:17" ht="14.25" hidden="1" customHeight="1">
      <c r="A47" s="688"/>
      <c r="B47" s="792" t="s">
        <v>25</v>
      </c>
      <c r="C47" s="37"/>
      <c r="D47" s="791"/>
      <c r="E47" s="791"/>
      <c r="F47" s="791"/>
      <c r="G47" s="791"/>
      <c r="H47" s="791"/>
      <c r="I47" s="791"/>
      <c r="J47" s="791"/>
      <c r="K47" s="791"/>
      <c r="L47" s="791"/>
      <c r="M47" s="3483"/>
      <c r="N47" s="3483"/>
      <c r="O47" s="692"/>
    </row>
    <row r="48" spans="1:17" ht="14.25" hidden="1" customHeight="1">
      <c r="A48" s="688"/>
      <c r="B48" s="792" t="s">
        <v>50</v>
      </c>
      <c r="C48" s="37"/>
      <c r="D48" s="791">
        <f>+D333+D346</f>
        <v>0</v>
      </c>
      <c r="E48" s="791">
        <f t="shared" ref="E48:L48" si="57">+E333+E346</f>
        <v>0</v>
      </c>
      <c r="F48" s="791">
        <f t="shared" si="57"/>
        <v>0</v>
      </c>
      <c r="G48" s="791">
        <f t="shared" si="57"/>
        <v>0</v>
      </c>
      <c r="H48" s="791">
        <f t="shared" si="57"/>
        <v>0</v>
      </c>
      <c r="I48" s="791">
        <f t="shared" si="57"/>
        <v>0</v>
      </c>
      <c r="J48" s="791">
        <f t="shared" si="57"/>
        <v>0</v>
      </c>
      <c r="K48" s="791">
        <f t="shared" si="57"/>
        <v>0</v>
      </c>
      <c r="L48" s="791">
        <f t="shared" si="57"/>
        <v>0</v>
      </c>
      <c r="M48" s="3483"/>
      <c r="N48" s="3483"/>
      <c r="O48" s="692"/>
    </row>
    <row r="49" spans="1:16" ht="10.5" customHeight="1">
      <c r="A49" s="688"/>
      <c r="B49" s="793" t="s">
        <v>18</v>
      </c>
      <c r="C49" s="2094"/>
      <c r="D49" s="794">
        <f t="shared" ref="D49:L49" si="58">+D50+D51</f>
        <v>774171426</v>
      </c>
      <c r="E49" s="794">
        <f t="shared" si="58"/>
        <v>25497315</v>
      </c>
      <c r="F49" s="794">
        <f t="shared" si="58"/>
        <v>177172577</v>
      </c>
      <c r="G49" s="794">
        <f t="shared" si="58"/>
        <v>251740133</v>
      </c>
      <c r="H49" s="794">
        <f t="shared" si="58"/>
        <v>144221576</v>
      </c>
      <c r="I49" s="794">
        <f t="shared" si="58"/>
        <v>116089825</v>
      </c>
      <c r="J49" s="794">
        <f t="shared" si="58"/>
        <v>59450000</v>
      </c>
      <c r="K49" s="794">
        <f t="shared" si="58"/>
        <v>0</v>
      </c>
      <c r="L49" s="794">
        <f t="shared" si="58"/>
        <v>0</v>
      </c>
      <c r="M49" s="3483"/>
      <c r="N49" s="3483"/>
      <c r="O49" s="692"/>
    </row>
    <row r="50" spans="1:16" ht="14.25" hidden="1" customHeight="1">
      <c r="A50" s="688"/>
      <c r="B50" s="792" t="s">
        <v>17</v>
      </c>
      <c r="C50" s="2091"/>
      <c r="D50" s="791">
        <f>+D126+D142+D65</f>
        <v>0</v>
      </c>
      <c r="E50" s="791">
        <f t="shared" ref="E50:L50" si="59">+E126+E142+E65</f>
        <v>0</v>
      </c>
      <c r="F50" s="791">
        <f t="shared" si="59"/>
        <v>0</v>
      </c>
      <c r="G50" s="791">
        <f t="shared" si="59"/>
        <v>0</v>
      </c>
      <c r="H50" s="791">
        <f t="shared" si="59"/>
        <v>0</v>
      </c>
      <c r="I50" s="791">
        <f t="shared" si="59"/>
        <v>0</v>
      </c>
      <c r="J50" s="791">
        <f t="shared" si="59"/>
        <v>0</v>
      </c>
      <c r="K50" s="791">
        <f t="shared" si="59"/>
        <v>0</v>
      </c>
      <c r="L50" s="791">
        <f t="shared" si="59"/>
        <v>0</v>
      </c>
      <c r="M50" s="3483"/>
      <c r="N50" s="3483"/>
      <c r="O50" s="692"/>
      <c r="P50" s="2291"/>
    </row>
    <row r="51" spans="1:16" ht="12.75" customHeight="1" thickBot="1">
      <c r="A51" s="696"/>
      <c r="B51" s="38" t="s">
        <v>20</v>
      </c>
      <c r="C51" s="39"/>
      <c r="D51" s="2095">
        <f>+D335+D155+D127+D349+D323+D361++D90+D143+D66+D102+D78+D111+D167+D179+D191+D203+D215+D227+D239+D251+D263+D275+D287+D299+D311</f>
        <v>774171426</v>
      </c>
      <c r="E51" s="2095">
        <f t="shared" ref="E51:L51" si="60">+E335+E155+E127+E349+E323+E361++E90+E143+E66+E102+E78+E111+E167+E179+E191+E203+E215+E227+E239+E251+E263+E275+E287+E299+E311</f>
        <v>25497315</v>
      </c>
      <c r="F51" s="2095">
        <f t="shared" si="60"/>
        <v>177172577</v>
      </c>
      <c r="G51" s="2095">
        <f t="shared" si="60"/>
        <v>251740133</v>
      </c>
      <c r="H51" s="2095">
        <f t="shared" si="60"/>
        <v>144221576</v>
      </c>
      <c r="I51" s="2095">
        <f t="shared" si="60"/>
        <v>116089825</v>
      </c>
      <c r="J51" s="2095">
        <f t="shared" si="60"/>
        <v>59450000</v>
      </c>
      <c r="K51" s="2095">
        <f t="shared" si="60"/>
        <v>0</v>
      </c>
      <c r="L51" s="2095">
        <f t="shared" si="60"/>
        <v>0</v>
      </c>
      <c r="M51" s="3484"/>
      <c r="N51" s="3484"/>
      <c r="O51" s="697"/>
      <c r="P51" s="2291"/>
    </row>
    <row r="52" spans="1:16" s="3183" customFormat="1" ht="17.25" customHeight="1" thickBot="1">
      <c r="A52" s="2942"/>
      <c r="B52" s="262" t="s">
        <v>680</v>
      </c>
      <c r="C52" s="389"/>
      <c r="D52" s="704"/>
      <c r="E52" s="1210"/>
      <c r="F52" s="705"/>
      <c r="G52" s="705"/>
      <c r="H52" s="705"/>
      <c r="I52" s="705"/>
      <c r="J52" s="705"/>
      <c r="K52" s="705"/>
      <c r="L52" s="705"/>
      <c r="M52" s="390"/>
      <c r="N52" s="390"/>
      <c r="O52" s="391"/>
    </row>
    <row r="53" spans="1:16" ht="23.25" hidden="1" customHeight="1">
      <c r="A53" s="3423"/>
      <c r="B53" s="366" t="s">
        <v>566</v>
      </c>
      <c r="C53" s="56" t="s">
        <v>74</v>
      </c>
      <c r="D53" s="57"/>
      <c r="E53" s="40"/>
      <c r="F53" s="42"/>
      <c r="G53" s="42"/>
      <c r="H53" s="42"/>
      <c r="I53" s="42"/>
      <c r="J53" s="42"/>
      <c r="K53" s="42"/>
      <c r="L53" s="42"/>
      <c r="M53" s="43"/>
      <c r="N53" s="43"/>
      <c r="O53" s="44" t="s">
        <v>75</v>
      </c>
    </row>
    <row r="54" spans="1:16" ht="13.5" hidden="1" thickBot="1">
      <c r="A54" s="3424"/>
      <c r="B54" s="531" t="s">
        <v>10</v>
      </c>
      <c r="C54" s="1284"/>
      <c r="D54" s="1298">
        <f t="shared" ref="D54" si="61">+D55+D58</f>
        <v>0</v>
      </c>
      <c r="E54" s="1298">
        <f>+E55+E58</f>
        <v>0</v>
      </c>
      <c r="F54" s="1298">
        <f>+F55+F58</f>
        <v>0</v>
      </c>
      <c r="G54" s="1298"/>
      <c r="H54" s="1298"/>
      <c r="I54" s="1298"/>
      <c r="J54" s="1298"/>
      <c r="K54" s="1298"/>
      <c r="L54" s="1298"/>
      <c r="M54" s="1286">
        <f>+M55+M58</f>
        <v>0</v>
      </c>
      <c r="N54" s="1286">
        <f>+N55+N58</f>
        <v>0</v>
      </c>
      <c r="O54" s="3318" t="s">
        <v>76</v>
      </c>
    </row>
    <row r="55" spans="1:16" ht="12" hidden="1" customHeight="1">
      <c r="A55" s="3424"/>
      <c r="B55" s="508" t="s">
        <v>23</v>
      </c>
      <c r="C55" s="3351" t="s">
        <v>77</v>
      </c>
      <c r="D55" s="1299">
        <f t="shared" ref="D55" si="62">+D56+D57</f>
        <v>0</v>
      </c>
      <c r="E55" s="1299">
        <f>+E56+E57</f>
        <v>0</v>
      </c>
      <c r="F55" s="1299">
        <f>+F56+F57</f>
        <v>0</v>
      </c>
      <c r="G55" s="1299"/>
      <c r="H55" s="1299"/>
      <c r="I55" s="1299"/>
      <c r="J55" s="1299"/>
      <c r="K55" s="1299"/>
      <c r="L55" s="1299"/>
      <c r="M55" s="1289">
        <f>+M56+M57</f>
        <v>0</v>
      </c>
      <c r="N55" s="1289">
        <f>+N56+N57</f>
        <v>0</v>
      </c>
      <c r="O55" s="3318"/>
    </row>
    <row r="56" spans="1:16" ht="12" hidden="1" customHeight="1">
      <c r="A56" s="3424"/>
      <c r="B56" s="802" t="s">
        <v>12</v>
      </c>
      <c r="C56" s="3347"/>
      <c r="D56" s="1216">
        <f>E56+F56+G56+H56+I56+J56+K56+L56</f>
        <v>0</v>
      </c>
      <c r="E56" s="1262"/>
      <c r="F56" s="1300"/>
      <c r="G56" s="1301"/>
      <c r="H56" s="1301"/>
      <c r="I56" s="1301"/>
      <c r="J56" s="1301"/>
      <c r="K56" s="1301"/>
      <c r="L56" s="1301"/>
      <c r="M56" s="1302">
        <f>SUM(F56:K56)</f>
        <v>0</v>
      </c>
      <c r="N56" s="1302">
        <f>SUM(G56:L56)</f>
        <v>0</v>
      </c>
      <c r="O56" s="3318"/>
    </row>
    <row r="57" spans="1:16" ht="12" hidden="1" customHeight="1">
      <c r="A57" s="3424"/>
      <c r="B57" s="1372" t="s">
        <v>17</v>
      </c>
      <c r="C57" s="3347"/>
      <c r="D57" s="1216">
        <f>E57+F57+G57+H57+I57+J57+K57+L57</f>
        <v>0</v>
      </c>
      <c r="E57" s="1262"/>
      <c r="F57" s="1301"/>
      <c r="G57" s="1301"/>
      <c r="H57" s="1301"/>
      <c r="I57" s="1301"/>
      <c r="J57" s="1301"/>
      <c r="K57" s="1301"/>
      <c r="L57" s="1301"/>
      <c r="M57" s="1302">
        <f>SUM(F57:K57)</f>
        <v>0</v>
      </c>
      <c r="N57" s="1302">
        <f>SUM(G57:L57)</f>
        <v>0</v>
      </c>
      <c r="O57" s="3318"/>
    </row>
    <row r="58" spans="1:16" ht="12" hidden="1" customHeight="1">
      <c r="A58" s="3424"/>
      <c r="B58" s="1322" t="s">
        <v>18</v>
      </c>
      <c r="C58" s="3347"/>
      <c r="D58" s="1288">
        <f>+D59+D60</f>
        <v>0</v>
      </c>
      <c r="E58" s="1288">
        <f t="shared" ref="E58" si="63">+E59+E60</f>
        <v>0</v>
      </c>
      <c r="F58" s="1288"/>
      <c r="G58" s="1288"/>
      <c r="H58" s="1288"/>
      <c r="I58" s="1288"/>
      <c r="J58" s="1288"/>
      <c r="K58" s="1288"/>
      <c r="L58" s="1288"/>
      <c r="M58" s="1289">
        <f>+M59+M60</f>
        <v>0</v>
      </c>
      <c r="N58" s="1289">
        <f>+N59+N60</f>
        <v>0</v>
      </c>
      <c r="O58" s="3318"/>
    </row>
    <row r="59" spans="1:16" ht="12" hidden="1" customHeight="1">
      <c r="A59" s="3424"/>
      <c r="B59" s="589" t="s">
        <v>17</v>
      </c>
      <c r="C59" s="3347"/>
      <c r="D59" s="1216">
        <f>E59+F59+G59+H59+I59+J59+K59+L59</f>
        <v>0</v>
      </c>
      <c r="E59" s="1297"/>
      <c r="F59" s="1301"/>
      <c r="G59" s="1301"/>
      <c r="H59" s="1301"/>
      <c r="I59" s="1301"/>
      <c r="J59" s="197"/>
      <c r="K59" s="197"/>
      <c r="L59" s="197"/>
      <c r="M59" s="67"/>
      <c r="N59" s="67"/>
      <c r="O59" s="3318"/>
    </row>
    <row r="60" spans="1:16" ht="12" hidden="1" customHeight="1">
      <c r="A60" s="3424"/>
      <c r="B60" s="589" t="s">
        <v>20</v>
      </c>
      <c r="C60" s="3348"/>
      <c r="D60" s="1216">
        <f>E60+F60+G60+H60+I60+J60+K60+L60</f>
        <v>0</v>
      </c>
      <c r="E60" s="1262"/>
      <c r="F60" s="1301"/>
      <c r="G60" s="1301"/>
      <c r="H60" s="1301"/>
      <c r="I60" s="1301"/>
      <c r="J60" s="1301"/>
      <c r="K60" s="1301"/>
      <c r="L60" s="1301"/>
      <c r="M60" s="1302">
        <f>SUM(F60:K60)</f>
        <v>0</v>
      </c>
      <c r="N60" s="1302">
        <f>SUM(G60:L60)</f>
        <v>0</v>
      </c>
      <c r="O60" s="3319"/>
    </row>
    <row r="61" spans="1:16" ht="13.5" hidden="1" thickBot="1">
      <c r="A61" s="3424"/>
      <c r="B61" s="80" t="s">
        <v>21</v>
      </c>
      <c r="C61" s="1284"/>
      <c r="D61" s="1285">
        <f t="shared" ref="D61" si="64">+D64+D62</f>
        <v>0</v>
      </c>
      <c r="E61" s="1285">
        <f>+E64+E62</f>
        <v>0</v>
      </c>
      <c r="F61" s="1285"/>
      <c r="G61" s="1285"/>
      <c r="H61" s="1285"/>
      <c r="I61" s="1285"/>
      <c r="J61" s="1582"/>
      <c r="K61" s="1582"/>
      <c r="L61" s="1582"/>
      <c r="M61" s="3368" t="s">
        <v>22</v>
      </c>
      <c r="N61" s="3368" t="s">
        <v>22</v>
      </c>
      <c r="O61" s="3308" t="s">
        <v>225</v>
      </c>
      <c r="P61" s="2291">
        <v>0</v>
      </c>
    </row>
    <row r="62" spans="1:16" ht="12" hidden="1" customHeight="1">
      <c r="A62" s="3424"/>
      <c r="B62" s="1292" t="s">
        <v>23</v>
      </c>
      <c r="C62" s="3351" t="s">
        <v>78</v>
      </c>
      <c r="D62" s="1288">
        <f t="shared" ref="D62:E62" si="65">+D63</f>
        <v>0</v>
      </c>
      <c r="E62" s="1288">
        <f t="shared" si="65"/>
        <v>0</v>
      </c>
      <c r="F62" s="1288"/>
      <c r="G62" s="1288"/>
      <c r="H62" s="1288"/>
      <c r="I62" s="1288"/>
      <c r="J62" s="1288"/>
      <c r="K62" s="1288"/>
      <c r="L62" s="1288"/>
      <c r="M62" s="3366"/>
      <c r="N62" s="3366"/>
      <c r="O62" s="3309"/>
    </row>
    <row r="63" spans="1:16" ht="12" hidden="1" customHeight="1">
      <c r="A63" s="3424"/>
      <c r="B63" s="1315" t="s">
        <v>17</v>
      </c>
      <c r="C63" s="3347"/>
      <c r="D63" s="1216">
        <f>E63+F63+G63+H63+I63+J63+K63+L63</f>
        <v>0</v>
      </c>
      <c r="E63" s="1262"/>
      <c r="F63" s="1305"/>
      <c r="G63" s="1305"/>
      <c r="H63" s="1305"/>
      <c r="I63" s="1288"/>
      <c r="J63" s="1288"/>
      <c r="K63" s="1288"/>
      <c r="L63" s="1288"/>
      <c r="M63" s="3366"/>
      <c r="N63" s="3366"/>
      <c r="O63" s="3309"/>
    </row>
    <row r="64" spans="1:16" ht="12" hidden="1" customHeight="1">
      <c r="A64" s="3424"/>
      <c r="B64" s="798" t="s">
        <v>18</v>
      </c>
      <c r="C64" s="3347"/>
      <c r="D64" s="1306">
        <f t="shared" ref="D64:E64" si="66">+D65+D66</f>
        <v>0</v>
      </c>
      <c r="E64" s="1306">
        <f t="shared" si="66"/>
        <v>0</v>
      </c>
      <c r="F64" s="1583"/>
      <c r="G64" s="1583"/>
      <c r="H64" s="1583"/>
      <c r="I64" s="1305"/>
      <c r="J64" s="1305"/>
      <c r="K64" s="1305"/>
      <c r="L64" s="1305"/>
      <c r="M64" s="3366"/>
      <c r="N64" s="3366"/>
      <c r="O64" s="3309"/>
    </row>
    <row r="65" spans="1:19" ht="12" hidden="1" customHeight="1">
      <c r="A65" s="3424"/>
      <c r="B65" s="589" t="s">
        <v>17</v>
      </c>
      <c r="C65" s="3347"/>
      <c r="D65" s="1216">
        <f>E65+F65+G65+H65+I65+J65+K65+L65</f>
        <v>0</v>
      </c>
      <c r="E65" s="1347"/>
      <c r="F65" s="1305"/>
      <c r="G65" s="1305"/>
      <c r="H65" s="1305"/>
      <c r="I65" s="1583"/>
      <c r="J65" s="1583"/>
      <c r="K65" s="1583"/>
      <c r="L65" s="1583"/>
      <c r="M65" s="3366"/>
      <c r="N65" s="3366"/>
      <c r="O65" s="3309"/>
    </row>
    <row r="66" spans="1:19" ht="10.5" hidden="1" customHeight="1" thickBot="1">
      <c r="A66" s="3425"/>
      <c r="B66" s="1171" t="s">
        <v>20</v>
      </c>
      <c r="C66" s="3391"/>
      <c r="D66" s="1382">
        <f>E66+F66+G66+H66+I66+J66+K66+L66</f>
        <v>0</v>
      </c>
      <c r="E66" s="1382"/>
      <c r="F66" s="1172"/>
      <c r="G66" s="1172"/>
      <c r="H66" s="1172"/>
      <c r="I66" s="1584"/>
      <c r="J66" s="1584"/>
      <c r="K66" s="1584"/>
      <c r="L66" s="1584"/>
      <c r="M66" s="3367"/>
      <c r="N66" s="3367"/>
      <c r="O66" s="3310"/>
    </row>
    <row r="67" spans="1:19" ht="25.5" hidden="1" customHeight="1">
      <c r="A67" s="3385"/>
      <c r="B67" s="72" t="s">
        <v>567</v>
      </c>
      <c r="C67" s="56" t="s">
        <v>74</v>
      </c>
      <c r="D67" s="57"/>
      <c r="E67" s="41"/>
      <c r="F67" s="40"/>
      <c r="G67" s="40"/>
      <c r="H67" s="226"/>
      <c r="I67" s="41"/>
      <c r="J67" s="226"/>
      <c r="K67" s="226"/>
      <c r="L67" s="226"/>
      <c r="M67" s="60"/>
      <c r="N67" s="60"/>
      <c r="O67" s="44" t="s">
        <v>75</v>
      </c>
      <c r="S67" s="3184"/>
    </row>
    <row r="68" spans="1:19" ht="13.5" hidden="1" customHeight="1">
      <c r="A68" s="3386"/>
      <c r="B68" s="78" t="s">
        <v>10</v>
      </c>
      <c r="C68" s="22"/>
      <c r="D68" s="61">
        <f>+D69+D72</f>
        <v>0</v>
      </c>
      <c r="E68" s="61">
        <f>+E69+E72</f>
        <v>0</v>
      </c>
      <c r="F68" s="61">
        <f>+F69+F72</f>
        <v>0</v>
      </c>
      <c r="G68" s="61"/>
      <c r="H68" s="61"/>
      <c r="I68" s="61"/>
      <c r="J68" s="61"/>
      <c r="K68" s="61"/>
      <c r="L68" s="61"/>
      <c r="M68" s="63">
        <f>+M69+M72</f>
        <v>0</v>
      </c>
      <c r="N68" s="63">
        <f>+N69+N72</f>
        <v>0</v>
      </c>
      <c r="O68" s="3318" t="s">
        <v>76</v>
      </c>
      <c r="P68" s="2291"/>
      <c r="Q68" s="2291"/>
      <c r="R68" s="2291"/>
      <c r="S68" s="2291"/>
    </row>
    <row r="69" spans="1:19" ht="12" hidden="1" customHeight="1">
      <c r="A69" s="3386"/>
      <c r="B69" s="220" t="s">
        <v>23</v>
      </c>
      <c r="C69" s="3346" t="s">
        <v>77</v>
      </c>
      <c r="D69" s="64">
        <f>+D70+D71</f>
        <v>0</v>
      </c>
      <c r="E69" s="64">
        <f>+E70+E71</f>
        <v>0</v>
      </c>
      <c r="F69" s="64">
        <f>+F70+F71</f>
        <v>0</v>
      </c>
      <c r="G69" s="64"/>
      <c r="H69" s="64"/>
      <c r="I69" s="64"/>
      <c r="J69" s="64"/>
      <c r="K69" s="64"/>
      <c r="L69" s="64"/>
      <c r="M69" s="65">
        <f>+M70+M71</f>
        <v>0</v>
      </c>
      <c r="N69" s="65">
        <f>+N70+N71</f>
        <v>0</v>
      </c>
      <c r="O69" s="3318"/>
    </row>
    <row r="70" spans="1:19" ht="12" hidden="1" customHeight="1">
      <c r="A70" s="3386"/>
      <c r="B70" s="376" t="s">
        <v>12</v>
      </c>
      <c r="C70" s="3347"/>
      <c r="D70" s="235">
        <f>E70+F70+G70+H70+I70+J70+K70+L70</f>
        <v>0</v>
      </c>
      <c r="E70" s="265"/>
      <c r="F70" s="84"/>
      <c r="G70" s="46"/>
      <c r="H70" s="46"/>
      <c r="I70" s="46"/>
      <c r="J70" s="46"/>
      <c r="K70" s="46"/>
      <c r="L70" s="46"/>
      <c r="M70" s="796">
        <f>SUM(F70:K70)</f>
        <v>0</v>
      </c>
      <c r="N70" s="796">
        <f>SUM(G70:L70)</f>
        <v>0</v>
      </c>
      <c r="O70" s="3318"/>
    </row>
    <row r="71" spans="1:19" ht="12" hidden="1" customHeight="1">
      <c r="A71" s="3386"/>
      <c r="B71" s="376" t="s">
        <v>17</v>
      </c>
      <c r="C71" s="3347"/>
      <c r="D71" s="235">
        <f>E71+F71+G71+H71+I71+J71+K71+L71</f>
        <v>0</v>
      </c>
      <c r="E71" s="265"/>
      <c r="F71" s="46"/>
      <c r="G71" s="46"/>
      <c r="H71" s="46"/>
      <c r="I71" s="46"/>
      <c r="J71" s="46"/>
      <c r="K71" s="46"/>
      <c r="L71" s="46"/>
      <c r="M71" s="796">
        <f>SUM(F71:K71)</f>
        <v>0</v>
      </c>
      <c r="N71" s="796">
        <f>SUM(G71:L71)</f>
        <v>0</v>
      </c>
      <c r="O71" s="3318"/>
    </row>
    <row r="72" spans="1:19" ht="12" hidden="1" customHeight="1">
      <c r="A72" s="3386"/>
      <c r="B72" s="699" t="s">
        <v>18</v>
      </c>
      <c r="C72" s="3347"/>
      <c r="D72" s="47">
        <f>+D73</f>
        <v>0</v>
      </c>
      <c r="E72" s="47">
        <f t="shared" ref="E72" si="67">+E73</f>
        <v>0</v>
      </c>
      <c r="F72" s="47"/>
      <c r="G72" s="47"/>
      <c r="H72" s="47"/>
      <c r="I72" s="47"/>
      <c r="J72" s="47"/>
      <c r="K72" s="47"/>
      <c r="L72" s="47"/>
      <c r="M72" s="65">
        <f>+M73</f>
        <v>0</v>
      </c>
      <c r="N72" s="65">
        <f>+N73</f>
        <v>0</v>
      </c>
      <c r="O72" s="3318"/>
    </row>
    <row r="73" spans="1:19" ht="12" hidden="1" customHeight="1">
      <c r="A73" s="3386"/>
      <c r="B73" s="376" t="s">
        <v>20</v>
      </c>
      <c r="C73" s="247"/>
      <c r="D73" s="1170">
        <f>E73+F73+G73+H73+I73+J73+K73+L73</f>
        <v>0</v>
      </c>
      <c r="E73" s="265"/>
      <c r="F73" s="46"/>
      <c r="G73" s="46"/>
      <c r="H73" s="46"/>
      <c r="I73" s="46"/>
      <c r="J73" s="46"/>
      <c r="K73" s="46"/>
      <c r="L73" s="46"/>
      <c r="M73" s="796">
        <f>SUM(F73:K73)</f>
        <v>0</v>
      </c>
      <c r="N73" s="796">
        <f>SUM(G73:L73)</f>
        <v>0</v>
      </c>
      <c r="O73" s="3319"/>
    </row>
    <row r="74" spans="1:19" ht="12" hidden="1" customHeight="1">
      <c r="A74" s="3386"/>
      <c r="B74" s="182" t="s">
        <v>21</v>
      </c>
      <c r="C74" s="88"/>
      <c r="D74" s="97">
        <f t="shared" ref="D74" si="68">+D77+D75</f>
        <v>0</v>
      </c>
      <c r="E74" s="97">
        <f>+E77+E75</f>
        <v>0</v>
      </c>
      <c r="F74" s="97"/>
      <c r="G74" s="97"/>
      <c r="H74" s="97"/>
      <c r="I74" s="97"/>
      <c r="J74" s="97"/>
      <c r="K74" s="97"/>
      <c r="L74" s="97"/>
      <c r="M74" s="3366" t="s">
        <v>22</v>
      </c>
      <c r="N74" s="3366" t="s">
        <v>22</v>
      </c>
      <c r="O74" s="3421" t="s">
        <v>225</v>
      </c>
      <c r="P74" s="2291"/>
    </row>
    <row r="75" spans="1:19" ht="12" hidden="1" customHeight="1">
      <c r="A75" s="3386"/>
      <c r="B75" s="698" t="s">
        <v>23</v>
      </c>
      <c r="C75" s="3346" t="s">
        <v>78</v>
      </c>
      <c r="D75" s="47">
        <f t="shared" ref="D75:E75" si="69">+D76</f>
        <v>0</v>
      </c>
      <c r="E75" s="47">
        <f t="shared" si="69"/>
        <v>0</v>
      </c>
      <c r="F75" s="47"/>
      <c r="G75" s="47"/>
      <c r="H75" s="47"/>
      <c r="I75" s="47"/>
      <c r="J75" s="47"/>
      <c r="K75" s="47"/>
      <c r="L75" s="47"/>
      <c r="M75" s="3366"/>
      <c r="N75" s="3366"/>
      <c r="O75" s="3318"/>
    </row>
    <row r="76" spans="1:19" ht="12" hidden="1" customHeight="1">
      <c r="A76" s="3386"/>
      <c r="B76" s="616" t="s">
        <v>17</v>
      </c>
      <c r="C76" s="3347"/>
      <c r="D76" s="235">
        <f>E76+F76+G76+H76+I76+J76+K76+L76</f>
        <v>0</v>
      </c>
      <c r="E76" s="265"/>
      <c r="F76" s="52"/>
      <c r="G76" s="52"/>
      <c r="H76" s="52"/>
      <c r="I76" s="52"/>
      <c r="J76" s="52"/>
      <c r="K76" s="52"/>
      <c r="L76" s="52"/>
      <c r="M76" s="3366"/>
      <c r="N76" s="3366"/>
      <c r="O76" s="3318"/>
    </row>
    <row r="77" spans="1:19" ht="12" hidden="1" customHeight="1">
      <c r="A77" s="3386"/>
      <c r="B77" s="699" t="s">
        <v>18</v>
      </c>
      <c r="C77" s="3347"/>
      <c r="D77" s="615">
        <f>+D78</f>
        <v>0</v>
      </c>
      <c r="E77" s="615">
        <f t="shared" ref="E77" si="70">+E78</f>
        <v>0</v>
      </c>
      <c r="F77" s="615"/>
      <c r="G77" s="615"/>
      <c r="H77" s="615"/>
      <c r="I77" s="615"/>
      <c r="J77" s="615"/>
      <c r="K77" s="615"/>
      <c r="L77" s="615"/>
      <c r="M77" s="3366"/>
      <c r="N77" s="3366"/>
      <c r="O77" s="3318"/>
    </row>
    <row r="78" spans="1:19" ht="12" hidden="1" customHeight="1" thickBot="1">
      <c r="A78" s="3387"/>
      <c r="B78" s="74" t="s">
        <v>20</v>
      </c>
      <c r="C78" s="3391"/>
      <c r="D78" s="235">
        <f>E78+F78+G78+H78+I78+J78+K78+L78</f>
        <v>0</v>
      </c>
      <c r="E78" s="265"/>
      <c r="F78" s="86"/>
      <c r="G78" s="86"/>
      <c r="H78" s="86"/>
      <c r="I78" s="86"/>
      <c r="J78" s="86"/>
      <c r="K78" s="86"/>
      <c r="L78" s="86"/>
      <c r="M78" s="3367"/>
      <c r="N78" s="3367"/>
      <c r="O78" s="3422"/>
    </row>
    <row r="79" spans="1:19" ht="23.25" customHeight="1">
      <c r="A79" s="3385" t="s">
        <v>55</v>
      </c>
      <c r="B79" s="3185" t="s">
        <v>778</v>
      </c>
      <c r="C79" s="56" t="s">
        <v>74</v>
      </c>
      <c r="D79" s="1069"/>
      <c r="E79" s="2646"/>
      <c r="F79" s="2646"/>
      <c r="G79" s="2646"/>
      <c r="H79" s="2646"/>
      <c r="I79" s="2646"/>
      <c r="J79" s="2646"/>
      <c r="K79" s="2646"/>
      <c r="L79" s="2647"/>
      <c r="M79" s="43"/>
      <c r="N79" s="43"/>
      <c r="O79" s="87"/>
    </row>
    <row r="80" spans="1:19">
      <c r="A80" s="3386"/>
      <c r="B80" s="815" t="s">
        <v>10</v>
      </c>
      <c r="C80" s="426"/>
      <c r="D80" s="795">
        <f>+D81+D84</f>
        <v>21340776</v>
      </c>
      <c r="E80" s="795">
        <f>+E81+E84</f>
        <v>21203332</v>
      </c>
      <c r="F80" s="795">
        <f>+F81+F84</f>
        <v>110369</v>
      </c>
      <c r="G80" s="795">
        <f>+G81+G84</f>
        <v>27075</v>
      </c>
      <c r="H80" s="795"/>
      <c r="I80" s="795"/>
      <c r="J80" s="795"/>
      <c r="K80" s="795"/>
      <c r="L80" s="795"/>
      <c r="M80" s="1802">
        <f>+M81+M84</f>
        <v>137444</v>
      </c>
      <c r="N80" s="1802">
        <f>+N81+N84</f>
        <v>27075</v>
      </c>
      <c r="O80" s="3318" t="s">
        <v>79</v>
      </c>
      <c r="P80" s="2291"/>
    </row>
    <row r="81" spans="1:16" ht="12.75" customHeight="1">
      <c r="A81" s="3386"/>
      <c r="B81" s="508" t="s">
        <v>23</v>
      </c>
      <c r="C81" s="3344" t="s">
        <v>77</v>
      </c>
      <c r="D81" s="1080">
        <f>+D82+D83</f>
        <v>8880242</v>
      </c>
      <c r="E81" s="1080">
        <f>+E82+E83</f>
        <v>8742798</v>
      </c>
      <c r="F81" s="1080">
        <f>+F82+F83</f>
        <v>110369</v>
      </c>
      <c r="G81" s="1080">
        <f>+G82+G83</f>
        <v>27075</v>
      </c>
      <c r="H81" s="1080"/>
      <c r="I81" s="1080"/>
      <c r="J81" s="1080"/>
      <c r="K81" s="1080"/>
      <c r="L81" s="1080"/>
      <c r="M81" s="515">
        <f>M82</f>
        <v>137444</v>
      </c>
      <c r="N81" s="515">
        <f>N82</f>
        <v>27075</v>
      </c>
      <c r="O81" s="3318"/>
      <c r="P81" s="2291"/>
    </row>
    <row r="82" spans="1:16" ht="10.5" customHeight="1">
      <c r="A82" s="3386"/>
      <c r="B82" s="589" t="s">
        <v>12</v>
      </c>
      <c r="C82" s="3347"/>
      <c r="D82" s="773">
        <f>E82+F82+G82+H82+I82+J82+K82+L82</f>
        <v>1390378</v>
      </c>
      <c r="E82" s="788">
        <f>1252934</f>
        <v>1252934</v>
      </c>
      <c r="F82" s="1818">
        <f>89000+111000-62631-27000</f>
        <v>110369</v>
      </c>
      <c r="G82" s="1818">
        <f>27000+100-25</f>
        <v>27075</v>
      </c>
      <c r="H82" s="578"/>
      <c r="I82" s="578"/>
      <c r="J82" s="578"/>
      <c r="K82" s="578"/>
      <c r="L82" s="578"/>
      <c r="M82" s="796">
        <f>SUM(F82:K82)</f>
        <v>137444</v>
      </c>
      <c r="N82" s="796">
        <f>SUM(G82:L82)</f>
        <v>27075</v>
      </c>
      <c r="O82" s="3318"/>
    </row>
    <row r="83" spans="1:16" ht="12" customHeight="1">
      <c r="A83" s="3386"/>
      <c r="B83" s="90" t="s">
        <v>15</v>
      </c>
      <c r="C83" s="3347"/>
      <c r="D83" s="773">
        <f>E83+F83+G83+H83+I83+J83+K83+L83</f>
        <v>7489864</v>
      </c>
      <c r="E83" s="788">
        <f>7489864</f>
        <v>7489864</v>
      </c>
      <c r="F83" s="1818"/>
      <c r="G83" s="578"/>
      <c r="H83" s="578"/>
      <c r="I83" s="578"/>
      <c r="J83" s="578"/>
      <c r="K83" s="578"/>
      <c r="L83" s="578"/>
      <c r="M83" s="796">
        <f>SUM(F83:K83)</f>
        <v>0</v>
      </c>
      <c r="N83" s="2547">
        <f>SUM(G83:L83)</f>
        <v>0</v>
      </c>
      <c r="O83" s="3438"/>
    </row>
    <row r="84" spans="1:16" ht="12" customHeight="1">
      <c r="A84" s="3386"/>
      <c r="B84" s="798" t="s">
        <v>18</v>
      </c>
      <c r="C84" s="3347"/>
      <c r="D84" s="516">
        <f>+D85</f>
        <v>12460534</v>
      </c>
      <c r="E84" s="1810">
        <f>+E85</f>
        <v>12460534</v>
      </c>
      <c r="F84" s="1810"/>
      <c r="G84" s="1810"/>
      <c r="H84" s="516"/>
      <c r="I84" s="516"/>
      <c r="J84" s="516"/>
      <c r="K84" s="516"/>
      <c r="L84" s="516"/>
      <c r="M84" s="515">
        <f>+M85</f>
        <v>0</v>
      </c>
      <c r="N84" s="2537">
        <f>+N85</f>
        <v>0</v>
      </c>
      <c r="O84" s="3439"/>
    </row>
    <row r="85" spans="1:16" ht="11.25" customHeight="1">
      <c r="A85" s="3386"/>
      <c r="B85" s="589" t="s">
        <v>20</v>
      </c>
      <c r="C85" s="3348"/>
      <c r="D85" s="1815">
        <f>E85+F85+G85+H85+I85+J85+K85+L85</f>
        <v>12460534</v>
      </c>
      <c r="E85" s="788">
        <f>12460534</f>
        <v>12460534</v>
      </c>
      <c r="F85" s="578"/>
      <c r="G85" s="578"/>
      <c r="H85" s="578"/>
      <c r="I85" s="578"/>
      <c r="J85" s="578"/>
      <c r="K85" s="578"/>
      <c r="L85" s="578"/>
      <c r="M85" s="796">
        <f>SUM(F85:K85)</f>
        <v>0</v>
      </c>
      <c r="N85" s="2547">
        <f>SUM(G85:L85)</f>
        <v>0</v>
      </c>
      <c r="O85" s="3440"/>
    </row>
    <row r="86" spans="1:16">
      <c r="A86" s="3394"/>
      <c r="B86" s="80" t="s">
        <v>21</v>
      </c>
      <c r="C86" s="88"/>
      <c r="D86" s="97">
        <f>+D87+D89</f>
        <v>19950398</v>
      </c>
      <c r="E86" s="97">
        <f>+E87+E89</f>
        <v>19950398</v>
      </c>
      <c r="F86" s="97"/>
      <c r="G86" s="97"/>
      <c r="H86" s="97"/>
      <c r="I86" s="97"/>
      <c r="J86" s="97"/>
      <c r="K86" s="97"/>
      <c r="L86" s="97"/>
      <c r="M86" s="3426" t="s">
        <v>22</v>
      </c>
      <c r="N86" s="3464" t="s">
        <v>22</v>
      </c>
      <c r="O86" s="3441" t="s">
        <v>94</v>
      </c>
      <c r="P86" s="2291"/>
    </row>
    <row r="87" spans="1:16" ht="13.5" customHeight="1">
      <c r="A87" s="3394"/>
      <c r="B87" s="800" t="s">
        <v>23</v>
      </c>
      <c r="C87" s="3344" t="s">
        <v>78</v>
      </c>
      <c r="D87" s="50">
        <f>+D88</f>
        <v>7489864</v>
      </c>
      <c r="E87" s="50">
        <f t="shared" ref="E87" si="71">+E88</f>
        <v>7489864</v>
      </c>
      <c r="F87" s="50"/>
      <c r="G87" s="50"/>
      <c r="H87" s="50"/>
      <c r="I87" s="50"/>
      <c r="J87" s="50"/>
      <c r="K87" s="50"/>
      <c r="L87" s="50"/>
      <c r="M87" s="3427"/>
      <c r="N87" s="3465"/>
      <c r="O87" s="3442"/>
    </row>
    <row r="88" spans="1:16" ht="11.25" customHeight="1">
      <c r="A88" s="3394"/>
      <c r="B88" s="90" t="s">
        <v>15</v>
      </c>
      <c r="C88" s="3347"/>
      <c r="D88" s="773">
        <f>E88+F88+G88+H88+I88+J88+K88+L88</f>
        <v>7489864</v>
      </c>
      <c r="E88" s="788">
        <f>7489864</f>
        <v>7489864</v>
      </c>
      <c r="F88" s="1808"/>
      <c r="G88" s="1808"/>
      <c r="H88" s="1808"/>
      <c r="I88" s="1808"/>
      <c r="J88" s="1808"/>
      <c r="K88" s="1808"/>
      <c r="L88" s="1808"/>
      <c r="M88" s="3427"/>
      <c r="N88" s="3465"/>
      <c r="O88" s="3442"/>
    </row>
    <row r="89" spans="1:16" s="3183" customFormat="1" ht="12.75" customHeight="1" thickBot="1">
      <c r="A89" s="3394"/>
      <c r="B89" s="798" t="s">
        <v>18</v>
      </c>
      <c r="C89" s="3347"/>
      <c r="D89" s="714">
        <f t="shared" ref="D89:E89" si="72">+D90</f>
        <v>12460534</v>
      </c>
      <c r="E89" s="1812">
        <f t="shared" si="72"/>
        <v>12460534</v>
      </c>
      <c r="F89" s="1812"/>
      <c r="G89" s="1812"/>
      <c r="H89" s="1812"/>
      <c r="I89" s="1812"/>
      <c r="J89" s="1812"/>
      <c r="K89" s="1812"/>
      <c r="L89" s="1812"/>
      <c r="M89" s="3427"/>
      <c r="N89" s="3465"/>
      <c r="O89" s="3443"/>
    </row>
    <row r="90" spans="1:16" ht="12.75" customHeight="1" thickBot="1">
      <c r="A90" s="3394"/>
      <c r="B90" s="74" t="s">
        <v>20</v>
      </c>
      <c r="C90" s="3391"/>
      <c r="D90" s="1666">
        <f>E90+F90+G90+H90+I90+J90+K90+L90</f>
        <v>12460534</v>
      </c>
      <c r="E90" s="1666">
        <f>12460534</f>
        <v>12460534</v>
      </c>
      <c r="F90" s="55"/>
      <c r="G90" s="55"/>
      <c r="H90" s="55"/>
      <c r="I90" s="55"/>
      <c r="J90" s="55"/>
      <c r="K90" s="55"/>
      <c r="L90" s="55"/>
      <c r="M90" s="3428"/>
      <c r="N90" s="3466"/>
      <c r="O90" s="3444"/>
    </row>
    <row r="91" spans="1:16" ht="27.75" hidden="1" customHeight="1">
      <c r="A91" s="3386"/>
      <c r="B91" s="366" t="s">
        <v>568</v>
      </c>
      <c r="C91" s="56" t="s">
        <v>74</v>
      </c>
      <c r="D91" s="701"/>
      <c r="E91" s="92"/>
      <c r="F91" s="93"/>
      <c r="G91" s="93"/>
      <c r="H91" s="93"/>
      <c r="I91" s="93"/>
      <c r="J91" s="93"/>
      <c r="K91" s="93"/>
      <c r="L91" s="93"/>
      <c r="M91" s="43"/>
      <c r="N91" s="43"/>
      <c r="O91" s="2557"/>
      <c r="P91" s="2291"/>
    </row>
    <row r="92" spans="1:16" ht="12" hidden="1" customHeight="1">
      <c r="A92" s="3386"/>
      <c r="B92" s="410" t="s">
        <v>10</v>
      </c>
      <c r="C92" s="1284"/>
      <c r="D92" s="1298">
        <f>+D93+D96</f>
        <v>0</v>
      </c>
      <c r="E92" s="1298">
        <f>+E93+E96</f>
        <v>0</v>
      </c>
      <c r="F92" s="1298">
        <f>+F93+F96</f>
        <v>0</v>
      </c>
      <c r="G92" s="1298"/>
      <c r="H92" s="1298"/>
      <c r="I92" s="1298"/>
      <c r="J92" s="1298"/>
      <c r="K92" s="1298"/>
      <c r="L92" s="1298"/>
      <c r="M92" s="1286">
        <f>+M93+M96</f>
        <v>0</v>
      </c>
      <c r="N92" s="2539">
        <f>+N93+N96</f>
        <v>0</v>
      </c>
      <c r="O92" s="3452" t="s">
        <v>79</v>
      </c>
    </row>
    <row r="93" spans="1:16" ht="13.5" hidden="1" customHeight="1">
      <c r="A93" s="3387"/>
      <c r="B93" s="535" t="s">
        <v>23</v>
      </c>
      <c r="C93" s="3351" t="s">
        <v>77</v>
      </c>
      <c r="D93" s="1299">
        <f>+D94+D95</f>
        <v>0</v>
      </c>
      <c r="E93" s="1299">
        <f>+E94+E95</f>
        <v>0</v>
      </c>
      <c r="F93" s="1299">
        <f>+F94+F95</f>
        <v>0</v>
      </c>
      <c r="G93" s="1299"/>
      <c r="H93" s="1299"/>
      <c r="I93" s="1299"/>
      <c r="J93" s="1299"/>
      <c r="K93" s="1299"/>
      <c r="L93" s="1299"/>
      <c r="M93" s="1289">
        <f>+M94+M95</f>
        <v>0</v>
      </c>
      <c r="N93" s="229">
        <f>+N94+N95</f>
        <v>0</v>
      </c>
      <c r="O93" s="3453"/>
      <c r="P93" s="2291"/>
    </row>
    <row r="94" spans="1:16" ht="11.25" hidden="1" customHeight="1">
      <c r="A94" s="3392"/>
      <c r="B94" s="589" t="s">
        <v>12</v>
      </c>
      <c r="C94" s="3352"/>
      <c r="D94" s="1216">
        <f>E94+F94+G94+H94+I94+J94+K94+L94</f>
        <v>0</v>
      </c>
      <c r="E94" s="1262"/>
      <c r="F94" s="1300"/>
      <c r="G94" s="1301"/>
      <c r="H94" s="1301"/>
      <c r="I94" s="1301"/>
      <c r="J94" s="1301"/>
      <c r="K94" s="1301"/>
      <c r="L94" s="1301"/>
      <c r="M94" s="796">
        <f>SUM(F94:K94)</f>
        <v>0</v>
      </c>
      <c r="N94" s="2399">
        <f>SUM(G94:L94)</f>
        <v>0</v>
      </c>
      <c r="O94" s="3454"/>
      <c r="P94" s="2291"/>
    </row>
    <row r="95" spans="1:16" ht="11.25" hidden="1" customHeight="1">
      <c r="A95" s="3392"/>
      <c r="B95" s="589" t="s">
        <v>15</v>
      </c>
      <c r="C95" s="3352"/>
      <c r="D95" s="1216">
        <f>E95+F95+G95+H95+I95+J95+K95+L95</f>
        <v>0</v>
      </c>
      <c r="E95" s="1262"/>
      <c r="F95" s="1301"/>
      <c r="G95" s="1301"/>
      <c r="H95" s="1301"/>
      <c r="I95" s="1301"/>
      <c r="J95" s="1301"/>
      <c r="K95" s="1301"/>
      <c r="L95" s="1301"/>
      <c r="M95" s="796">
        <f>SUM(F95:K95)</f>
        <v>0</v>
      </c>
      <c r="N95" s="2399">
        <f>SUM(G95:L95)</f>
        <v>0</v>
      </c>
      <c r="O95" s="3454"/>
      <c r="P95" s="2291"/>
    </row>
    <row r="96" spans="1:16" ht="11.25" hidden="1" customHeight="1">
      <c r="A96" s="3392"/>
      <c r="B96" s="537" t="s">
        <v>18</v>
      </c>
      <c r="C96" s="3352"/>
      <c r="D96" s="1288">
        <f>+D97</f>
        <v>0</v>
      </c>
      <c r="E96" s="1288">
        <f t="shared" ref="E96" si="73">+E97</f>
        <v>0</v>
      </c>
      <c r="F96" s="1288"/>
      <c r="G96" s="1288"/>
      <c r="H96" s="1288"/>
      <c r="I96" s="1288"/>
      <c r="J96" s="1288"/>
      <c r="K96" s="1288"/>
      <c r="L96" s="1288"/>
      <c r="M96" s="1289">
        <f>+M97</f>
        <v>0</v>
      </c>
      <c r="N96" s="229">
        <f>+N97</f>
        <v>0</v>
      </c>
      <c r="O96" s="3452"/>
    </row>
    <row r="97" spans="1:16" ht="11.25" hidden="1" customHeight="1">
      <c r="A97" s="3392"/>
      <c r="B97" s="1303" t="s">
        <v>20</v>
      </c>
      <c r="C97" s="3402"/>
      <c r="D97" s="1216">
        <f>E97+F97+G97+H97+I97+J97+K97+L97</f>
        <v>0</v>
      </c>
      <c r="E97" s="1262"/>
      <c r="F97" s="1291"/>
      <c r="G97" s="1291"/>
      <c r="H97" s="1291"/>
      <c r="I97" s="1291"/>
      <c r="J97" s="1291"/>
      <c r="K97" s="1291"/>
      <c r="L97" s="1291"/>
      <c r="M97" s="796">
        <f>SUM(F97:K97)</f>
        <v>0</v>
      </c>
      <c r="N97" s="2547">
        <f>SUM(G97:L97)</f>
        <v>0</v>
      </c>
      <c r="O97" s="3453"/>
    </row>
    <row r="98" spans="1:16" ht="11.25" hidden="1" customHeight="1">
      <c r="A98" s="3451"/>
      <c r="B98" s="2055" t="s">
        <v>21</v>
      </c>
      <c r="C98" s="2495"/>
      <c r="D98" s="1285">
        <f>+D101+D99</f>
        <v>0</v>
      </c>
      <c r="E98" s="1285">
        <f>+E101+E99</f>
        <v>0</v>
      </c>
      <c r="F98" s="1285"/>
      <c r="G98" s="1285"/>
      <c r="H98" s="1285"/>
      <c r="I98" s="1285"/>
      <c r="J98" s="1285"/>
      <c r="K98" s="1285"/>
      <c r="L98" s="1285"/>
      <c r="M98" s="3429" t="s">
        <v>22</v>
      </c>
      <c r="N98" s="3460" t="s">
        <v>22</v>
      </c>
      <c r="O98" s="3455" t="s">
        <v>94</v>
      </c>
    </row>
    <row r="99" spans="1:16" ht="13.5" hidden="1" customHeight="1">
      <c r="A99" s="3395"/>
      <c r="B99" s="1304" t="s">
        <v>23</v>
      </c>
      <c r="C99" s="3351" t="s">
        <v>78</v>
      </c>
      <c r="D99" s="50">
        <f>+D100</f>
        <v>0</v>
      </c>
      <c r="E99" s="50">
        <f t="shared" ref="E99" si="74">+E100</f>
        <v>0</v>
      </c>
      <c r="F99" s="50"/>
      <c r="G99" s="50"/>
      <c r="H99" s="50"/>
      <c r="I99" s="50"/>
      <c r="J99" s="50"/>
      <c r="K99" s="50"/>
      <c r="L99" s="50"/>
      <c r="M99" s="3430"/>
      <c r="N99" s="3461"/>
      <c r="O99" s="3443"/>
    </row>
    <row r="100" spans="1:16" ht="11.25" hidden="1" customHeight="1">
      <c r="A100" s="3393"/>
      <c r="B100" s="90" t="s">
        <v>15</v>
      </c>
      <c r="C100" s="3391"/>
      <c r="D100" s="1262">
        <f>E100+F100+G100+H100+I100+J100+K100+L100</f>
        <v>0</v>
      </c>
      <c r="E100" s="1262"/>
      <c r="F100" s="1863"/>
      <c r="G100" s="1863"/>
      <c r="H100" s="1863"/>
      <c r="I100" s="1863"/>
      <c r="J100" s="1863"/>
      <c r="K100" s="1863"/>
      <c r="L100" s="1863"/>
      <c r="M100" s="3431"/>
      <c r="N100" s="3461"/>
      <c r="O100" s="3456"/>
    </row>
    <row r="101" spans="1:16" s="3183" customFormat="1" ht="13.5" hidden="1" thickBot="1">
      <c r="A101" s="3393"/>
      <c r="B101" s="2500" t="s">
        <v>18</v>
      </c>
      <c r="C101" s="3459"/>
      <c r="D101" s="2510">
        <f>+D102</f>
        <v>0</v>
      </c>
      <c r="E101" s="2510">
        <f t="shared" ref="E101" si="75">+E102</f>
        <v>0</v>
      </c>
      <c r="F101" s="2510"/>
      <c r="G101" s="2510"/>
      <c r="H101" s="2510"/>
      <c r="I101" s="2510"/>
      <c r="J101" s="2510"/>
      <c r="K101" s="2510"/>
      <c r="L101" s="2510"/>
      <c r="M101" s="3432"/>
      <c r="N101" s="3462"/>
      <c r="O101" s="3457"/>
    </row>
    <row r="102" spans="1:16" ht="13.5" hidden="1" thickBot="1">
      <c r="A102" s="3394"/>
      <c r="B102" s="2444" t="s">
        <v>20</v>
      </c>
      <c r="C102" s="3347"/>
      <c r="D102" s="825">
        <f>E102+F102+G102+H102+I102+J102+K102+L102</f>
        <v>0</v>
      </c>
      <c r="E102" s="825"/>
      <c r="F102" s="1839"/>
      <c r="G102" s="1839"/>
      <c r="H102" s="1839"/>
      <c r="I102" s="1839"/>
      <c r="J102" s="1839"/>
      <c r="K102" s="1839"/>
      <c r="L102" s="1839"/>
      <c r="M102" s="3430"/>
      <c r="N102" s="3463"/>
      <c r="O102" s="3458"/>
    </row>
    <row r="103" spans="1:16" ht="26.25" hidden="1" customHeight="1">
      <c r="A103" s="3445"/>
      <c r="B103" s="2475" t="s">
        <v>569</v>
      </c>
      <c r="C103" s="2476" t="s">
        <v>74</v>
      </c>
      <c r="D103" s="2477"/>
      <c r="E103" s="2478"/>
      <c r="F103" s="2478"/>
      <c r="G103" s="2478"/>
      <c r="H103" s="2478"/>
      <c r="I103" s="2478"/>
      <c r="J103" s="2478"/>
      <c r="K103" s="2478"/>
      <c r="L103" s="2478"/>
      <c r="M103" s="2479"/>
      <c r="N103" s="2479"/>
      <c r="O103" s="2480"/>
    </row>
    <row r="104" spans="1:16" ht="13.5" hidden="1" customHeight="1">
      <c r="A104" s="3445"/>
      <c r="B104" s="2474" t="s">
        <v>10</v>
      </c>
      <c r="C104" s="2462"/>
      <c r="D104" s="2481">
        <f>+D105+D107</f>
        <v>0</v>
      </c>
      <c r="E104" s="2481">
        <f t="shared" ref="E104" si="76">+E105+E107</f>
        <v>0</v>
      </c>
      <c r="F104" s="2481">
        <f>+F105+F107</f>
        <v>0</v>
      </c>
      <c r="G104" s="2481"/>
      <c r="H104" s="2481"/>
      <c r="I104" s="2481"/>
      <c r="J104" s="2481"/>
      <c r="K104" s="2481"/>
      <c r="L104" s="2481"/>
      <c r="M104" s="2482">
        <f>+M105+M107</f>
        <v>0</v>
      </c>
      <c r="N104" s="2482">
        <f>+N105+N107</f>
        <v>0</v>
      </c>
      <c r="O104" s="3446" t="s">
        <v>79</v>
      </c>
      <c r="P104" s="2291"/>
    </row>
    <row r="105" spans="1:16" ht="13.5" hidden="1" customHeight="1">
      <c r="A105" s="3445"/>
      <c r="B105" s="2535" t="s">
        <v>23</v>
      </c>
      <c r="C105" s="3449" t="s">
        <v>77</v>
      </c>
      <c r="D105" s="231">
        <f>+D106</f>
        <v>0</v>
      </c>
      <c r="E105" s="231">
        <f t="shared" ref="E105:F105" si="77">+E106</f>
        <v>0</v>
      </c>
      <c r="F105" s="231">
        <f t="shared" si="77"/>
        <v>0</v>
      </c>
      <c r="G105" s="231"/>
      <c r="H105" s="231"/>
      <c r="I105" s="231"/>
      <c r="J105" s="231"/>
      <c r="K105" s="231"/>
      <c r="L105" s="231"/>
      <c r="M105" s="66">
        <f>+M106</f>
        <v>0</v>
      </c>
      <c r="N105" s="66">
        <f>+N106</f>
        <v>0</v>
      </c>
      <c r="O105" s="3446"/>
      <c r="P105" s="2291"/>
    </row>
    <row r="106" spans="1:16" ht="13.5" hidden="1" customHeight="1">
      <c r="A106" s="3387"/>
      <c r="B106" s="2523" t="s">
        <v>12</v>
      </c>
      <c r="C106" s="3352"/>
      <c r="D106" s="825">
        <f>E106+F106+G106+H106+I106+J106+K106+L106</f>
        <v>0</v>
      </c>
      <c r="E106" s="826"/>
      <c r="F106" s="196"/>
      <c r="G106" s="196"/>
      <c r="H106" s="814"/>
      <c r="I106" s="814"/>
      <c r="J106" s="814"/>
      <c r="K106" s="814"/>
      <c r="L106" s="814"/>
      <c r="M106" s="2524">
        <f>SUM(F106:K106)</f>
        <v>0</v>
      </c>
      <c r="N106" s="2525">
        <f>SUM(G106:L106)</f>
        <v>0</v>
      </c>
      <c r="O106" s="3447"/>
    </row>
    <row r="107" spans="1:16" ht="13.5" hidden="1" customHeight="1">
      <c r="A107" s="3392"/>
      <c r="B107" s="537" t="s">
        <v>18</v>
      </c>
      <c r="C107" s="3352"/>
      <c r="D107" s="1288">
        <f>+D108</f>
        <v>0</v>
      </c>
      <c r="E107" s="1288">
        <f t="shared" ref="E107" si="78">+E108</f>
        <v>0</v>
      </c>
      <c r="F107" s="1288"/>
      <c r="G107" s="1288"/>
      <c r="H107" s="1288"/>
      <c r="I107" s="1288"/>
      <c r="J107" s="1288"/>
      <c r="K107" s="1288"/>
      <c r="L107" s="1288"/>
      <c r="M107" s="1585">
        <f>+M108</f>
        <v>0</v>
      </c>
      <c r="N107" s="2411">
        <f>+N108</f>
        <v>0</v>
      </c>
      <c r="O107" s="3448"/>
    </row>
    <row r="108" spans="1:16" ht="13.5" hidden="1" customHeight="1">
      <c r="A108" s="3392"/>
      <c r="B108" s="543" t="s">
        <v>20</v>
      </c>
      <c r="C108" s="3352"/>
      <c r="D108" s="773">
        <f>E108+F108+G108+H108+I108+J108+K108+L108</f>
        <v>0</v>
      </c>
      <c r="E108" s="1262"/>
      <c r="F108" s="1297"/>
      <c r="G108" s="1297"/>
      <c r="H108" s="1301"/>
      <c r="I108" s="1301"/>
      <c r="J108" s="1301"/>
      <c r="K108" s="1301"/>
      <c r="L108" s="1301"/>
      <c r="M108" s="1302">
        <f>SUM(F108:K108)</f>
        <v>0</v>
      </c>
      <c r="N108" s="2399">
        <f>SUM(G108:L108)</f>
        <v>0</v>
      </c>
      <c r="O108" s="3448"/>
    </row>
    <row r="109" spans="1:16" ht="12.75" hidden="1" customHeight="1">
      <c r="A109" s="3393"/>
      <c r="B109" s="531" t="s">
        <v>21</v>
      </c>
      <c r="C109" s="1284"/>
      <c r="D109" s="1285">
        <f>+D110</f>
        <v>0</v>
      </c>
      <c r="E109" s="1285">
        <f t="shared" ref="E109:E110" si="79">+E110</f>
        <v>0</v>
      </c>
      <c r="F109" s="1285"/>
      <c r="G109" s="1285"/>
      <c r="H109" s="1285"/>
      <c r="I109" s="1285"/>
      <c r="J109" s="1285"/>
      <c r="K109" s="1285"/>
      <c r="L109" s="1285"/>
      <c r="M109" s="3321" t="s">
        <v>22</v>
      </c>
      <c r="N109" s="3433" t="s">
        <v>22</v>
      </c>
      <c r="O109" s="3450" t="s">
        <v>94</v>
      </c>
      <c r="P109" s="2291"/>
    </row>
    <row r="110" spans="1:16" s="3183" customFormat="1" ht="12.75" hidden="1" customHeight="1">
      <c r="A110" s="3393"/>
      <c r="B110" s="798" t="s">
        <v>18</v>
      </c>
      <c r="C110" s="3351" t="s">
        <v>78</v>
      </c>
      <c r="D110" s="1313">
        <f>+D111</f>
        <v>0</v>
      </c>
      <c r="E110" s="1306">
        <f t="shared" si="79"/>
        <v>0</v>
      </c>
      <c r="F110" s="1313"/>
      <c r="G110" s="1306"/>
      <c r="H110" s="1306"/>
      <c r="I110" s="1306"/>
      <c r="J110" s="1306"/>
      <c r="K110" s="1306"/>
      <c r="L110" s="1306"/>
      <c r="M110" s="3322"/>
      <c r="N110" s="3434"/>
      <c r="O110" s="3450"/>
    </row>
    <row r="111" spans="1:16" s="3183" customFormat="1" ht="12.75" hidden="1" customHeight="1" thickBot="1">
      <c r="A111" s="3393"/>
      <c r="B111" s="663" t="s">
        <v>20</v>
      </c>
      <c r="C111" s="3353"/>
      <c r="D111" s="1955">
        <f>E111+F111+G111+H111+I111+J111+K111+L111</f>
        <v>0</v>
      </c>
      <c r="E111" s="1955"/>
      <c r="F111" s="1173"/>
      <c r="G111" s="407"/>
      <c r="H111" s="407"/>
      <c r="I111" s="407"/>
      <c r="J111" s="407"/>
      <c r="K111" s="407"/>
      <c r="L111" s="407"/>
      <c r="M111" s="3323"/>
      <c r="N111" s="3435"/>
      <c r="O111" s="3450"/>
    </row>
    <row r="112" spans="1:16" s="3183" customFormat="1" ht="16.5" customHeight="1" thickBot="1">
      <c r="A112" s="2942"/>
      <c r="B112" s="262" t="s">
        <v>679</v>
      </c>
      <c r="C112" s="389"/>
      <c r="D112" s="704"/>
      <c r="E112" s="1210"/>
      <c r="F112" s="705"/>
      <c r="G112" s="705"/>
      <c r="H112" s="705"/>
      <c r="I112" s="705"/>
      <c r="J112" s="705"/>
      <c r="K112" s="705"/>
      <c r="L112" s="705"/>
      <c r="M112" s="390"/>
      <c r="N112" s="390"/>
      <c r="O112" s="2420"/>
    </row>
    <row r="113" spans="1:17" s="3183" customFormat="1" ht="40.5" hidden="1" customHeight="1">
      <c r="A113" s="3392"/>
      <c r="B113" s="366" t="s">
        <v>570</v>
      </c>
      <c r="C113" s="56"/>
      <c r="D113" s="57"/>
      <c r="E113" s="42"/>
      <c r="F113" s="42"/>
      <c r="G113" s="42"/>
      <c r="H113" s="42"/>
      <c r="I113" s="42"/>
      <c r="J113" s="42"/>
      <c r="K113" s="42"/>
      <c r="L113" s="42"/>
      <c r="M113" s="43"/>
      <c r="N113" s="43"/>
      <c r="O113" s="2421"/>
      <c r="P113" s="2287"/>
    </row>
    <row r="114" spans="1:17" s="3183" customFormat="1" ht="13.5" hidden="1" customHeight="1">
      <c r="A114" s="3385"/>
      <c r="B114" s="1283" t="s">
        <v>10</v>
      </c>
      <c r="C114" s="2029" t="s">
        <v>74</v>
      </c>
      <c r="D114" s="1298">
        <f>+D115+D119</f>
        <v>0</v>
      </c>
      <c r="E114" s="1339">
        <f t="shared" ref="E114" si="80">+E115+E119</f>
        <v>0</v>
      </c>
      <c r="F114" s="1339">
        <f t="shared" ref="F114" si="81">+F115+F119</f>
        <v>0</v>
      </c>
      <c r="G114" s="1339"/>
      <c r="H114" s="1339"/>
      <c r="I114" s="1339"/>
      <c r="J114" s="1339"/>
      <c r="K114" s="1339"/>
      <c r="L114" s="1339"/>
      <c r="M114" s="1340">
        <f>M115+M119</f>
        <v>0</v>
      </c>
      <c r="N114" s="2412">
        <f>N115+N119</f>
        <v>0</v>
      </c>
      <c r="O114" s="3437" t="s">
        <v>79</v>
      </c>
      <c r="P114" s="3405" t="s">
        <v>445</v>
      </c>
    </row>
    <row r="115" spans="1:17" s="3183" customFormat="1" ht="14.25" hidden="1" customHeight="1">
      <c r="A115" s="3386"/>
      <c r="B115" s="1292" t="s">
        <v>23</v>
      </c>
      <c r="C115" s="3351" t="s">
        <v>77</v>
      </c>
      <c r="D115" s="1299">
        <f>+D116+D117+D118</f>
        <v>0</v>
      </c>
      <c r="E115" s="1299">
        <f t="shared" ref="E115" si="82">+E116+E117+E118</f>
        <v>0</v>
      </c>
      <c r="F115" s="1299">
        <f t="shared" ref="F115" si="83">+F116+F117+F118</f>
        <v>0</v>
      </c>
      <c r="G115" s="1299"/>
      <c r="H115" s="1299"/>
      <c r="I115" s="1299"/>
      <c r="J115" s="1299"/>
      <c r="K115" s="1299"/>
      <c r="L115" s="1299"/>
      <c r="M115" s="1325">
        <f>M116</f>
        <v>0</v>
      </c>
      <c r="N115" s="1325">
        <f>N116</f>
        <v>0</v>
      </c>
      <c r="O115" s="3318"/>
      <c r="P115" s="3405"/>
    </row>
    <row r="116" spans="1:17" s="3183" customFormat="1" ht="12.75" hidden="1" customHeight="1">
      <c r="A116" s="3386"/>
      <c r="B116" s="1372" t="s">
        <v>12</v>
      </c>
      <c r="C116" s="3347"/>
      <c r="D116" s="773">
        <f>E116+F116+G116+H116+I116+J116+K116+L116</f>
        <v>0</v>
      </c>
      <c r="E116" s="1262"/>
      <c r="F116" s="1832"/>
      <c r="G116" s="1832"/>
      <c r="H116" s="1832"/>
      <c r="I116" s="1832"/>
      <c r="J116" s="1832"/>
      <c r="K116" s="1832"/>
      <c r="L116" s="1832"/>
      <c r="M116" s="1302">
        <f>SUM(F116:K116)</f>
        <v>0</v>
      </c>
      <c r="N116" s="1302">
        <f>SUM(G116:L116)</f>
        <v>0</v>
      </c>
      <c r="O116" s="3318"/>
      <c r="P116" s="3405"/>
    </row>
    <row r="117" spans="1:17" s="3183" customFormat="1" ht="14.25" hidden="1" customHeight="1">
      <c r="A117" s="3386"/>
      <c r="B117" s="1315" t="s">
        <v>17</v>
      </c>
      <c r="C117" s="3352"/>
      <c r="D117" s="773">
        <f>SUM(E117:I117)</f>
        <v>0</v>
      </c>
      <c r="E117" s="1319"/>
      <c r="F117" s="806"/>
      <c r="G117" s="1319"/>
      <c r="H117" s="1319"/>
      <c r="I117" s="1319"/>
      <c r="J117" s="1319"/>
      <c r="K117" s="1319"/>
      <c r="L117" s="1319"/>
      <c r="M117" s="404"/>
      <c r="N117" s="404"/>
      <c r="O117" s="3318"/>
      <c r="P117" s="3405"/>
    </row>
    <row r="118" spans="1:17" s="3183" customFormat="1" ht="14.25" hidden="1" customHeight="1">
      <c r="A118" s="3386"/>
      <c r="B118" s="1315" t="s">
        <v>15</v>
      </c>
      <c r="C118" s="3352"/>
      <c r="D118" s="773">
        <f>SUM(E118:I118)</f>
        <v>0</v>
      </c>
      <c r="E118" s="1319"/>
      <c r="F118" s="806"/>
      <c r="G118" s="1319"/>
      <c r="H118" s="1319"/>
      <c r="I118" s="1319"/>
      <c r="J118" s="1319"/>
      <c r="K118" s="1319"/>
      <c r="L118" s="1319"/>
      <c r="M118" s="404"/>
      <c r="N118" s="404"/>
      <c r="O118" s="3318"/>
      <c r="P118" s="3405"/>
    </row>
    <row r="119" spans="1:17" s="3183" customFormat="1" ht="14.25" hidden="1" customHeight="1">
      <c r="A119" s="3386"/>
      <c r="B119" s="1322" t="s">
        <v>18</v>
      </c>
      <c r="C119" s="3352"/>
      <c r="D119" s="1288">
        <f>+D120</f>
        <v>0</v>
      </c>
      <c r="E119" s="1288">
        <f t="shared" ref="E119" si="84">+E120</f>
        <v>0</v>
      </c>
      <c r="F119" s="1288"/>
      <c r="G119" s="1288"/>
      <c r="H119" s="1288"/>
      <c r="I119" s="1294"/>
      <c r="J119" s="1288"/>
      <c r="K119" s="1288"/>
      <c r="L119" s="1288"/>
      <c r="M119" s="1325">
        <f>M120</f>
        <v>0</v>
      </c>
      <c r="N119" s="1325">
        <f>N120</f>
        <v>0</v>
      </c>
      <c r="O119" s="3318"/>
      <c r="P119" s="3405"/>
    </row>
    <row r="120" spans="1:17" s="3183" customFormat="1" ht="12.75" hidden="1" customHeight="1">
      <c r="A120" s="3386"/>
      <c r="B120" s="543" t="s">
        <v>20</v>
      </c>
      <c r="C120" s="3402"/>
      <c r="D120" s="773">
        <f>E120+F120+G120+H120+I120+J120+K120+L120</f>
        <v>0</v>
      </c>
      <c r="E120" s="1262"/>
      <c r="F120" s="806"/>
      <c r="G120" s="1319"/>
      <c r="H120" s="1319"/>
      <c r="I120" s="1319"/>
      <c r="J120" s="806"/>
      <c r="K120" s="806"/>
      <c r="L120" s="806"/>
      <c r="M120" s="1302">
        <f>SUM(F120:K120)</f>
        <v>0</v>
      </c>
      <c r="N120" s="1302">
        <f>SUM(G120:L120)</f>
        <v>0</v>
      </c>
      <c r="O120" s="3319"/>
      <c r="P120" s="3405"/>
    </row>
    <row r="121" spans="1:17" s="3183" customFormat="1" ht="21.75" hidden="1" customHeight="1">
      <c r="A121" s="3394"/>
      <c r="B121" s="1283" t="s">
        <v>21</v>
      </c>
      <c r="C121" s="512" t="s">
        <v>371</v>
      </c>
      <c r="D121" s="1285">
        <f>+D125+D122</f>
        <v>0</v>
      </c>
      <c r="E121" s="1285">
        <f t="shared" ref="E121" si="85">+E125+E122</f>
        <v>0</v>
      </c>
      <c r="F121" s="1285">
        <f>+F125+F122</f>
        <v>0</v>
      </c>
      <c r="G121" s="1285"/>
      <c r="H121" s="1285"/>
      <c r="I121" s="1285"/>
      <c r="J121" s="1285"/>
      <c r="K121" s="1285"/>
      <c r="L121" s="1285"/>
      <c r="M121" s="3368" t="s">
        <v>22</v>
      </c>
      <c r="N121" s="3368" t="s">
        <v>22</v>
      </c>
      <c r="O121" s="3308" t="s">
        <v>94</v>
      </c>
      <c r="P121" s="3186"/>
      <c r="Q121" s="3186">
        <v>-1217020</v>
      </c>
    </row>
    <row r="122" spans="1:17" s="3183" customFormat="1" ht="14.25" hidden="1" customHeight="1">
      <c r="A122" s="3394"/>
      <c r="B122" s="1292" t="s">
        <v>23</v>
      </c>
      <c r="C122" s="3351" t="s">
        <v>214</v>
      </c>
      <c r="D122" s="50">
        <f>+D123+D124</f>
        <v>0</v>
      </c>
      <c r="E122" s="50">
        <f t="shared" ref="E122" si="86">+E123+E124</f>
        <v>0</v>
      </c>
      <c r="F122" s="50">
        <f>+F123+F124</f>
        <v>0</v>
      </c>
      <c r="G122" s="50"/>
      <c r="H122" s="50"/>
      <c r="I122" s="50"/>
      <c r="J122" s="50"/>
      <c r="K122" s="50"/>
      <c r="L122" s="50"/>
      <c r="M122" s="3366"/>
      <c r="N122" s="3366"/>
      <c r="O122" s="3309"/>
    </row>
    <row r="123" spans="1:17" s="3183" customFormat="1" ht="14.25" hidden="1" customHeight="1">
      <c r="A123" s="3394"/>
      <c r="B123" s="1315" t="s">
        <v>17</v>
      </c>
      <c r="C123" s="3347"/>
      <c r="D123" s="773">
        <f t="shared" ref="D123:D124" si="87">E123+F123+G123+H123+I123+J123+K123+L123</f>
        <v>0</v>
      </c>
      <c r="E123" s="1347"/>
      <c r="F123" s="1305">
        <v>0</v>
      </c>
      <c r="G123" s="1305"/>
      <c r="H123" s="1305"/>
      <c r="I123" s="1305"/>
      <c r="J123" s="1305"/>
      <c r="K123" s="1305"/>
      <c r="L123" s="1305"/>
      <c r="M123" s="3366"/>
      <c r="N123" s="3366"/>
      <c r="O123" s="3309"/>
    </row>
    <row r="124" spans="1:17" s="3183" customFormat="1" ht="13.5" hidden="1" thickBot="1">
      <c r="A124" s="3395"/>
      <c r="B124" s="801" t="s">
        <v>15</v>
      </c>
      <c r="C124" s="3391"/>
      <c r="D124" s="1955">
        <f t="shared" si="87"/>
        <v>0</v>
      </c>
      <c r="E124" s="2030"/>
      <c r="F124" s="2030">
        <v>0</v>
      </c>
      <c r="G124" s="2030"/>
      <c r="H124" s="2030"/>
      <c r="I124" s="2030"/>
      <c r="J124" s="2030"/>
      <c r="K124" s="2030"/>
      <c r="L124" s="2030"/>
      <c r="M124" s="3367"/>
      <c r="N124" s="3367"/>
      <c r="O124" s="3310"/>
    </row>
    <row r="125" spans="1:17" s="3183" customFormat="1" ht="14.25" hidden="1" customHeight="1">
      <c r="A125" s="3394"/>
      <c r="B125" s="738" t="s">
        <v>18</v>
      </c>
      <c r="C125" s="3347"/>
      <c r="D125" s="50">
        <f>+D127+D126</f>
        <v>0</v>
      </c>
      <c r="E125" s="50">
        <f t="shared" ref="E125" si="88">+E127+E126</f>
        <v>0</v>
      </c>
      <c r="F125" s="50">
        <f>+F127+F126</f>
        <v>0</v>
      </c>
      <c r="G125" s="1837"/>
      <c r="H125" s="1837"/>
      <c r="I125" s="1837"/>
      <c r="J125" s="1837"/>
      <c r="K125" s="1837"/>
      <c r="L125" s="1837"/>
      <c r="M125" s="3366"/>
      <c r="N125" s="3366"/>
      <c r="O125" s="3309"/>
    </row>
    <row r="126" spans="1:17" s="3183" customFormat="1" ht="14.25" hidden="1" customHeight="1">
      <c r="A126" s="3394"/>
      <c r="B126" s="1174" t="s">
        <v>17</v>
      </c>
      <c r="C126" s="3347"/>
      <c r="D126" s="235">
        <f>E126+F126+G126+H126+I126+J126+K126+L126</f>
        <v>0</v>
      </c>
      <c r="E126" s="1175"/>
      <c r="F126" s="360"/>
      <c r="G126" s="405"/>
      <c r="H126" s="405"/>
      <c r="I126" s="405"/>
      <c r="J126" s="405"/>
      <c r="K126" s="405"/>
      <c r="L126" s="405"/>
      <c r="M126" s="3366"/>
      <c r="N126" s="3366"/>
      <c r="O126" s="3309"/>
    </row>
    <row r="127" spans="1:17" s="3187" customFormat="1" ht="14.25" hidden="1" customHeight="1" thickBot="1">
      <c r="A127" s="3395"/>
      <c r="B127" s="1176" t="s">
        <v>20</v>
      </c>
      <c r="C127" s="3391"/>
      <c r="D127" s="235">
        <f>E127+F127+G127+H127+I127+J127+K127+L127</f>
        <v>0</v>
      </c>
      <c r="E127" s="265"/>
      <c r="F127" s="1177"/>
      <c r="G127" s="406"/>
      <c r="H127" s="406"/>
      <c r="I127" s="406"/>
      <c r="J127" s="406"/>
      <c r="K127" s="406"/>
      <c r="L127" s="406"/>
      <c r="M127" s="3367"/>
      <c r="N127" s="3367"/>
      <c r="O127" s="3310"/>
    </row>
    <row r="128" spans="1:17" ht="27" customHeight="1">
      <c r="A128" s="3385" t="s">
        <v>56</v>
      </c>
      <c r="B128" s="72" t="s">
        <v>779</v>
      </c>
      <c r="C128" s="56"/>
      <c r="D128" s="1069"/>
      <c r="E128" s="2638"/>
      <c r="F128" s="2638"/>
      <c r="G128" s="2638"/>
      <c r="H128" s="2638"/>
      <c r="I128" s="2638"/>
      <c r="J128" s="2638"/>
      <c r="K128" s="2638"/>
      <c r="L128" s="41"/>
      <c r="M128" s="60"/>
      <c r="N128" s="60"/>
      <c r="O128" s="44"/>
    </row>
    <row r="129" spans="1:17" ht="14.25" customHeight="1">
      <c r="A129" s="3386"/>
      <c r="B129" s="534" t="s">
        <v>10</v>
      </c>
      <c r="C129" s="1819" t="s">
        <v>74</v>
      </c>
      <c r="D129" s="795">
        <f t="shared" ref="D129:G129" si="89">+D130+D134</f>
        <v>41962510</v>
      </c>
      <c r="E129" s="795">
        <f t="shared" ref="E129" si="90">+E130+E134</f>
        <v>21145902</v>
      </c>
      <c r="F129" s="795">
        <f t="shared" si="89"/>
        <v>20739608</v>
      </c>
      <c r="G129" s="795">
        <f t="shared" si="89"/>
        <v>15124</v>
      </c>
      <c r="H129" s="795">
        <f t="shared" ref="H129" si="91">+H130+H134</f>
        <v>61876</v>
      </c>
      <c r="I129" s="795"/>
      <c r="J129" s="795"/>
      <c r="K129" s="795"/>
      <c r="L129" s="795"/>
      <c r="M129" s="781">
        <f>M130+M134</f>
        <v>20816608</v>
      </c>
      <c r="N129" s="781">
        <f>N130+N134</f>
        <v>77000</v>
      </c>
      <c r="O129" s="3318" t="s">
        <v>79</v>
      </c>
    </row>
    <row r="130" spans="1:17" ht="12" customHeight="1">
      <c r="A130" s="3386"/>
      <c r="B130" s="3188" t="s">
        <v>23</v>
      </c>
      <c r="C130" s="3344" t="s">
        <v>77</v>
      </c>
      <c r="D130" s="592">
        <f>+D131+D132+D133</f>
        <v>4841589</v>
      </c>
      <c r="E130" s="592">
        <f t="shared" ref="E130" si="92">+E131+E132+E133</f>
        <v>3234734</v>
      </c>
      <c r="F130" s="592">
        <f t="shared" ref="F130:G130" si="93">+F131+F132+F133</f>
        <v>1529855</v>
      </c>
      <c r="G130" s="592">
        <f t="shared" si="93"/>
        <v>15124</v>
      </c>
      <c r="H130" s="592">
        <f t="shared" ref="H130" si="94">+H131+H132+H133</f>
        <v>61876</v>
      </c>
      <c r="I130" s="592"/>
      <c r="J130" s="592"/>
      <c r="K130" s="592"/>
      <c r="L130" s="592"/>
      <c r="M130" s="515">
        <f>+M131+M133</f>
        <v>1606855</v>
      </c>
      <c r="N130" s="515">
        <f>+N131+N133</f>
        <v>77000</v>
      </c>
      <c r="O130" s="3318"/>
      <c r="P130" s="2287" t="s">
        <v>475</v>
      </c>
    </row>
    <row r="131" spans="1:17" ht="11.25" customHeight="1">
      <c r="A131" s="3386"/>
      <c r="B131" s="1820" t="s">
        <v>12</v>
      </c>
      <c r="C131" s="3347"/>
      <c r="D131" s="235">
        <f>E131+F131+G131+H131+I131+J131+K131+L131</f>
        <v>3341589</v>
      </c>
      <c r="E131" s="265">
        <f>2234734</f>
        <v>2234734</v>
      </c>
      <c r="F131" s="788">
        <f>1933354-1900000+166646+197047+159852+78533+2000000-585432-1020145</f>
        <v>1029855</v>
      </c>
      <c r="G131" s="1818">
        <f>77000-61876</f>
        <v>15124</v>
      </c>
      <c r="H131" s="1818">
        <v>61876</v>
      </c>
      <c r="I131" s="578"/>
      <c r="J131" s="578"/>
      <c r="K131" s="578"/>
      <c r="L131" s="578"/>
      <c r="M131" s="796">
        <f>SUM(F131:K131)</f>
        <v>1106855</v>
      </c>
      <c r="N131" s="796">
        <f>SUM(G131:L131)</f>
        <v>77000</v>
      </c>
      <c r="O131" s="3318"/>
    </row>
    <row r="132" spans="1:17" ht="12" hidden="1" customHeight="1">
      <c r="A132" s="3386"/>
      <c r="B132" s="589" t="s">
        <v>17</v>
      </c>
      <c r="C132" s="3347"/>
      <c r="D132" s="235">
        <f>E132+F132+G132+H132+I132+J132+K132+L132</f>
        <v>0</v>
      </c>
      <c r="E132" s="579"/>
      <c r="F132" s="578"/>
      <c r="G132" s="578"/>
      <c r="H132" s="578"/>
      <c r="I132" s="578"/>
      <c r="J132" s="197"/>
      <c r="K132" s="197"/>
      <c r="L132" s="197"/>
      <c r="M132" s="67"/>
      <c r="N132" s="67"/>
      <c r="O132" s="3318"/>
    </row>
    <row r="133" spans="1:17" ht="12" customHeight="1">
      <c r="A133" s="3386"/>
      <c r="B133" s="1820" t="s">
        <v>15</v>
      </c>
      <c r="C133" s="3347"/>
      <c r="D133" s="235">
        <f>E133+F133+G133+H133+I133+J133+K133+L133</f>
        <v>1500000</v>
      </c>
      <c r="E133" s="265">
        <f>1000000</f>
        <v>1000000</v>
      </c>
      <c r="F133" s="578">
        <f>500000</f>
        <v>500000</v>
      </c>
      <c r="G133" s="578"/>
      <c r="H133" s="578"/>
      <c r="I133" s="578"/>
      <c r="J133" s="579"/>
      <c r="K133" s="579"/>
      <c r="L133" s="579"/>
      <c r="M133" s="796">
        <f>SUM(F133:K133)</f>
        <v>500000</v>
      </c>
      <c r="N133" s="796">
        <f>SUM(G133:L133)</f>
        <v>0</v>
      </c>
      <c r="O133" s="3318"/>
    </row>
    <row r="134" spans="1:17">
      <c r="A134" s="3386"/>
      <c r="B134" s="542" t="s">
        <v>18</v>
      </c>
      <c r="C134" s="3347"/>
      <c r="D134" s="516">
        <f t="shared" ref="D134:F134" si="95">+D135+D136</f>
        <v>37120921</v>
      </c>
      <c r="E134" s="516">
        <f t="shared" si="95"/>
        <v>17911168</v>
      </c>
      <c r="F134" s="516">
        <f t="shared" si="95"/>
        <v>19209753</v>
      </c>
      <c r="G134" s="516"/>
      <c r="H134" s="516"/>
      <c r="I134" s="516"/>
      <c r="J134" s="516"/>
      <c r="K134" s="516"/>
      <c r="L134" s="516"/>
      <c r="M134" s="515">
        <f>+M135+M136</f>
        <v>19209753</v>
      </c>
      <c r="N134" s="515">
        <f>+N135+N136</f>
        <v>0</v>
      </c>
      <c r="O134" s="3318"/>
    </row>
    <row r="135" spans="1:17" ht="12" hidden="1" customHeight="1">
      <c r="A135" s="3386"/>
      <c r="B135" s="589" t="s">
        <v>17</v>
      </c>
      <c r="C135" s="3347"/>
      <c r="D135" s="785">
        <v>0</v>
      </c>
      <c r="E135" s="584"/>
      <c r="F135" s="578"/>
      <c r="G135" s="578"/>
      <c r="H135" s="578"/>
      <c r="I135" s="578"/>
      <c r="J135" s="197"/>
      <c r="K135" s="197"/>
      <c r="L135" s="197"/>
      <c r="M135" s="67"/>
      <c r="N135" s="67"/>
      <c r="O135" s="3318"/>
    </row>
    <row r="136" spans="1:17" ht="12" customHeight="1">
      <c r="A136" s="3386"/>
      <c r="B136" s="589" t="s">
        <v>20</v>
      </c>
      <c r="C136" s="3348"/>
      <c r="D136" s="235">
        <f>E136+F136+G136+H136+I136+J136+K136+L136</f>
        <v>37120921</v>
      </c>
      <c r="E136" s="265">
        <f>17911168</f>
        <v>17911168</v>
      </c>
      <c r="F136" s="788">
        <f>10955672-8630312+17358828-100+791-377238-83726-14162</f>
        <v>19209753</v>
      </c>
      <c r="G136" s="578"/>
      <c r="H136" s="578"/>
      <c r="I136" s="578"/>
      <c r="J136" s="578"/>
      <c r="K136" s="578"/>
      <c r="L136" s="578"/>
      <c r="M136" s="796">
        <f>SUM(F136:K136)</f>
        <v>19209753</v>
      </c>
      <c r="N136" s="796">
        <f>SUM(G136:L136)</f>
        <v>0</v>
      </c>
      <c r="O136" s="3319"/>
      <c r="P136" s="2291">
        <f>D136-D143</f>
        <v>0</v>
      </c>
    </row>
    <row r="137" spans="1:17" ht="21.75" customHeight="1">
      <c r="A137" s="3386"/>
      <c r="B137" s="182" t="s">
        <v>21</v>
      </c>
      <c r="C137" s="512" t="s">
        <v>371</v>
      </c>
      <c r="D137" s="573">
        <f t="shared" ref="D137:G137" si="96">+D141+D138</f>
        <v>38620921</v>
      </c>
      <c r="E137" s="573">
        <f>+E138+E141</f>
        <v>14036781</v>
      </c>
      <c r="F137" s="573">
        <f t="shared" si="96"/>
        <v>24046022</v>
      </c>
      <c r="G137" s="573">
        <f t="shared" si="96"/>
        <v>538118</v>
      </c>
      <c r="H137" s="573"/>
      <c r="I137" s="573"/>
      <c r="J137" s="573"/>
      <c r="K137" s="573"/>
      <c r="L137" s="573"/>
      <c r="M137" s="3389" t="s">
        <v>22</v>
      </c>
      <c r="N137" s="3389" t="s">
        <v>22</v>
      </c>
      <c r="O137" s="3390" t="s">
        <v>94</v>
      </c>
      <c r="P137" s="2291"/>
      <c r="Q137" s="2291">
        <v>-14140496</v>
      </c>
    </row>
    <row r="138" spans="1:17">
      <c r="A138" s="3386"/>
      <c r="B138" s="3188" t="s">
        <v>23</v>
      </c>
      <c r="C138" s="3344" t="s">
        <v>620</v>
      </c>
      <c r="D138" s="516">
        <f>+D139+D140</f>
        <v>1500000</v>
      </c>
      <c r="E138" s="516">
        <f>+E140</f>
        <v>1000000</v>
      </c>
      <c r="F138" s="516">
        <f>+F139+F140</f>
        <v>500000</v>
      </c>
      <c r="G138" s="799">
        <f>+G139+G140</f>
        <v>0</v>
      </c>
      <c r="H138" s="516"/>
      <c r="I138" s="516"/>
      <c r="J138" s="516"/>
      <c r="K138" s="516"/>
      <c r="L138" s="516"/>
      <c r="M138" s="3322"/>
      <c r="N138" s="3322"/>
      <c r="O138" s="3309"/>
    </row>
    <row r="139" spans="1:17" ht="12" hidden="1" customHeight="1">
      <c r="A139" s="3386"/>
      <c r="B139" s="1820" t="s">
        <v>17</v>
      </c>
      <c r="C139" s="3347"/>
      <c r="D139" s="773">
        <f>SUM(E139:I139)</f>
        <v>0</v>
      </c>
      <c r="E139" s="1822"/>
      <c r="F139" s="785">
        <v>0</v>
      </c>
      <c r="G139" s="1569"/>
      <c r="H139" s="785"/>
      <c r="I139" s="785"/>
      <c r="J139" s="785"/>
      <c r="K139" s="785"/>
      <c r="L139" s="785"/>
      <c r="M139" s="3322"/>
      <c r="N139" s="3322"/>
      <c r="O139" s="3309"/>
    </row>
    <row r="140" spans="1:17">
      <c r="A140" s="3386"/>
      <c r="B140" s="1820" t="s">
        <v>15</v>
      </c>
      <c r="C140" s="3347"/>
      <c r="D140" s="235">
        <f>E140+F140+G140+H140+I140+J140+K140+L140</f>
        <v>1500000</v>
      </c>
      <c r="E140" s="265">
        <f>1000000</f>
        <v>1000000</v>
      </c>
      <c r="F140" s="785">
        <f>500000</f>
        <v>500000</v>
      </c>
      <c r="G140" s="1569">
        <v>0</v>
      </c>
      <c r="H140" s="785"/>
      <c r="I140" s="785"/>
      <c r="J140" s="785"/>
      <c r="K140" s="785"/>
      <c r="L140" s="785"/>
      <c r="M140" s="3322"/>
      <c r="N140" s="3322"/>
      <c r="O140" s="3309"/>
    </row>
    <row r="141" spans="1:17" ht="13.5" customHeight="1">
      <c r="A141" s="3386"/>
      <c r="B141" s="537" t="s">
        <v>18</v>
      </c>
      <c r="C141" s="3347"/>
      <c r="D141" s="714">
        <f t="shared" ref="D141" si="97">+D142+D143</f>
        <v>37120921</v>
      </c>
      <c r="E141" s="714">
        <f>+E143</f>
        <v>13036781</v>
      </c>
      <c r="F141" s="1823">
        <f>+F142+F143</f>
        <v>23546022</v>
      </c>
      <c r="G141" s="1823">
        <f>+G142+G143</f>
        <v>538118</v>
      </c>
      <c r="H141" s="1823"/>
      <c r="I141" s="1823"/>
      <c r="J141" s="1823"/>
      <c r="K141" s="1823"/>
      <c r="L141" s="1823"/>
      <c r="M141" s="3322"/>
      <c r="N141" s="3322"/>
      <c r="O141" s="3309"/>
    </row>
    <row r="142" spans="1:17" ht="12" hidden="1" customHeight="1">
      <c r="A142" s="3386"/>
      <c r="B142" s="589" t="s">
        <v>17</v>
      </c>
      <c r="C142" s="3347"/>
      <c r="D142" s="773">
        <f>SUM(E142:I142)</f>
        <v>0</v>
      </c>
      <c r="E142" s="1822"/>
      <c r="F142" s="785"/>
      <c r="G142" s="785"/>
      <c r="H142" s="785"/>
      <c r="I142" s="785"/>
      <c r="J142" s="785"/>
      <c r="K142" s="785"/>
      <c r="L142" s="785"/>
      <c r="M142" s="3322"/>
      <c r="N142" s="3322"/>
      <c r="O142" s="3309"/>
    </row>
    <row r="143" spans="1:17" ht="14.25" customHeight="1" thickBot="1">
      <c r="A143" s="3387"/>
      <c r="B143" s="1171" t="s">
        <v>20</v>
      </c>
      <c r="C143" s="3391"/>
      <c r="D143" s="235">
        <f>E143+F143+G143+H143+I143+J143+K143+L143</f>
        <v>37120921</v>
      </c>
      <c r="E143" s="265">
        <f>13036781</f>
        <v>13036781</v>
      </c>
      <c r="F143" s="767">
        <f>10955672-500000+20900496-6760000-36782-120-377238-636006</f>
        <v>23546022</v>
      </c>
      <c r="G143" s="1172">
        <f>552280-14162</f>
        <v>538118</v>
      </c>
      <c r="H143" s="1172"/>
      <c r="I143" s="1172"/>
      <c r="J143" s="1172"/>
      <c r="K143" s="1172"/>
      <c r="L143" s="1172"/>
      <c r="M143" s="3323"/>
      <c r="N143" s="3323"/>
      <c r="O143" s="3310"/>
    </row>
    <row r="144" spans="1:17" ht="30" hidden="1" customHeight="1">
      <c r="A144" s="3385"/>
      <c r="B144" s="72" t="s">
        <v>571</v>
      </c>
      <c r="C144" s="56"/>
      <c r="D144" s="57"/>
      <c r="E144" s="42"/>
      <c r="F144" s="42"/>
      <c r="G144" s="42"/>
      <c r="H144" s="42"/>
      <c r="I144" s="42"/>
      <c r="J144" s="42"/>
      <c r="K144" s="42"/>
      <c r="L144" s="42"/>
      <c r="M144" s="43"/>
      <c r="N144" s="43"/>
      <c r="O144" s="87"/>
    </row>
    <row r="145" spans="1:17" ht="13.5" hidden="1" customHeight="1">
      <c r="A145" s="3386"/>
      <c r="B145" s="531" t="s">
        <v>10</v>
      </c>
      <c r="C145" s="1317" t="s">
        <v>74</v>
      </c>
      <c r="D145" s="1298">
        <f t="shared" ref="D145" si="98">+D146+D149</f>
        <v>0</v>
      </c>
      <c r="E145" s="1221">
        <f>+E146+E149</f>
        <v>0</v>
      </c>
      <c r="F145" s="1221">
        <f>+F146+F149</f>
        <v>0</v>
      </c>
      <c r="G145" s="1221"/>
      <c r="H145" s="1221"/>
      <c r="I145" s="1221"/>
      <c r="J145" s="1221"/>
      <c r="K145" s="1221"/>
      <c r="L145" s="1221"/>
      <c r="M145" s="1222">
        <f>M146+M149</f>
        <v>0</v>
      </c>
      <c r="N145" s="1222">
        <f>N146+N149</f>
        <v>0</v>
      </c>
      <c r="O145" s="3318" t="s">
        <v>79</v>
      </c>
      <c r="P145" s="2291"/>
    </row>
    <row r="146" spans="1:17" ht="13.5" hidden="1" customHeight="1">
      <c r="A146" s="3386"/>
      <c r="B146" s="508" t="s">
        <v>23</v>
      </c>
      <c r="C146" s="3351" t="s">
        <v>77</v>
      </c>
      <c r="D146" s="1299">
        <f>+D147+D148</f>
        <v>0</v>
      </c>
      <c r="E146" s="1299">
        <f>+E147</f>
        <v>0</v>
      </c>
      <c r="F146" s="1299">
        <f>+F147+F148</f>
        <v>0</v>
      </c>
      <c r="G146" s="1299"/>
      <c r="H146" s="1299"/>
      <c r="I146" s="1299"/>
      <c r="J146" s="1299"/>
      <c r="K146" s="1299"/>
      <c r="L146" s="1299"/>
      <c r="M146" s="1289">
        <f>M147</f>
        <v>0</v>
      </c>
      <c r="N146" s="1289">
        <f>N147</f>
        <v>0</v>
      </c>
      <c r="O146" s="3318"/>
      <c r="P146" s="2291"/>
    </row>
    <row r="147" spans="1:17" ht="11.25" hidden="1" customHeight="1">
      <c r="A147" s="3386"/>
      <c r="B147" s="802" t="s">
        <v>12</v>
      </c>
      <c r="C147" s="3352"/>
      <c r="D147" s="1216">
        <f>E147+F147+G147+H147+I147+J147+K147+L147</f>
        <v>0</v>
      </c>
      <c r="E147" s="1262"/>
      <c r="F147" s="1262"/>
      <c r="G147" s="1262"/>
      <c r="H147" s="1262"/>
      <c r="I147" s="1262"/>
      <c r="J147" s="1262"/>
      <c r="K147" s="1262"/>
      <c r="L147" s="1262"/>
      <c r="M147" s="796">
        <f>SUM(F147:K147)</f>
        <v>0</v>
      </c>
      <c r="N147" s="796">
        <f>SUM(G147:L147)</f>
        <v>0</v>
      </c>
      <c r="O147" s="3318"/>
      <c r="P147" s="2291"/>
    </row>
    <row r="148" spans="1:17" ht="10.5" hidden="1" customHeight="1">
      <c r="A148" s="3386"/>
      <c r="B148" s="1178" t="s">
        <v>15</v>
      </c>
      <c r="C148" s="3352"/>
      <c r="D148" s="1216">
        <f>SUM(E148:I148)</f>
        <v>0</v>
      </c>
      <c r="E148" s="1318">
        <v>0</v>
      </c>
      <c r="F148" s="1319"/>
      <c r="G148" s="1319"/>
      <c r="H148" s="1319"/>
      <c r="I148" s="1319"/>
      <c r="J148" s="197"/>
      <c r="K148" s="197"/>
      <c r="L148" s="197"/>
      <c r="M148" s="67"/>
      <c r="N148" s="67"/>
      <c r="O148" s="3318"/>
    </row>
    <row r="149" spans="1:17" ht="12.75" hidden="1" customHeight="1">
      <c r="A149" s="3386"/>
      <c r="B149" s="798" t="s">
        <v>18</v>
      </c>
      <c r="C149" s="3352"/>
      <c r="D149" s="1288">
        <f>+D150</f>
        <v>0</v>
      </c>
      <c r="E149" s="1232">
        <f>+E150</f>
        <v>0</v>
      </c>
      <c r="F149" s="1232">
        <f t="shared" ref="F149" si="99">+F150</f>
        <v>0</v>
      </c>
      <c r="G149" s="1232"/>
      <c r="H149" s="1232"/>
      <c r="I149" s="1232"/>
      <c r="J149" s="1288"/>
      <c r="K149" s="1288"/>
      <c r="L149" s="1288"/>
      <c r="M149" s="1289">
        <f>M150</f>
        <v>0</v>
      </c>
      <c r="N149" s="1289">
        <f>N150</f>
        <v>0</v>
      </c>
      <c r="O149" s="3318"/>
    </row>
    <row r="150" spans="1:17" ht="12" hidden="1" customHeight="1">
      <c r="A150" s="3386"/>
      <c r="B150" s="802" t="s">
        <v>20</v>
      </c>
      <c r="C150" s="3402"/>
      <c r="D150" s="1320">
        <f>E150+F150+G150+H150+I150+J150+K150+L150</f>
        <v>0</v>
      </c>
      <c r="E150" s="1262"/>
      <c r="F150" s="1262"/>
      <c r="G150" s="1262"/>
      <c r="H150" s="1229"/>
      <c r="I150" s="1229"/>
      <c r="J150" s="1301"/>
      <c r="K150" s="1301"/>
      <c r="L150" s="1301"/>
      <c r="M150" s="796">
        <f>SUM(F150:K150)</f>
        <v>0</v>
      </c>
      <c r="N150" s="796">
        <f>SUM(G150:L150)</f>
        <v>0</v>
      </c>
      <c r="O150" s="3319"/>
    </row>
    <row r="151" spans="1:17" ht="23.25" hidden="1" thickBot="1">
      <c r="A151" s="3394"/>
      <c r="B151" s="91" t="s">
        <v>21</v>
      </c>
      <c r="C151" s="512" t="s">
        <v>371</v>
      </c>
      <c r="D151" s="97">
        <f t="shared" ref="D151" si="100">+D152+D154</f>
        <v>0</v>
      </c>
      <c r="E151" s="223">
        <f>+E154</f>
        <v>0</v>
      </c>
      <c r="F151" s="223">
        <f>+F152+F154</f>
        <v>0</v>
      </c>
      <c r="G151" s="223"/>
      <c r="H151" s="223"/>
      <c r="I151" s="223"/>
      <c r="J151" s="223"/>
      <c r="K151" s="223"/>
      <c r="L151" s="223"/>
      <c r="M151" s="3368" t="s">
        <v>22</v>
      </c>
      <c r="N151" s="3368" t="s">
        <v>22</v>
      </c>
      <c r="O151" s="3418" t="s">
        <v>94</v>
      </c>
      <c r="P151" s="2291"/>
      <c r="Q151" s="2291">
        <v>-1435987</v>
      </c>
    </row>
    <row r="152" spans="1:17" ht="13.5" hidden="1" customHeight="1">
      <c r="A152" s="3394"/>
      <c r="B152" s="1292" t="s">
        <v>23</v>
      </c>
      <c r="C152" s="3436" t="s">
        <v>226</v>
      </c>
      <c r="D152" s="50">
        <f>+D153</f>
        <v>0</v>
      </c>
      <c r="E152" s="250">
        <v>0</v>
      </c>
      <c r="F152" s="50"/>
      <c r="G152" s="50"/>
      <c r="H152" s="50"/>
      <c r="I152" s="50"/>
      <c r="J152" s="50"/>
      <c r="K152" s="50"/>
      <c r="L152" s="50"/>
      <c r="M152" s="3366"/>
      <c r="N152" s="3366"/>
      <c r="O152" s="3408"/>
    </row>
    <row r="153" spans="1:17" ht="13.5" hidden="1" thickBot="1">
      <c r="A153" s="3394"/>
      <c r="B153" s="90" t="s">
        <v>15</v>
      </c>
      <c r="C153" s="3411"/>
      <c r="D153" s="1216">
        <f>SUM(E153:I153)</f>
        <v>0</v>
      </c>
      <c r="E153" s="1321">
        <v>0</v>
      </c>
      <c r="F153" s="1231"/>
      <c r="G153" s="1231"/>
      <c r="H153" s="1231"/>
      <c r="I153" s="1231"/>
      <c r="J153" s="1231"/>
      <c r="K153" s="1231"/>
      <c r="L153" s="1231"/>
      <c r="M153" s="3366"/>
      <c r="N153" s="3366"/>
      <c r="O153" s="3408"/>
    </row>
    <row r="154" spans="1:17" ht="12" hidden="1" customHeight="1">
      <c r="A154" s="3394"/>
      <c r="B154" s="1322" t="s">
        <v>18</v>
      </c>
      <c r="C154" s="3411"/>
      <c r="D154" s="1288">
        <f t="shared" ref="D154:F154" si="101">+D155</f>
        <v>0</v>
      </c>
      <c r="E154" s="1232">
        <f>+E155</f>
        <v>0</v>
      </c>
      <c r="F154" s="1232">
        <f t="shared" si="101"/>
        <v>0</v>
      </c>
      <c r="G154" s="1232"/>
      <c r="H154" s="1232"/>
      <c r="I154" s="1232"/>
      <c r="J154" s="1232"/>
      <c r="K154" s="1232"/>
      <c r="L154" s="1232"/>
      <c r="M154" s="3366"/>
      <c r="N154" s="3366"/>
      <c r="O154" s="3408"/>
    </row>
    <row r="155" spans="1:17" ht="13.5" hidden="1" customHeight="1" thickBot="1">
      <c r="A155" s="3395"/>
      <c r="B155" s="801" t="s">
        <v>20</v>
      </c>
      <c r="C155" s="3412"/>
      <c r="D155" s="767">
        <f>E155+F155+G155+H155+I155+J155+K155+L155</f>
        <v>0</v>
      </c>
      <c r="E155" s="767"/>
      <c r="F155" s="408"/>
      <c r="G155" s="408"/>
      <c r="H155" s="408"/>
      <c r="I155" s="408"/>
      <c r="J155" s="408"/>
      <c r="K155" s="408"/>
      <c r="L155" s="408"/>
      <c r="M155" s="3367"/>
      <c r="N155" s="3367"/>
      <c r="O155" s="3409"/>
    </row>
    <row r="156" spans="1:17" ht="24">
      <c r="A156" s="3385" t="s">
        <v>57</v>
      </c>
      <c r="B156" s="72" t="s">
        <v>780</v>
      </c>
      <c r="C156" s="56" t="s">
        <v>74</v>
      </c>
      <c r="D156" s="1069"/>
      <c r="E156" s="2638"/>
      <c r="F156" s="2638"/>
      <c r="G156" s="2638"/>
      <c r="H156" s="2638"/>
      <c r="I156" s="2638"/>
      <c r="J156" s="2638"/>
      <c r="K156" s="2638"/>
      <c r="L156" s="41"/>
      <c r="M156" s="43"/>
      <c r="N156" s="43"/>
      <c r="O156" s="87"/>
    </row>
    <row r="157" spans="1:17" ht="12" customHeight="1">
      <c r="A157" s="3386"/>
      <c r="B157" s="410" t="s">
        <v>10</v>
      </c>
      <c r="C157" s="1308"/>
      <c r="D157" s="1298">
        <f>+D158+D161</f>
        <v>50174153</v>
      </c>
      <c r="E157" s="1339">
        <f t="shared" ref="E157" si="102">+E158+E161</f>
        <v>330606</v>
      </c>
      <c r="F157" s="1339">
        <f>+F158+F161</f>
        <v>27200773</v>
      </c>
      <c r="G157" s="1339">
        <f>+G158+G161</f>
        <v>22642774</v>
      </c>
      <c r="H157" s="1339"/>
      <c r="I157" s="1339"/>
      <c r="J157" s="1339"/>
      <c r="K157" s="1339"/>
      <c r="L157" s="1339"/>
      <c r="M157" s="1286">
        <f>M158+M161</f>
        <v>49843547</v>
      </c>
      <c r="N157" s="1286">
        <f>N158+N161</f>
        <v>22642774</v>
      </c>
      <c r="O157" s="3318" t="s">
        <v>79</v>
      </c>
      <c r="P157" s="2291"/>
    </row>
    <row r="158" spans="1:17">
      <c r="A158" s="3386"/>
      <c r="B158" s="535" t="s">
        <v>23</v>
      </c>
      <c r="C158" s="3351" t="s">
        <v>77</v>
      </c>
      <c r="D158" s="1299">
        <f>+D159+D160</f>
        <v>7537329</v>
      </c>
      <c r="E158" s="1299">
        <f t="shared" ref="E158" si="103">+E159+E160</f>
        <v>49591</v>
      </c>
      <c r="F158" s="1299">
        <f>+F159+F160</f>
        <v>4091322</v>
      </c>
      <c r="G158" s="1299">
        <f>+G159+G160</f>
        <v>3396416</v>
      </c>
      <c r="H158" s="1299"/>
      <c r="I158" s="1299"/>
      <c r="J158" s="1299"/>
      <c r="K158" s="1299"/>
      <c r="L158" s="1299"/>
      <c r="M158" s="1289">
        <f>M159</f>
        <v>7487738</v>
      </c>
      <c r="N158" s="1289">
        <f>N159</f>
        <v>3396416</v>
      </c>
      <c r="O158" s="3318"/>
      <c r="P158" s="3406" t="s">
        <v>446</v>
      </c>
    </row>
    <row r="159" spans="1:17" ht="11.25" customHeight="1">
      <c r="A159" s="3386"/>
      <c r="B159" s="589" t="s">
        <v>12</v>
      </c>
      <c r="C159" s="3352"/>
      <c r="D159" s="773">
        <f>E159+F159+G159+H159+I159+J159+K159+L159</f>
        <v>7537329</v>
      </c>
      <c r="E159" s="1262">
        <v>49591</v>
      </c>
      <c r="F159" s="1262">
        <f>5700000+1500000+135000-2630000-22696-590982</f>
        <v>4091322</v>
      </c>
      <c r="G159" s="1262">
        <f>1875000+1435625-240216-14972+590982+300000-550003</f>
        <v>3396416</v>
      </c>
      <c r="H159" s="1262"/>
      <c r="I159" s="1262"/>
      <c r="J159" s="1262"/>
      <c r="K159" s="1262"/>
      <c r="L159" s="1262"/>
      <c r="M159" s="1302">
        <f>SUM(F159:K159)</f>
        <v>7487738</v>
      </c>
      <c r="N159" s="1302">
        <f>SUM(G159:L159)</f>
        <v>3396416</v>
      </c>
      <c r="O159" s="3318"/>
      <c r="P159" s="3406"/>
    </row>
    <row r="160" spans="1:17" ht="10.5" hidden="1" customHeight="1">
      <c r="A160" s="3386"/>
      <c r="B160" s="384" t="s">
        <v>15</v>
      </c>
      <c r="C160" s="3352"/>
      <c r="D160" s="773">
        <f>SUM(E160:I160)</f>
        <v>0</v>
      </c>
      <c r="E160" s="1824">
        <v>0</v>
      </c>
      <c r="F160" s="803"/>
      <c r="G160" s="803"/>
      <c r="H160" s="803"/>
      <c r="I160" s="803"/>
      <c r="J160" s="197"/>
      <c r="K160" s="197"/>
      <c r="L160" s="197"/>
      <c r="M160" s="67"/>
      <c r="N160" s="67"/>
      <c r="O160" s="3318"/>
      <c r="P160" s="3406"/>
    </row>
    <row r="161" spans="1:16">
      <c r="A161" s="3386"/>
      <c r="B161" s="537" t="s">
        <v>18</v>
      </c>
      <c r="C161" s="3352"/>
      <c r="D161" s="1288">
        <f>+D162</f>
        <v>42636824</v>
      </c>
      <c r="E161" s="1294">
        <f t="shared" ref="E161:G161" si="104">+E162</f>
        <v>281015</v>
      </c>
      <c r="F161" s="1294">
        <f t="shared" si="104"/>
        <v>23109451</v>
      </c>
      <c r="G161" s="1294">
        <f t="shared" si="104"/>
        <v>19246358</v>
      </c>
      <c r="H161" s="1294"/>
      <c r="I161" s="1294"/>
      <c r="J161" s="1288"/>
      <c r="K161" s="1288"/>
      <c r="L161" s="1288"/>
      <c r="M161" s="1289">
        <f>M162</f>
        <v>42355809</v>
      </c>
      <c r="N161" s="1289">
        <f>N162</f>
        <v>19246358</v>
      </c>
      <c r="O161" s="3318"/>
      <c r="P161" s="3406"/>
    </row>
    <row r="162" spans="1:16" ht="12" customHeight="1">
      <c r="A162" s="3386"/>
      <c r="B162" s="589" t="s">
        <v>20</v>
      </c>
      <c r="C162" s="3402"/>
      <c r="D162" s="773">
        <f>E162+F162+G162+H162+I162+J162+K162+L162</f>
        <v>42636824</v>
      </c>
      <c r="E162" s="1262">
        <v>281015</v>
      </c>
      <c r="F162" s="1262">
        <f>32300000+8500000+765000-15470000-128613-2856936</f>
        <v>23109451</v>
      </c>
      <c r="G162" s="1262">
        <f>10625000+4125213+2648772-84839+2856936-924724</f>
        <v>19246358</v>
      </c>
      <c r="H162" s="1297"/>
      <c r="I162" s="1297"/>
      <c r="J162" s="1301"/>
      <c r="K162" s="1301"/>
      <c r="L162" s="1301"/>
      <c r="M162" s="1302">
        <f>SUM(F162:K162)</f>
        <v>42355809</v>
      </c>
      <c r="N162" s="1302">
        <f>SUM(G162:L162)</f>
        <v>19246358</v>
      </c>
      <c r="O162" s="3319"/>
      <c r="P162" s="3406"/>
    </row>
    <row r="163" spans="1:16" ht="12" customHeight="1">
      <c r="A163" s="3394"/>
      <c r="B163" s="1061" t="s">
        <v>21</v>
      </c>
      <c r="C163" s="88"/>
      <c r="D163" s="97">
        <f t="shared" ref="D163" si="105">+D164+D166</f>
        <v>42636824</v>
      </c>
      <c r="E163" s="223">
        <f>+E164+E166</f>
        <v>0</v>
      </c>
      <c r="F163" s="223">
        <f>+F164+F166</f>
        <v>26097077</v>
      </c>
      <c r="G163" s="223">
        <f>+G164+G166</f>
        <v>16539747</v>
      </c>
      <c r="H163" s="223"/>
      <c r="I163" s="223"/>
      <c r="J163" s="223"/>
      <c r="K163" s="223"/>
      <c r="L163" s="223"/>
      <c r="M163" s="3403" t="s">
        <v>22</v>
      </c>
      <c r="N163" s="3403" t="s">
        <v>22</v>
      </c>
      <c r="O163" s="3407" t="s">
        <v>94</v>
      </c>
    </row>
    <row r="164" spans="1:16" ht="13.5" hidden="1" customHeight="1">
      <c r="A164" s="3394"/>
      <c r="B164" s="1304" t="s">
        <v>23</v>
      </c>
      <c r="C164" s="3410" t="s">
        <v>226</v>
      </c>
      <c r="D164" s="50">
        <f>+D165</f>
        <v>0</v>
      </c>
      <c r="E164" s="50"/>
      <c r="F164" s="50"/>
      <c r="G164" s="50"/>
      <c r="H164" s="50"/>
      <c r="I164" s="50"/>
      <c r="J164" s="50"/>
      <c r="K164" s="50"/>
      <c r="L164" s="50"/>
      <c r="M164" s="3366"/>
      <c r="N164" s="3366"/>
      <c r="O164" s="3408"/>
    </row>
    <row r="165" spans="1:16" ht="13.5" hidden="1" customHeight="1">
      <c r="A165" s="3394"/>
      <c r="B165" s="90" t="s">
        <v>15</v>
      </c>
      <c r="C165" s="3411"/>
      <c r="D165" s="773">
        <f>SUM(E165:I165)</f>
        <v>0</v>
      </c>
      <c r="E165" s="1305"/>
      <c r="F165" s="1305"/>
      <c r="G165" s="1305"/>
      <c r="H165" s="1305"/>
      <c r="I165" s="1305"/>
      <c r="J165" s="1305"/>
      <c r="K165" s="1305"/>
      <c r="L165" s="1305"/>
      <c r="M165" s="3366"/>
      <c r="N165" s="3366"/>
      <c r="O165" s="3408"/>
    </row>
    <row r="166" spans="1:16" ht="12" customHeight="1">
      <c r="A166" s="3394"/>
      <c r="B166" s="2153" t="s">
        <v>18</v>
      </c>
      <c r="C166" s="3411"/>
      <c r="D166" s="1288">
        <f t="shared" ref="D166:G166" si="106">+D167</f>
        <v>42636824</v>
      </c>
      <c r="E166" s="1294">
        <f t="shared" si="106"/>
        <v>0</v>
      </c>
      <c r="F166" s="1294">
        <f t="shared" si="106"/>
        <v>26097077</v>
      </c>
      <c r="G166" s="1294">
        <f t="shared" si="106"/>
        <v>16539747</v>
      </c>
      <c r="H166" s="1294"/>
      <c r="I166" s="1294"/>
      <c r="J166" s="1294"/>
      <c r="K166" s="1294"/>
      <c r="L166" s="1294"/>
      <c r="M166" s="3366"/>
      <c r="N166" s="3366"/>
      <c r="O166" s="3408"/>
    </row>
    <row r="167" spans="1:16" ht="13.5" customHeight="1" thickBot="1">
      <c r="A167" s="3395"/>
      <c r="B167" s="801" t="s">
        <v>20</v>
      </c>
      <c r="C167" s="3412"/>
      <c r="D167" s="767">
        <f>E167+F167+G167+H167+I167+J167+K167+L167</f>
        <v>42636824</v>
      </c>
      <c r="E167" s="767">
        <v>0</v>
      </c>
      <c r="F167" s="408">
        <f>29000000+6000000-8623985-128613-150325</f>
        <v>26097077</v>
      </c>
      <c r="G167" s="408">
        <f>14775000+6625213-4001228-84839+150325-924724</f>
        <v>16539747</v>
      </c>
      <c r="H167" s="408"/>
      <c r="I167" s="408"/>
      <c r="J167" s="408"/>
      <c r="K167" s="408"/>
      <c r="L167" s="408"/>
      <c r="M167" s="3367"/>
      <c r="N167" s="3367"/>
      <c r="O167" s="3409"/>
    </row>
    <row r="168" spans="1:16" ht="24">
      <c r="A168" s="3385" t="s">
        <v>58</v>
      </c>
      <c r="B168" s="72" t="s">
        <v>724</v>
      </c>
      <c r="C168" s="56" t="s">
        <v>74</v>
      </c>
      <c r="D168" s="1069"/>
      <c r="E168" s="2638"/>
      <c r="F168" s="2638"/>
      <c r="G168" s="2638"/>
      <c r="H168" s="2638"/>
      <c r="I168" s="2638"/>
      <c r="J168" s="2638"/>
      <c r="K168" s="2638"/>
      <c r="L168" s="41"/>
      <c r="M168" s="43"/>
      <c r="N168" s="43"/>
      <c r="O168" s="87"/>
      <c r="P168" s="2287" t="s">
        <v>507</v>
      </c>
    </row>
    <row r="169" spans="1:16" ht="13.5" customHeight="1">
      <c r="A169" s="3386"/>
      <c r="B169" s="2073" t="s">
        <v>10</v>
      </c>
      <c r="C169" s="1284"/>
      <c r="D169" s="795">
        <f>+D170+D173</f>
        <v>14296975</v>
      </c>
      <c r="E169" s="1809">
        <f t="shared" ref="E169" si="107">+E170+E173</f>
        <v>1591</v>
      </c>
      <c r="F169" s="1809">
        <f>+F170+F173</f>
        <v>1891948</v>
      </c>
      <c r="G169" s="1809">
        <f>+G170+G173</f>
        <v>12403436</v>
      </c>
      <c r="H169" s="1809"/>
      <c r="I169" s="1809"/>
      <c r="J169" s="1809"/>
      <c r="K169" s="1809"/>
      <c r="L169" s="1809"/>
      <c r="M169" s="1802">
        <f>M170+M173</f>
        <v>14295384</v>
      </c>
      <c r="N169" s="1802">
        <f>N170+N173</f>
        <v>12403436</v>
      </c>
      <c r="O169" s="3318" t="s">
        <v>79</v>
      </c>
      <c r="P169" s="2291"/>
    </row>
    <row r="170" spans="1:16" ht="13.5" customHeight="1">
      <c r="A170" s="3386"/>
      <c r="B170" s="2111" t="s">
        <v>23</v>
      </c>
      <c r="C170" s="3344" t="s">
        <v>77</v>
      </c>
      <c r="D170" s="592">
        <f>+D171+D172</f>
        <v>2466682</v>
      </c>
      <c r="E170" s="592">
        <f t="shared" ref="E170" si="108">+E171+E172</f>
        <v>239</v>
      </c>
      <c r="F170" s="592">
        <f>+F171+F172</f>
        <v>362939</v>
      </c>
      <c r="G170" s="592">
        <f>+G171+G172</f>
        <v>2103504</v>
      </c>
      <c r="H170" s="592"/>
      <c r="I170" s="592"/>
      <c r="J170" s="592"/>
      <c r="K170" s="592"/>
      <c r="L170" s="592"/>
      <c r="M170" s="515">
        <f>M171+M172</f>
        <v>2466443</v>
      </c>
      <c r="N170" s="515">
        <f>N171+N172</f>
        <v>2103504</v>
      </c>
      <c r="O170" s="3318"/>
      <c r="P170" s="3406"/>
    </row>
    <row r="171" spans="1:16">
      <c r="A171" s="3386"/>
      <c r="B171" s="2112" t="s">
        <v>12</v>
      </c>
      <c r="C171" s="3352"/>
      <c r="D171" s="773">
        <f>E171+F171+G171+H171+I171+J171+K171+L171</f>
        <v>2199812</v>
      </c>
      <c r="E171" s="788">
        <v>239</v>
      </c>
      <c r="F171" s="788">
        <f>2821000+15000-1954801-48563-304636-41551-203290</f>
        <v>283159</v>
      </c>
      <c r="G171" s="788">
        <f>2016162+18262+304636-188902+202673-436417</f>
        <v>1916414</v>
      </c>
      <c r="H171" s="788"/>
      <c r="I171" s="788"/>
      <c r="J171" s="788"/>
      <c r="K171" s="788"/>
      <c r="L171" s="788"/>
      <c r="M171" s="796">
        <f>SUM(F171:K171)</f>
        <v>2199573</v>
      </c>
      <c r="N171" s="796">
        <f>SUM(G171:L171)</f>
        <v>1916414</v>
      </c>
      <c r="O171" s="3318"/>
      <c r="P171" s="3406"/>
    </row>
    <row r="172" spans="1:16" ht="10.5" customHeight="1">
      <c r="A172" s="3386"/>
      <c r="B172" s="1178" t="s">
        <v>15</v>
      </c>
      <c r="C172" s="3352"/>
      <c r="D172" s="773">
        <f>SUM(E172:I172)</f>
        <v>266870</v>
      </c>
      <c r="E172" s="1824">
        <v>0</v>
      </c>
      <c r="F172" s="803">
        <f>79781-1</f>
        <v>79780</v>
      </c>
      <c r="G172" s="803">
        <f>150673+36417</f>
        <v>187090</v>
      </c>
      <c r="H172" s="803"/>
      <c r="I172" s="803"/>
      <c r="J172" s="1811"/>
      <c r="K172" s="1811"/>
      <c r="L172" s="1811"/>
      <c r="M172" s="796">
        <f>SUM(F172:K172)</f>
        <v>266870</v>
      </c>
      <c r="N172" s="796">
        <f>SUM(G172:L172)</f>
        <v>187090</v>
      </c>
      <c r="O172" s="3318"/>
      <c r="P172" s="3406"/>
    </row>
    <row r="173" spans="1:16" ht="12.75" customHeight="1">
      <c r="A173" s="3386"/>
      <c r="B173" s="2113" t="s">
        <v>18</v>
      </c>
      <c r="C173" s="3352"/>
      <c r="D173" s="516">
        <f>+D174</f>
        <v>11830293</v>
      </c>
      <c r="E173" s="1810">
        <f t="shared" ref="E173:G173" si="109">+E174</f>
        <v>1352</v>
      </c>
      <c r="F173" s="1810">
        <f t="shared" si="109"/>
        <v>1529009</v>
      </c>
      <c r="G173" s="1810">
        <f t="shared" si="109"/>
        <v>10299932</v>
      </c>
      <c r="H173" s="1810"/>
      <c r="I173" s="1810"/>
      <c r="J173" s="516"/>
      <c r="K173" s="516"/>
      <c r="L173" s="516"/>
      <c r="M173" s="515">
        <f>M174</f>
        <v>11828941</v>
      </c>
      <c r="N173" s="515">
        <f>N174</f>
        <v>10299932</v>
      </c>
      <c r="O173" s="3318"/>
      <c r="P173" s="3406"/>
    </row>
    <row r="174" spans="1:16">
      <c r="A174" s="3386"/>
      <c r="B174" s="2112" t="s">
        <v>20</v>
      </c>
      <c r="C174" s="3402"/>
      <c r="D174" s="1815">
        <f>E174+F174+G174+H174+I174+J174+K174+L174</f>
        <v>11830293</v>
      </c>
      <c r="E174" s="788">
        <v>1352</v>
      </c>
      <c r="F174" s="788">
        <f>15079000+85000-11487872+534253-1388381-117724-1175267</f>
        <v>1529009</v>
      </c>
      <c r="G174" s="788">
        <f>11424920-705956+1388381-1279186+1171773-1700000</f>
        <v>10299932</v>
      </c>
      <c r="H174" s="1811"/>
      <c r="I174" s="1811"/>
      <c r="J174" s="578"/>
      <c r="K174" s="578"/>
      <c r="L174" s="578"/>
      <c r="M174" s="796">
        <f>SUM(F174:K174)</f>
        <v>11828941</v>
      </c>
      <c r="N174" s="796">
        <f>SUM(G174:L174)</f>
        <v>10299932</v>
      </c>
      <c r="O174" s="3319"/>
      <c r="P174" s="3406"/>
    </row>
    <row r="175" spans="1:16" ht="13.5" thickBot="1">
      <c r="A175" s="3395"/>
      <c r="B175" s="91" t="s">
        <v>21</v>
      </c>
      <c r="C175" s="88"/>
      <c r="D175" s="97">
        <f t="shared" ref="D175" si="110">+D176+D178</f>
        <v>12097163</v>
      </c>
      <c r="E175" s="223">
        <f>+E176+E178</f>
        <v>0</v>
      </c>
      <c r="F175" s="223">
        <f>+F176+F178</f>
        <v>700892</v>
      </c>
      <c r="G175" s="223">
        <f>+G176+G178</f>
        <v>11396271</v>
      </c>
      <c r="H175" s="223"/>
      <c r="I175" s="223"/>
      <c r="J175" s="223"/>
      <c r="K175" s="223"/>
      <c r="L175" s="223"/>
      <c r="M175" s="3403" t="s">
        <v>22</v>
      </c>
      <c r="N175" s="3403" t="s">
        <v>22</v>
      </c>
      <c r="O175" s="3407" t="s">
        <v>94</v>
      </c>
    </row>
    <row r="176" spans="1:16" ht="13.5" customHeight="1" thickBot="1">
      <c r="A176" s="3393"/>
      <c r="B176" s="800" t="s">
        <v>23</v>
      </c>
      <c r="C176" s="3410" t="s">
        <v>621</v>
      </c>
      <c r="D176" s="50">
        <f>+D177</f>
        <v>266870</v>
      </c>
      <c r="E176" s="50">
        <v>0</v>
      </c>
      <c r="F176" s="50">
        <f>F177</f>
        <v>79780</v>
      </c>
      <c r="G176" s="50">
        <f>G177</f>
        <v>187090</v>
      </c>
      <c r="H176" s="50"/>
      <c r="I176" s="50"/>
      <c r="J176" s="50"/>
      <c r="K176" s="50"/>
      <c r="L176" s="50"/>
      <c r="M176" s="3366"/>
      <c r="N176" s="3366"/>
      <c r="O176" s="3408"/>
    </row>
    <row r="177" spans="1:16" ht="13.5" customHeight="1" thickBot="1">
      <c r="A177" s="3393"/>
      <c r="B177" s="2705" t="s">
        <v>15</v>
      </c>
      <c r="C177" s="3411"/>
      <c r="D177" s="773">
        <f>SUM(E177:I177)</f>
        <v>266870</v>
      </c>
      <c r="E177" s="1808">
        <v>0</v>
      </c>
      <c r="F177" s="1808">
        <f>79781-1</f>
        <v>79780</v>
      </c>
      <c r="G177" s="1808">
        <f>150673+36417</f>
        <v>187090</v>
      </c>
      <c r="H177" s="1808"/>
      <c r="I177" s="1808"/>
      <c r="J177" s="1808"/>
      <c r="K177" s="1808"/>
      <c r="L177" s="1808"/>
      <c r="M177" s="3366"/>
      <c r="N177" s="3366"/>
      <c r="O177" s="3408"/>
    </row>
    <row r="178" spans="1:16" ht="12" customHeight="1" thickBot="1">
      <c r="A178" s="3393"/>
      <c r="B178" s="1821" t="s">
        <v>18</v>
      </c>
      <c r="C178" s="3411"/>
      <c r="D178" s="516">
        <f t="shared" ref="D178:G178" si="111">+D179</f>
        <v>11830293</v>
      </c>
      <c r="E178" s="1810">
        <f t="shared" si="111"/>
        <v>0</v>
      </c>
      <c r="F178" s="1810">
        <f t="shared" si="111"/>
        <v>621112</v>
      </c>
      <c r="G178" s="1810">
        <f t="shared" si="111"/>
        <v>11209181</v>
      </c>
      <c r="H178" s="1810"/>
      <c r="I178" s="1810"/>
      <c r="J178" s="1810"/>
      <c r="K178" s="1810"/>
      <c r="L178" s="1810"/>
      <c r="M178" s="3366"/>
      <c r="N178" s="3366"/>
      <c r="O178" s="3408"/>
    </row>
    <row r="179" spans="1:16" ht="13.5" customHeight="1" thickBot="1">
      <c r="A179" s="3393"/>
      <c r="B179" s="663" t="s">
        <v>20</v>
      </c>
      <c r="C179" s="3412"/>
      <c r="D179" s="1955">
        <f>E179+F179+G179+H179+I179+J179+K179+L179</f>
        <v>11830293</v>
      </c>
      <c r="E179" s="1955">
        <v>0</v>
      </c>
      <c r="F179" s="1586">
        <f>14164000-10486520+534253-1388381-2193352-8888</f>
        <v>621112</v>
      </c>
      <c r="G179" s="1586">
        <f>1000000+10424920-705956+1388381+796442+5394-1700000</f>
        <v>11209181</v>
      </c>
      <c r="H179" s="1586"/>
      <c r="I179" s="1586"/>
      <c r="J179" s="1586"/>
      <c r="K179" s="1586"/>
      <c r="L179" s="1586"/>
      <c r="M179" s="3367"/>
      <c r="N179" s="3367"/>
      <c r="O179" s="3409"/>
    </row>
    <row r="180" spans="1:16" ht="24.75" thickBot="1">
      <c r="A180" s="3392" t="s">
        <v>59</v>
      </c>
      <c r="B180" s="72" t="s">
        <v>781</v>
      </c>
      <c r="C180" s="56" t="s">
        <v>74</v>
      </c>
      <c r="D180" s="1069"/>
      <c r="E180" s="2638"/>
      <c r="F180" s="2638"/>
      <c r="G180" s="2638"/>
      <c r="H180" s="2638"/>
      <c r="I180" s="2638"/>
      <c r="J180" s="2638"/>
      <c r="K180" s="2638"/>
      <c r="L180" s="41"/>
      <c r="M180" s="43"/>
      <c r="N180" s="43"/>
      <c r="O180" s="87"/>
      <c r="P180" s="2287" t="s">
        <v>299</v>
      </c>
    </row>
    <row r="181" spans="1:16" ht="13.5" thickBot="1">
      <c r="A181" s="3392"/>
      <c r="B181" s="531" t="s">
        <v>10</v>
      </c>
      <c r="C181" s="426"/>
      <c r="D181" s="795">
        <f>+D182+D185</f>
        <v>45446170</v>
      </c>
      <c r="E181" s="1809">
        <f>+E182+E185</f>
        <v>0</v>
      </c>
      <c r="F181" s="1809">
        <f>+F182+F185</f>
        <v>14408172</v>
      </c>
      <c r="G181" s="1809">
        <f>+G182+G185</f>
        <v>29937998</v>
      </c>
      <c r="H181" s="1809">
        <f>+H182+H185</f>
        <v>1100000</v>
      </c>
      <c r="I181" s="1809"/>
      <c r="J181" s="1809"/>
      <c r="K181" s="1809"/>
      <c r="L181" s="1809"/>
      <c r="M181" s="1802">
        <f>M182+M185</f>
        <v>45446170</v>
      </c>
      <c r="N181" s="1802">
        <f>N182+N185</f>
        <v>31037998</v>
      </c>
      <c r="O181" s="3318" t="s">
        <v>79</v>
      </c>
      <c r="P181" s="2291"/>
    </row>
    <row r="182" spans="1:16" ht="13.5" customHeight="1" thickBot="1">
      <c r="A182" s="3392"/>
      <c r="B182" s="508" t="s">
        <v>23</v>
      </c>
      <c r="C182" s="3344" t="s">
        <v>77</v>
      </c>
      <c r="D182" s="592">
        <f>+D183+D184</f>
        <v>8511188</v>
      </c>
      <c r="E182" s="592">
        <f>+E183+E184</f>
        <v>0</v>
      </c>
      <c r="F182" s="592">
        <f>+F183+F184</f>
        <v>2611259</v>
      </c>
      <c r="G182" s="592">
        <f>+G183+G184</f>
        <v>4799929</v>
      </c>
      <c r="H182" s="592">
        <f>+H183+H184</f>
        <v>1100000</v>
      </c>
      <c r="I182" s="592"/>
      <c r="J182" s="592"/>
      <c r="K182" s="592"/>
      <c r="L182" s="592"/>
      <c r="M182" s="515">
        <f>M183</f>
        <v>8511188</v>
      </c>
      <c r="N182" s="515">
        <f>N183</f>
        <v>5899929</v>
      </c>
      <c r="O182" s="3318"/>
      <c r="P182" s="2291"/>
    </row>
    <row r="183" spans="1:16" ht="13.5" thickBot="1">
      <c r="A183" s="3392"/>
      <c r="B183" s="802" t="s">
        <v>12</v>
      </c>
      <c r="C183" s="3352"/>
      <c r="D183" s="773">
        <f>E183+F183+G183+H183+I183+J183+K183+L183</f>
        <v>8511188</v>
      </c>
      <c r="E183" s="788">
        <v>0</v>
      </c>
      <c r="F183" s="788">
        <f>4500000-1204062+1962312-2646991</f>
        <v>2611259</v>
      </c>
      <c r="G183" s="788">
        <f>4215000+1785000+1171207-1962312+2646991-2670153-385804</f>
        <v>4799929</v>
      </c>
      <c r="H183" s="788">
        <v>1100000</v>
      </c>
      <c r="I183" s="788"/>
      <c r="J183" s="788"/>
      <c r="K183" s="788"/>
      <c r="L183" s="788"/>
      <c r="M183" s="796">
        <f>SUM(F183:K183)</f>
        <v>8511188</v>
      </c>
      <c r="N183" s="796">
        <f>SUM(G183:L183)</f>
        <v>5899929</v>
      </c>
      <c r="O183" s="3318"/>
      <c r="P183" s="2291"/>
    </row>
    <row r="184" spans="1:16" ht="10.5" hidden="1" customHeight="1">
      <c r="A184" s="3392"/>
      <c r="B184" s="1178" t="s">
        <v>15</v>
      </c>
      <c r="C184" s="3352"/>
      <c r="D184" s="773">
        <f>SUM(E184:I184)</f>
        <v>0</v>
      </c>
      <c r="E184" s="1824">
        <v>0</v>
      </c>
      <c r="F184" s="803"/>
      <c r="G184" s="803"/>
      <c r="H184" s="803"/>
      <c r="I184" s="803"/>
      <c r="J184" s="197"/>
      <c r="K184" s="197"/>
      <c r="L184" s="197"/>
      <c r="M184" s="67"/>
      <c r="N184" s="67"/>
      <c r="O184" s="3318"/>
    </row>
    <row r="185" spans="1:16" ht="12.75" customHeight="1" thickBot="1">
      <c r="A185" s="3392"/>
      <c r="B185" s="798" t="s">
        <v>18</v>
      </c>
      <c r="C185" s="3352"/>
      <c r="D185" s="516">
        <f>+D186</f>
        <v>36934982</v>
      </c>
      <c r="E185" s="1810">
        <f t="shared" ref="E185:H185" si="112">+E186</f>
        <v>0</v>
      </c>
      <c r="F185" s="1810">
        <f t="shared" si="112"/>
        <v>11796913</v>
      </c>
      <c r="G185" s="1810">
        <f t="shared" si="112"/>
        <v>25138069</v>
      </c>
      <c r="H185" s="1810">
        <f t="shared" si="112"/>
        <v>0</v>
      </c>
      <c r="I185" s="1810"/>
      <c r="J185" s="516"/>
      <c r="K185" s="516"/>
      <c r="L185" s="516"/>
      <c r="M185" s="515">
        <f>M186</f>
        <v>36934982</v>
      </c>
      <c r="N185" s="515">
        <f>N186</f>
        <v>25138069</v>
      </c>
      <c r="O185" s="3318"/>
    </row>
    <row r="186" spans="1:16" ht="13.5" thickBot="1">
      <c r="A186" s="3392"/>
      <c r="B186" s="323" t="s">
        <v>20</v>
      </c>
      <c r="C186" s="3402"/>
      <c r="D186" s="1815">
        <f>E186+F186+G186+H186+I186+J186+K186+L186</f>
        <v>36934982</v>
      </c>
      <c r="E186" s="788">
        <v>0</v>
      </c>
      <c r="F186" s="788">
        <f>38250000+85000-21335000+1110315-5313565-999837</f>
        <v>11796913</v>
      </c>
      <c r="G186" s="788">
        <f>13685000+11815000-1296496+5313565+999837-3861343-1517494</f>
        <v>25138069</v>
      </c>
      <c r="H186" s="1811">
        <v>0</v>
      </c>
      <c r="I186" s="1811"/>
      <c r="J186" s="578"/>
      <c r="K186" s="578"/>
      <c r="L186" s="578"/>
      <c r="M186" s="796">
        <f>SUM(F186:K186)</f>
        <v>36934982</v>
      </c>
      <c r="N186" s="796">
        <f>SUM(G186:L186)</f>
        <v>25138069</v>
      </c>
      <c r="O186" s="3319"/>
    </row>
    <row r="187" spans="1:16" ht="11.25" customHeight="1" thickBot="1">
      <c r="A187" s="3393"/>
      <c r="B187" s="19" t="s">
        <v>21</v>
      </c>
      <c r="C187" s="88"/>
      <c r="D187" s="97">
        <f t="shared" ref="D187:E187" si="113">+D188+D190</f>
        <v>36934982</v>
      </c>
      <c r="E187" s="223">
        <f t="shared" si="113"/>
        <v>0</v>
      </c>
      <c r="F187" s="223">
        <f>+F188+F190</f>
        <v>0</v>
      </c>
      <c r="G187" s="223">
        <f>+G188+G190</f>
        <v>33696736</v>
      </c>
      <c r="H187" s="223">
        <f>+H188+H190</f>
        <v>3238246</v>
      </c>
      <c r="I187" s="223"/>
      <c r="J187" s="223"/>
      <c r="K187" s="223"/>
      <c r="L187" s="223"/>
      <c r="M187" s="3403" t="s">
        <v>22</v>
      </c>
      <c r="N187" s="3403" t="s">
        <v>22</v>
      </c>
      <c r="O187" s="3407" t="s">
        <v>94</v>
      </c>
    </row>
    <row r="188" spans="1:16" ht="13.5" hidden="1" customHeight="1">
      <c r="A188" s="3393"/>
      <c r="B188" s="800" t="s">
        <v>23</v>
      </c>
      <c r="C188" s="3410" t="s">
        <v>226</v>
      </c>
      <c r="D188" s="50">
        <f>+D189</f>
        <v>0</v>
      </c>
      <c r="E188" s="250">
        <v>0</v>
      </c>
      <c r="F188" s="50"/>
      <c r="G188" s="50"/>
      <c r="H188" s="50"/>
      <c r="I188" s="50"/>
      <c r="J188" s="50"/>
      <c r="K188" s="50"/>
      <c r="L188" s="50"/>
      <c r="M188" s="3366"/>
      <c r="N188" s="3366"/>
      <c r="O188" s="3408"/>
    </row>
    <row r="189" spans="1:16" ht="13.5" hidden="1" customHeight="1">
      <c r="A189" s="3393"/>
      <c r="B189" s="90" t="s">
        <v>15</v>
      </c>
      <c r="C189" s="3411"/>
      <c r="D189" s="773">
        <f>SUM(E189:I189)</f>
        <v>0</v>
      </c>
      <c r="E189" s="1825">
        <v>0</v>
      </c>
      <c r="F189" s="1808"/>
      <c r="G189" s="1808"/>
      <c r="H189" s="1808"/>
      <c r="I189" s="1808"/>
      <c r="J189" s="1808"/>
      <c r="K189" s="1808"/>
      <c r="L189" s="1808"/>
      <c r="M189" s="3366"/>
      <c r="N189" s="3366"/>
      <c r="O189" s="3408"/>
    </row>
    <row r="190" spans="1:16" ht="12" customHeight="1" thickBot="1">
      <c r="A190" s="3393"/>
      <c r="B190" s="1821" t="s">
        <v>18</v>
      </c>
      <c r="C190" s="3411"/>
      <c r="D190" s="516">
        <f t="shared" ref="D190:H190" si="114">+D191</f>
        <v>36934982</v>
      </c>
      <c r="E190" s="1810">
        <f t="shared" si="114"/>
        <v>0</v>
      </c>
      <c r="F190" s="1810">
        <f t="shared" si="114"/>
        <v>0</v>
      </c>
      <c r="G190" s="1810">
        <f t="shared" si="114"/>
        <v>33696736</v>
      </c>
      <c r="H190" s="1810">
        <f t="shared" si="114"/>
        <v>3238246</v>
      </c>
      <c r="I190" s="1810"/>
      <c r="J190" s="1810"/>
      <c r="K190" s="1810"/>
      <c r="L190" s="1810"/>
      <c r="M190" s="3366"/>
      <c r="N190" s="3366"/>
      <c r="O190" s="3408"/>
    </row>
    <row r="191" spans="1:16" ht="13.5" customHeight="1" thickBot="1">
      <c r="A191" s="3393"/>
      <c r="B191" s="801" t="s">
        <v>20</v>
      </c>
      <c r="C191" s="3412"/>
      <c r="D191" s="1666">
        <f>E191+F191+G191+H191+I191+J191+K191+L191</f>
        <v>36934982</v>
      </c>
      <c r="E191" s="1666">
        <v>0</v>
      </c>
      <c r="F191" s="1586">
        <f>38335000-21335000+1110315-18110315</f>
        <v>0</v>
      </c>
      <c r="G191" s="1586">
        <f>13685000+11815000-1296496+18110315-11313819+2696736</f>
        <v>33696736</v>
      </c>
      <c r="H191" s="1586">
        <f>7452476-4214230</f>
        <v>3238246</v>
      </c>
      <c r="I191" s="1586"/>
      <c r="J191" s="1586"/>
      <c r="K191" s="1586"/>
      <c r="L191" s="1586"/>
      <c r="M191" s="3367"/>
      <c r="N191" s="3367"/>
      <c r="O191" s="3409"/>
    </row>
    <row r="192" spans="1:16" ht="24.75" customHeight="1" thickBot="1">
      <c r="A192" s="3392" t="s">
        <v>107</v>
      </c>
      <c r="B192" s="72" t="s">
        <v>702</v>
      </c>
      <c r="C192" s="56" t="s">
        <v>74</v>
      </c>
      <c r="D192" s="1069"/>
      <c r="E192" s="2638"/>
      <c r="F192" s="2638"/>
      <c r="G192" s="2638"/>
      <c r="H192" s="2638"/>
      <c r="I192" s="2638"/>
      <c r="J192" s="2638"/>
      <c r="K192" s="2638"/>
      <c r="L192" s="41"/>
      <c r="M192" s="43"/>
      <c r="N192" s="43"/>
      <c r="O192" s="87"/>
    </row>
    <row r="193" spans="1:16" ht="13.5" thickBot="1">
      <c r="A193" s="3392"/>
      <c r="B193" s="531" t="s">
        <v>10</v>
      </c>
      <c r="C193" s="601"/>
      <c r="D193" s="795">
        <f>+D194+D197</f>
        <v>110000000</v>
      </c>
      <c r="E193" s="560">
        <f t="shared" ref="E193" si="115">+E194+E197</f>
        <v>0</v>
      </c>
      <c r="F193" s="560">
        <f>+F194+F197</f>
        <v>0</v>
      </c>
      <c r="G193" s="560">
        <f>+G194+G197</f>
        <v>0</v>
      </c>
      <c r="H193" s="560">
        <f t="shared" ref="H193:J193" si="116">+H194+H197</f>
        <v>39650000</v>
      </c>
      <c r="I193" s="560">
        <f t="shared" si="116"/>
        <v>40350000</v>
      </c>
      <c r="J193" s="560">
        <f t="shared" si="116"/>
        <v>30000000</v>
      </c>
      <c r="K193" s="560"/>
      <c r="L193" s="560"/>
      <c r="M193" s="781">
        <f>M194+M197</f>
        <v>110000000</v>
      </c>
      <c r="N193" s="781">
        <f>N194+N197</f>
        <v>110000000</v>
      </c>
      <c r="O193" s="3318" t="s">
        <v>79</v>
      </c>
      <c r="P193" s="2291"/>
    </row>
    <row r="194" spans="1:16" ht="13.5" customHeight="1" thickBot="1">
      <c r="A194" s="3392"/>
      <c r="B194" s="508" t="s">
        <v>23</v>
      </c>
      <c r="C194" s="3344" t="s">
        <v>77</v>
      </c>
      <c r="D194" s="592">
        <f>+D195+D196</f>
        <v>16627500</v>
      </c>
      <c r="E194" s="592">
        <f t="shared" ref="E194" si="117">+E195+E196</f>
        <v>0</v>
      </c>
      <c r="F194" s="592">
        <f>+F195+F196</f>
        <v>0</v>
      </c>
      <c r="G194" s="592">
        <f>+G195+G196</f>
        <v>0</v>
      </c>
      <c r="H194" s="592">
        <f t="shared" ref="H194:J194" si="118">+H195+H196</f>
        <v>6075000</v>
      </c>
      <c r="I194" s="592">
        <f t="shared" si="118"/>
        <v>6052500</v>
      </c>
      <c r="J194" s="592">
        <f t="shared" si="118"/>
        <v>4500000</v>
      </c>
      <c r="K194" s="592"/>
      <c r="L194" s="592"/>
      <c r="M194" s="515">
        <f>M195</f>
        <v>16627500</v>
      </c>
      <c r="N194" s="515">
        <f>N195</f>
        <v>16627500</v>
      </c>
      <c r="O194" s="3318"/>
      <c r="P194" s="2291"/>
    </row>
    <row r="195" spans="1:16" ht="11.25" customHeight="1" thickBot="1">
      <c r="A195" s="3392"/>
      <c r="B195" s="802" t="s">
        <v>12</v>
      </c>
      <c r="C195" s="3352"/>
      <c r="D195" s="235">
        <f>E195+F195+G195+H195+I195+J195+K195+L195</f>
        <v>16627500</v>
      </c>
      <c r="E195" s="265"/>
      <c r="F195" s="788"/>
      <c r="G195" s="788">
        <f>200000-200000</f>
        <v>0</v>
      </c>
      <c r="H195" s="788">
        <f>5875000+200000</f>
        <v>6075000</v>
      </c>
      <c r="I195" s="788">
        <v>6052500</v>
      </c>
      <c r="J195" s="788">
        <v>4500000</v>
      </c>
      <c r="K195" s="788"/>
      <c r="L195" s="788"/>
      <c r="M195" s="796">
        <f>SUM(F195:K195)</f>
        <v>16627500</v>
      </c>
      <c r="N195" s="796">
        <f>SUM(G195:L195)</f>
        <v>16627500</v>
      </c>
      <c r="O195" s="3318"/>
      <c r="P195" s="2291"/>
    </row>
    <row r="196" spans="1:16" ht="10.5" hidden="1" customHeight="1">
      <c r="A196" s="3392"/>
      <c r="B196" s="1178" t="s">
        <v>15</v>
      </c>
      <c r="C196" s="3352"/>
      <c r="D196" s="773">
        <f>SUM(E196:I196)</f>
        <v>0</v>
      </c>
      <c r="E196" s="1824">
        <v>0</v>
      </c>
      <c r="F196" s="803"/>
      <c r="G196" s="803"/>
      <c r="H196" s="803"/>
      <c r="I196" s="803"/>
      <c r="J196" s="197"/>
      <c r="K196" s="197"/>
      <c r="L196" s="197"/>
      <c r="M196" s="67"/>
      <c r="N196" s="67"/>
      <c r="O196" s="3318"/>
    </row>
    <row r="197" spans="1:16" ht="12.75" customHeight="1" thickBot="1">
      <c r="A197" s="3392"/>
      <c r="B197" s="798" t="s">
        <v>18</v>
      </c>
      <c r="C197" s="3352"/>
      <c r="D197" s="516">
        <f>+D198</f>
        <v>93372500</v>
      </c>
      <c r="E197" s="786">
        <f t="shared" ref="E197:J197" si="119">+E198</f>
        <v>0</v>
      </c>
      <c r="F197" s="786">
        <f t="shared" si="119"/>
        <v>0</v>
      </c>
      <c r="G197" s="786">
        <f t="shared" si="119"/>
        <v>0</v>
      </c>
      <c r="H197" s="786">
        <f t="shared" si="119"/>
        <v>33575000</v>
      </c>
      <c r="I197" s="786">
        <f t="shared" si="119"/>
        <v>34297500</v>
      </c>
      <c r="J197" s="786">
        <f t="shared" si="119"/>
        <v>25500000</v>
      </c>
      <c r="K197" s="516"/>
      <c r="L197" s="516"/>
      <c r="M197" s="515">
        <f>M198</f>
        <v>93372500</v>
      </c>
      <c r="N197" s="515">
        <f>N198</f>
        <v>93372500</v>
      </c>
      <c r="O197" s="3318"/>
    </row>
    <row r="198" spans="1:16" ht="12" customHeight="1" thickBot="1">
      <c r="A198" s="3392"/>
      <c r="B198" s="802" t="s">
        <v>20</v>
      </c>
      <c r="C198" s="3402"/>
      <c r="D198" s="1320">
        <f>E198+F198+G198+H198+I198+J198+K198+L198</f>
        <v>93372500</v>
      </c>
      <c r="E198" s="265"/>
      <c r="F198" s="788"/>
      <c r="G198" s="788">
        <f>850000-850000</f>
        <v>0</v>
      </c>
      <c r="H198" s="579">
        <f>32725000+850000</f>
        <v>33575000</v>
      </c>
      <c r="I198" s="579">
        <v>34297500</v>
      </c>
      <c r="J198" s="578">
        <v>25500000</v>
      </c>
      <c r="K198" s="578"/>
      <c r="L198" s="578"/>
      <c r="M198" s="796">
        <f>SUM(F198:K198)</f>
        <v>93372500</v>
      </c>
      <c r="N198" s="796">
        <f>SUM(G198:L198)</f>
        <v>93372500</v>
      </c>
      <c r="O198" s="3319"/>
    </row>
    <row r="199" spans="1:16" ht="13.5" thickBot="1">
      <c r="A199" s="3393"/>
      <c r="B199" s="91" t="s">
        <v>21</v>
      </c>
      <c r="C199" s="88"/>
      <c r="D199" s="97">
        <f t="shared" ref="D199" si="120">+D200+D202</f>
        <v>93372500</v>
      </c>
      <c r="E199" s="223">
        <f t="shared" ref="E199" si="121">+E200+E202</f>
        <v>0</v>
      </c>
      <c r="F199" s="223">
        <f>+F200+F202</f>
        <v>0</v>
      </c>
      <c r="G199" s="223">
        <f>+G200+G202</f>
        <v>0</v>
      </c>
      <c r="H199" s="223">
        <f t="shared" ref="H199:J199" si="122">+H200+H202</f>
        <v>33575000</v>
      </c>
      <c r="I199" s="223">
        <f t="shared" si="122"/>
        <v>34297500</v>
      </c>
      <c r="J199" s="223">
        <f t="shared" si="122"/>
        <v>25500000</v>
      </c>
      <c r="K199" s="223"/>
      <c r="L199" s="223"/>
      <c r="M199" s="3403" t="s">
        <v>22</v>
      </c>
      <c r="N199" s="3403" t="s">
        <v>22</v>
      </c>
      <c r="O199" s="3407" t="s">
        <v>94</v>
      </c>
    </row>
    <row r="200" spans="1:16" ht="13.5" hidden="1" thickBot="1">
      <c r="A200" s="3393"/>
      <c r="B200" s="800" t="s">
        <v>23</v>
      </c>
      <c r="C200" s="3410" t="s">
        <v>226</v>
      </c>
      <c r="D200" s="50">
        <f>+D201</f>
        <v>0</v>
      </c>
      <c r="E200" s="50">
        <f t="shared" ref="E200" si="123">+E201</f>
        <v>0</v>
      </c>
      <c r="F200" s="50"/>
      <c r="G200" s="50"/>
      <c r="H200" s="50"/>
      <c r="I200" s="50"/>
      <c r="J200" s="50"/>
      <c r="K200" s="50"/>
      <c r="L200" s="50"/>
      <c r="M200" s="3366"/>
      <c r="N200" s="3367"/>
      <c r="O200" s="3409"/>
    </row>
    <row r="201" spans="1:16" ht="13.5" hidden="1" thickBot="1">
      <c r="A201" s="3393"/>
      <c r="B201" s="90" t="s">
        <v>15</v>
      </c>
      <c r="C201" s="3412"/>
      <c r="D201" s="773">
        <f>SUM(E201:I201)</f>
        <v>0</v>
      </c>
      <c r="E201" s="785">
        <v>0</v>
      </c>
      <c r="F201" s="785"/>
      <c r="G201" s="785"/>
      <c r="H201" s="785"/>
      <c r="I201" s="785"/>
      <c r="J201" s="785"/>
      <c r="K201" s="785"/>
      <c r="L201" s="785"/>
      <c r="M201" s="3366"/>
      <c r="N201" s="3370"/>
      <c r="O201" s="3494"/>
    </row>
    <row r="202" spans="1:16" ht="12" customHeight="1" thickBot="1">
      <c r="A202" s="3393"/>
      <c r="B202" s="1821" t="s">
        <v>18</v>
      </c>
      <c r="C202" s="3495"/>
      <c r="D202" s="516">
        <f t="shared" ref="D202:J202" si="124">+D203</f>
        <v>93372500</v>
      </c>
      <c r="E202" s="786">
        <f t="shared" si="124"/>
        <v>0</v>
      </c>
      <c r="F202" s="786">
        <f t="shared" si="124"/>
        <v>0</v>
      </c>
      <c r="G202" s="786">
        <f t="shared" si="124"/>
        <v>0</v>
      </c>
      <c r="H202" s="786">
        <f t="shared" si="124"/>
        <v>33575000</v>
      </c>
      <c r="I202" s="786">
        <f t="shared" si="124"/>
        <v>34297500</v>
      </c>
      <c r="J202" s="786">
        <f t="shared" si="124"/>
        <v>25500000</v>
      </c>
      <c r="K202" s="786"/>
      <c r="L202" s="786"/>
      <c r="M202" s="3366"/>
      <c r="N202" s="3370"/>
      <c r="O202" s="3494"/>
    </row>
    <row r="203" spans="1:16" ht="13.5" thickBot="1">
      <c r="A203" s="3393"/>
      <c r="B203" s="801" t="s">
        <v>20</v>
      </c>
      <c r="C203" s="3495"/>
      <c r="D203" s="235">
        <f>E203+F203+G203+H203+I203+J203+K203+L203</f>
        <v>93372500</v>
      </c>
      <c r="E203" s="265">
        <v>0</v>
      </c>
      <c r="F203" s="408">
        <v>0</v>
      </c>
      <c r="G203" s="408">
        <v>0</v>
      </c>
      <c r="H203" s="408">
        <v>33575000</v>
      </c>
      <c r="I203" s="408">
        <v>34297500</v>
      </c>
      <c r="J203" s="408">
        <v>25500000</v>
      </c>
      <c r="K203" s="408"/>
      <c r="L203" s="408"/>
      <c r="M203" s="3367"/>
      <c r="N203" s="3370"/>
      <c r="O203" s="3494"/>
    </row>
    <row r="204" spans="1:16" ht="24.75" customHeight="1" thickBot="1">
      <c r="A204" s="3385" t="s">
        <v>80</v>
      </c>
      <c r="B204" s="366" t="s">
        <v>782</v>
      </c>
      <c r="C204" s="1338" t="s">
        <v>74</v>
      </c>
      <c r="D204" s="2662"/>
      <c r="E204" s="2638"/>
      <c r="F204" s="2638"/>
      <c r="G204" s="2638"/>
      <c r="H204" s="2638"/>
      <c r="I204" s="2638"/>
      <c r="J204" s="2638"/>
      <c r="K204" s="2638"/>
      <c r="L204" s="41"/>
      <c r="M204" s="43"/>
      <c r="N204" s="3189"/>
      <c r="O204" s="3383" t="s">
        <v>79</v>
      </c>
    </row>
    <row r="205" spans="1:16" ht="13.5" thickBot="1">
      <c r="A205" s="3386"/>
      <c r="B205" s="410" t="s">
        <v>10</v>
      </c>
      <c r="C205" s="3190"/>
      <c r="D205" s="114">
        <f>+D206+D209</f>
        <v>23642533</v>
      </c>
      <c r="E205" s="114">
        <f t="shared" ref="E205" si="125">+E206+E209</f>
        <v>598614</v>
      </c>
      <c r="F205" s="114">
        <f t="shared" ref="F205:H205" si="126">+F206+F209</f>
        <v>2091120</v>
      </c>
      <c r="G205" s="114">
        <f t="shared" si="126"/>
        <v>10664710</v>
      </c>
      <c r="H205" s="114">
        <f t="shared" si="126"/>
        <v>10288089</v>
      </c>
      <c r="I205" s="114"/>
      <c r="J205" s="114"/>
      <c r="K205" s="114"/>
      <c r="L205" s="114"/>
      <c r="M205" s="3191">
        <f>+M206+M209</f>
        <v>23043919</v>
      </c>
      <c r="N205" s="526">
        <f>+N206+N209</f>
        <v>20952799</v>
      </c>
      <c r="O205" s="3383"/>
      <c r="P205" s="2287" t="s">
        <v>460</v>
      </c>
    </row>
    <row r="206" spans="1:16" ht="13.5" customHeight="1" thickBot="1">
      <c r="A206" s="3386"/>
      <c r="B206" s="535" t="s">
        <v>23</v>
      </c>
      <c r="C206" s="3311" t="s">
        <v>77</v>
      </c>
      <c r="D206" s="1324">
        <f>+D207+D208</f>
        <v>8793718</v>
      </c>
      <c r="E206" s="1324">
        <f t="shared" ref="E206" si="127">+E207</f>
        <v>598614</v>
      </c>
      <c r="F206" s="1324">
        <f>+F207+F208</f>
        <v>1120337</v>
      </c>
      <c r="G206" s="1324">
        <f>+G207+G208</f>
        <v>2917334</v>
      </c>
      <c r="H206" s="1324">
        <f>+H207+H208</f>
        <v>4157433</v>
      </c>
      <c r="I206" s="1324"/>
      <c r="J206" s="1324"/>
      <c r="K206" s="1324"/>
      <c r="L206" s="1324"/>
      <c r="M206" s="1325">
        <f>+M207+M208</f>
        <v>8195104</v>
      </c>
      <c r="N206" s="1325">
        <f>+N207+N208</f>
        <v>7074767</v>
      </c>
      <c r="O206" s="3383"/>
      <c r="P206" s="2291"/>
    </row>
    <row r="207" spans="1:16" ht="13.5" thickBot="1">
      <c r="A207" s="3386"/>
      <c r="B207" s="589" t="s">
        <v>12</v>
      </c>
      <c r="C207" s="3312"/>
      <c r="D207" s="1216">
        <f>E207+F207+G207+H207+I207+J207+K207+L207</f>
        <v>718614</v>
      </c>
      <c r="E207" s="1262">
        <v>598614</v>
      </c>
      <c r="F207" s="1301">
        <f>2960680-2945680+5000-13764</f>
        <v>6236</v>
      </c>
      <c r="G207" s="1301">
        <v>113764</v>
      </c>
      <c r="H207" s="1301"/>
      <c r="I207" s="1301"/>
      <c r="J207" s="1301"/>
      <c r="K207" s="1301"/>
      <c r="L207" s="1301"/>
      <c r="M207" s="796">
        <f>SUM(F207:K207)</f>
        <v>120000</v>
      </c>
      <c r="N207" s="796">
        <f>SUM(G207:L207)</f>
        <v>113764</v>
      </c>
      <c r="O207" s="3383"/>
    </row>
    <row r="208" spans="1:16" ht="13.5" thickBot="1">
      <c r="A208" s="3386"/>
      <c r="B208" s="2706" t="s">
        <v>15</v>
      </c>
      <c r="C208" s="3312"/>
      <c r="D208" s="1216">
        <f>E208+F208+G208+H208+I208+J208+K208+L208</f>
        <v>8075104</v>
      </c>
      <c r="E208" s="1262">
        <v>0</v>
      </c>
      <c r="F208" s="814">
        <f>4895843-1267664-2000000-514078</f>
        <v>1114101</v>
      </c>
      <c r="G208" s="814">
        <f>4774157+1267664-1486774+514078-2265555</f>
        <v>2803570</v>
      </c>
      <c r="H208" s="814">
        <f>2426653+1730780</f>
        <v>4157433</v>
      </c>
      <c r="I208" s="814"/>
      <c r="J208" s="814"/>
      <c r="K208" s="814"/>
      <c r="L208" s="814"/>
      <c r="M208" s="796">
        <f>SUM(F208:K208)</f>
        <v>8075104</v>
      </c>
      <c r="N208" s="796">
        <f>SUM(G208:L208)</f>
        <v>6961003</v>
      </c>
      <c r="O208" s="3383"/>
    </row>
    <row r="209" spans="1:17" ht="13.5" customHeight="1" thickBot="1">
      <c r="A209" s="3386"/>
      <c r="B209" s="537" t="s">
        <v>18</v>
      </c>
      <c r="C209" s="3312"/>
      <c r="D209" s="1288">
        <f>+D210</f>
        <v>14848815</v>
      </c>
      <c r="E209" s="1288">
        <f t="shared" ref="E209:H209" si="128">+E210</f>
        <v>0</v>
      </c>
      <c r="F209" s="1288">
        <f t="shared" si="128"/>
        <v>970783</v>
      </c>
      <c r="G209" s="1288">
        <f t="shared" si="128"/>
        <v>7747376</v>
      </c>
      <c r="H209" s="1288">
        <f t="shared" si="128"/>
        <v>6130656</v>
      </c>
      <c r="I209" s="1288"/>
      <c r="J209" s="1288"/>
      <c r="K209" s="1288"/>
      <c r="L209" s="1288"/>
      <c r="M209" s="1289">
        <f>+M210</f>
        <v>14848815</v>
      </c>
      <c r="N209" s="1289">
        <f>+N210</f>
        <v>13878032</v>
      </c>
      <c r="O209" s="3383"/>
    </row>
    <row r="210" spans="1:17">
      <c r="A210" s="3386"/>
      <c r="B210" s="1303" t="s">
        <v>20</v>
      </c>
      <c r="C210" s="3320"/>
      <c r="D210" s="1216">
        <f>E210+F210+G210+H210+I210+J210+K210+L210</f>
        <v>14848815</v>
      </c>
      <c r="E210" s="1262">
        <v>0</v>
      </c>
      <c r="F210" s="1301">
        <f>5649157-3777336-901038</f>
        <v>970783</v>
      </c>
      <c r="G210" s="1301">
        <f>14225843+3777336-5026185+901038-6130656</f>
        <v>7747376</v>
      </c>
      <c r="H210" s="1301">
        <v>6130656</v>
      </c>
      <c r="I210" s="1301"/>
      <c r="J210" s="1301"/>
      <c r="K210" s="1301"/>
      <c r="L210" s="1301"/>
      <c r="M210" s="796">
        <f>SUM(F210:K210)</f>
        <v>14848815</v>
      </c>
      <c r="N210" s="796">
        <f>SUM(G210:L210)</f>
        <v>13878032</v>
      </c>
      <c r="O210" s="3384"/>
    </row>
    <row r="211" spans="1:17" ht="13.5" thickBot="1">
      <c r="A211" s="3386"/>
      <c r="B211" s="410" t="s">
        <v>21</v>
      </c>
      <c r="C211" s="512"/>
      <c r="D211" s="1285">
        <f>+D214+D212</f>
        <v>22923919</v>
      </c>
      <c r="E211" s="1285">
        <f t="shared" ref="E211" si="129">+E214+E212</f>
        <v>0</v>
      </c>
      <c r="F211" s="1285">
        <f t="shared" ref="F211" si="130">+F214+F212</f>
        <v>2985504</v>
      </c>
      <c r="G211" s="1285">
        <f t="shared" ref="G211:H211" si="131">+G214+G212</f>
        <v>11302970</v>
      </c>
      <c r="H211" s="1285">
        <f t="shared" si="131"/>
        <v>8635445</v>
      </c>
      <c r="I211" s="1285"/>
      <c r="J211" s="1285"/>
      <c r="K211" s="1285"/>
      <c r="L211" s="1285"/>
      <c r="M211" s="3321" t="s">
        <v>22</v>
      </c>
      <c r="N211" s="3321" t="s">
        <v>22</v>
      </c>
      <c r="O211" s="3310" t="s">
        <v>94</v>
      </c>
      <c r="P211" s="2291"/>
      <c r="Q211" s="2291">
        <v>-1230552</v>
      </c>
    </row>
    <row r="212" spans="1:17" ht="12" customHeight="1" thickBot="1">
      <c r="A212" s="3386"/>
      <c r="B212" s="1304" t="s">
        <v>23</v>
      </c>
      <c r="C212" s="3351" t="s">
        <v>620</v>
      </c>
      <c r="D212" s="1288">
        <f>+D213</f>
        <v>8075104</v>
      </c>
      <c r="E212" s="1288">
        <f t="shared" ref="E212:H212" si="132">+E213</f>
        <v>0</v>
      </c>
      <c r="F212" s="1288">
        <f t="shared" si="132"/>
        <v>1114101</v>
      </c>
      <c r="G212" s="1288">
        <f t="shared" si="132"/>
        <v>2803570</v>
      </c>
      <c r="H212" s="1288">
        <f t="shared" si="132"/>
        <v>4157433</v>
      </c>
      <c r="I212" s="1288"/>
      <c r="J212" s="1288"/>
      <c r="K212" s="1288"/>
      <c r="L212" s="1288"/>
      <c r="M212" s="3322"/>
      <c r="N212" s="3322"/>
      <c r="O212" s="3413"/>
    </row>
    <row r="213" spans="1:17" ht="12" customHeight="1" thickBot="1">
      <c r="A213" s="3386"/>
      <c r="B213" s="1315" t="s">
        <v>15</v>
      </c>
      <c r="C213" s="3347"/>
      <c r="D213" s="1216">
        <f>E213+F213+G213+H213+I213+J213+K213+L213</f>
        <v>8075104</v>
      </c>
      <c r="E213" s="1262">
        <v>0</v>
      </c>
      <c r="F213" s="1231">
        <f>4895843-1267664-2000000-514078</f>
        <v>1114101</v>
      </c>
      <c r="G213" s="1231">
        <f>4774157+1267664-1486774+514078-2265555</f>
        <v>2803570</v>
      </c>
      <c r="H213" s="1231">
        <f>2426653+1730780</f>
        <v>4157433</v>
      </c>
      <c r="I213" s="1231"/>
      <c r="J213" s="1231"/>
      <c r="K213" s="1231"/>
      <c r="L213" s="1231"/>
      <c r="M213" s="3322"/>
      <c r="N213" s="3322"/>
      <c r="O213" s="3413"/>
    </row>
    <row r="214" spans="1:17" s="3183" customFormat="1">
      <c r="A214" s="3386"/>
      <c r="B214" s="537" t="s">
        <v>18</v>
      </c>
      <c r="C214" s="3347"/>
      <c r="D214" s="1306">
        <f>+D215</f>
        <v>14848815</v>
      </c>
      <c r="E214" s="1306">
        <f t="shared" ref="E214:H214" si="133">+E215</f>
        <v>0</v>
      </c>
      <c r="F214" s="1306">
        <f t="shared" si="133"/>
        <v>1871403</v>
      </c>
      <c r="G214" s="1306">
        <f t="shared" si="133"/>
        <v>8499400</v>
      </c>
      <c r="H214" s="1306">
        <f t="shared" si="133"/>
        <v>4478012</v>
      </c>
      <c r="I214" s="1306"/>
      <c r="J214" s="1306"/>
      <c r="K214" s="1306"/>
      <c r="L214" s="1306"/>
      <c r="M214" s="3322"/>
      <c r="N214" s="3322"/>
      <c r="O214" s="3404"/>
    </row>
    <row r="215" spans="1:17" s="3183" customFormat="1" ht="13.5" thickBot="1">
      <c r="A215" s="3387"/>
      <c r="B215" s="801" t="s">
        <v>20</v>
      </c>
      <c r="C215" s="3391"/>
      <c r="D215" s="767">
        <f>E215+F215+G215+H215+I215+J215+K215+L215</f>
        <v>14848815</v>
      </c>
      <c r="E215" s="767">
        <v>0</v>
      </c>
      <c r="F215" s="407">
        <f>5649157-3777336-418</f>
        <v>1871403</v>
      </c>
      <c r="G215" s="407">
        <f>14225843+3777336-5026185+418-6091962+1613950</f>
        <v>8499400</v>
      </c>
      <c r="H215" s="407">
        <f>6091962-1613950</f>
        <v>4478012</v>
      </c>
      <c r="I215" s="407"/>
      <c r="J215" s="407"/>
      <c r="K215" s="407"/>
      <c r="L215" s="407"/>
      <c r="M215" s="3323"/>
      <c r="N215" s="3323"/>
      <c r="O215" s="3310"/>
    </row>
    <row r="216" spans="1:17" ht="36.75" customHeight="1">
      <c r="A216" s="3385" t="s">
        <v>81</v>
      </c>
      <c r="B216" s="366" t="s">
        <v>783</v>
      </c>
      <c r="C216" s="56" t="s">
        <v>74</v>
      </c>
      <c r="D216" s="2662"/>
      <c r="E216" s="2638"/>
      <c r="F216" s="2638"/>
      <c r="G216" s="2638"/>
      <c r="H216" s="2638"/>
      <c r="I216" s="2638"/>
      <c r="J216" s="2638"/>
      <c r="K216" s="2638"/>
      <c r="L216" s="41"/>
      <c r="M216" s="43"/>
      <c r="N216" s="43"/>
      <c r="O216" s="3317" t="s">
        <v>79</v>
      </c>
    </row>
    <row r="217" spans="1:17">
      <c r="A217" s="3386"/>
      <c r="B217" s="2055" t="s">
        <v>10</v>
      </c>
      <c r="C217" s="2707"/>
      <c r="D217" s="789">
        <f>+D218+D221</f>
        <v>27596585</v>
      </c>
      <c r="E217" s="789">
        <f t="shared" ref="E217" si="134">+E218+E221</f>
        <v>813504</v>
      </c>
      <c r="F217" s="789">
        <f t="shared" ref="F217" si="135">+F218+F221</f>
        <v>635700</v>
      </c>
      <c r="G217" s="789">
        <f t="shared" ref="G217:H217" si="136">+G218+G221</f>
        <v>1891480</v>
      </c>
      <c r="H217" s="789">
        <f t="shared" si="136"/>
        <v>24255901</v>
      </c>
      <c r="I217" s="789"/>
      <c r="J217" s="789"/>
      <c r="K217" s="789"/>
      <c r="L217" s="789"/>
      <c r="M217" s="1807">
        <f>+M218+M221</f>
        <v>26389281</v>
      </c>
      <c r="N217" s="1807">
        <f>+N218+N221</f>
        <v>26147381</v>
      </c>
      <c r="O217" s="3318"/>
      <c r="P217" s="2287" t="s">
        <v>299</v>
      </c>
    </row>
    <row r="218" spans="1:17" ht="13.5" customHeight="1">
      <c r="A218" s="3386"/>
      <c r="B218" s="2708" t="s">
        <v>23</v>
      </c>
      <c r="C218" s="3388" t="s">
        <v>77</v>
      </c>
      <c r="D218" s="576">
        <f>+D219+D220</f>
        <v>5257058</v>
      </c>
      <c r="E218" s="576">
        <f t="shared" ref="E218" si="137">+E219+E220</f>
        <v>813504</v>
      </c>
      <c r="F218" s="576">
        <f>+F219+F220</f>
        <v>485608</v>
      </c>
      <c r="G218" s="576">
        <f>+G219+G220</f>
        <v>288842</v>
      </c>
      <c r="H218" s="576">
        <f>+H219+H220</f>
        <v>3669104</v>
      </c>
      <c r="I218" s="576"/>
      <c r="J218" s="576"/>
      <c r="K218" s="576"/>
      <c r="L218" s="576"/>
      <c r="M218" s="596">
        <f>+M219</f>
        <v>4049754</v>
      </c>
      <c r="N218" s="596">
        <f>+N219</f>
        <v>3957946</v>
      </c>
      <c r="O218" s="3318"/>
      <c r="P218" s="2291"/>
    </row>
    <row r="219" spans="1:17" ht="13.5" customHeight="1">
      <c r="A219" s="3386"/>
      <c r="B219" s="2709" t="s">
        <v>12</v>
      </c>
      <c r="C219" s="3312"/>
      <c r="D219" s="773">
        <f>E219+F219+G219+H219+I219+J219+K219+L219</f>
        <v>4049800</v>
      </c>
      <c r="E219" s="788">
        <f>5494+46-5494</f>
        <v>46</v>
      </c>
      <c r="F219" s="578">
        <f>990000-518715-41200-338277</f>
        <v>91808</v>
      </c>
      <c r="G219" s="578">
        <f>2977500-2027520-661138</f>
        <v>288842</v>
      </c>
      <c r="H219" s="578">
        <f>518715+532459+1982022+635908</f>
        <v>3669104</v>
      </c>
      <c r="I219" s="578"/>
      <c r="J219" s="578"/>
      <c r="K219" s="578"/>
      <c r="L219" s="578"/>
      <c r="M219" s="796">
        <f>SUM(F219:K219)</f>
        <v>4049754</v>
      </c>
      <c r="N219" s="3192">
        <f>SUM(G219:L219)</f>
        <v>3957946</v>
      </c>
      <c r="O219" s="3318"/>
    </row>
    <row r="220" spans="1:17" ht="13.5" customHeight="1">
      <c r="A220" s="3386"/>
      <c r="B220" s="2706" t="s">
        <v>15</v>
      </c>
      <c r="C220" s="3312"/>
      <c r="D220" s="773">
        <f>E220+F220+G220+H220+I220+J220+K220+L220</f>
        <v>1207258</v>
      </c>
      <c r="E220" s="788">
        <f>807828+136+5494</f>
        <v>813458</v>
      </c>
      <c r="F220" s="814">
        <v>393800</v>
      </c>
      <c r="G220" s="814">
        <v>0</v>
      </c>
      <c r="H220" s="814"/>
      <c r="I220" s="814"/>
      <c r="J220" s="814"/>
      <c r="K220" s="814"/>
      <c r="L220" s="814"/>
      <c r="M220" s="796">
        <f>SUM(F220:K220)</f>
        <v>393800</v>
      </c>
      <c r="N220" s="3192">
        <f>SUM(G220:L220)</f>
        <v>0</v>
      </c>
      <c r="O220" s="3318"/>
    </row>
    <row r="221" spans="1:17" ht="13.5" customHeight="1">
      <c r="A221" s="3386"/>
      <c r="B221" s="3193" t="s">
        <v>18</v>
      </c>
      <c r="C221" s="3312"/>
      <c r="D221" s="516">
        <f>+D222</f>
        <v>22339527</v>
      </c>
      <c r="E221" s="516">
        <f t="shared" ref="E221:H221" si="138">+E222</f>
        <v>0</v>
      </c>
      <c r="F221" s="516">
        <f t="shared" si="138"/>
        <v>150092</v>
      </c>
      <c r="G221" s="516">
        <f t="shared" si="138"/>
        <v>1602638</v>
      </c>
      <c r="H221" s="516">
        <f t="shared" si="138"/>
        <v>20586797</v>
      </c>
      <c r="I221" s="516"/>
      <c r="J221" s="516"/>
      <c r="K221" s="516"/>
      <c r="L221" s="516"/>
      <c r="M221" s="515">
        <f>+M222</f>
        <v>22339527</v>
      </c>
      <c r="N221" s="596">
        <f>+N222</f>
        <v>22189435</v>
      </c>
      <c r="O221" s="3318"/>
    </row>
    <row r="222" spans="1:17" ht="13.5" customHeight="1">
      <c r="A222" s="3386"/>
      <c r="B222" s="543" t="s">
        <v>20</v>
      </c>
      <c r="C222" s="3320"/>
      <c r="D222" s="773">
        <f>E222+F222+G222+H222+I222+J222+K222+L222</f>
        <v>22339527</v>
      </c>
      <c r="E222" s="788">
        <v>0</v>
      </c>
      <c r="F222" s="578">
        <f>5610000-5319385-85000-55523</f>
        <v>150092</v>
      </c>
      <c r="G222" s="578">
        <f>16872500-11640936-3628926</f>
        <v>1602638</v>
      </c>
      <c r="H222" s="578">
        <f>5319385+85000+11696459+3485953</f>
        <v>20586797</v>
      </c>
      <c r="I222" s="578"/>
      <c r="J222" s="578"/>
      <c r="K222" s="578"/>
      <c r="L222" s="578"/>
      <c r="M222" s="796">
        <f>SUM(F222:K222)</f>
        <v>22339527</v>
      </c>
      <c r="N222" s="3192">
        <f>SUM(G222:L222)</f>
        <v>22189435</v>
      </c>
      <c r="O222" s="3319"/>
    </row>
    <row r="223" spans="1:17">
      <c r="A223" s="3386"/>
      <c r="B223" s="2055" t="s">
        <v>21</v>
      </c>
      <c r="C223" s="512"/>
      <c r="D223" s="573">
        <f>+D226+D224</f>
        <v>23546785</v>
      </c>
      <c r="E223" s="573">
        <f t="shared" ref="E223" si="139">+E226+E224</f>
        <v>807964</v>
      </c>
      <c r="F223" s="573">
        <f t="shared" ref="F223:H223" si="140">+F226+F224</f>
        <v>0</v>
      </c>
      <c r="G223" s="573">
        <f t="shared" si="140"/>
        <v>5746726</v>
      </c>
      <c r="H223" s="573">
        <f t="shared" si="140"/>
        <v>16992095</v>
      </c>
      <c r="I223" s="573"/>
      <c r="J223" s="573"/>
      <c r="K223" s="573"/>
      <c r="L223" s="573"/>
      <c r="M223" s="3389" t="s">
        <v>22</v>
      </c>
      <c r="N223" s="3389" t="s">
        <v>22</v>
      </c>
      <c r="O223" s="3390" t="s">
        <v>94</v>
      </c>
      <c r="P223" s="2291"/>
      <c r="Q223" s="2291">
        <v>-1230552</v>
      </c>
    </row>
    <row r="224" spans="1:17" ht="12" customHeight="1">
      <c r="A224" s="3386"/>
      <c r="B224" s="3188" t="s">
        <v>23</v>
      </c>
      <c r="C224" s="3344" t="s">
        <v>620</v>
      </c>
      <c r="D224" s="516">
        <f>+D225</f>
        <v>1207258</v>
      </c>
      <c r="E224" s="516">
        <f t="shared" ref="E224:H224" si="141">+E225</f>
        <v>807964</v>
      </c>
      <c r="F224" s="516">
        <f t="shared" si="141"/>
        <v>0</v>
      </c>
      <c r="G224" s="516">
        <f t="shared" si="141"/>
        <v>399294</v>
      </c>
      <c r="H224" s="516">
        <f t="shared" si="141"/>
        <v>0</v>
      </c>
      <c r="I224" s="516"/>
      <c r="J224" s="516"/>
      <c r="K224" s="516"/>
      <c r="L224" s="516"/>
      <c r="M224" s="3322"/>
      <c r="N224" s="3322"/>
      <c r="O224" s="3309"/>
    </row>
    <row r="225" spans="1:17" ht="12" customHeight="1">
      <c r="A225" s="3386"/>
      <c r="B225" s="1820" t="s">
        <v>15</v>
      </c>
      <c r="C225" s="3347"/>
      <c r="D225" s="773">
        <f>E225+F225+G225+H225+I225+J225+K225+L225</f>
        <v>1207258</v>
      </c>
      <c r="E225" s="788">
        <f>807828+136</f>
        <v>807964</v>
      </c>
      <c r="F225" s="1808"/>
      <c r="G225" s="1808">
        <v>399294</v>
      </c>
      <c r="H225" s="1808"/>
      <c r="I225" s="1808"/>
      <c r="J225" s="1808"/>
      <c r="K225" s="1808"/>
      <c r="L225" s="1808"/>
      <c r="M225" s="3322"/>
      <c r="N225" s="3322"/>
      <c r="O225" s="3309"/>
    </row>
    <row r="226" spans="1:17" s="3183" customFormat="1" ht="13.5" customHeight="1">
      <c r="A226" s="3386"/>
      <c r="B226" s="3193" t="s">
        <v>18</v>
      </c>
      <c r="C226" s="3347"/>
      <c r="D226" s="714">
        <f>+D227</f>
        <v>22339527</v>
      </c>
      <c r="E226" s="714">
        <f t="shared" ref="E226:H226" si="142">+E227</f>
        <v>0</v>
      </c>
      <c r="F226" s="714">
        <f t="shared" si="142"/>
        <v>0</v>
      </c>
      <c r="G226" s="714">
        <f t="shared" si="142"/>
        <v>5347432</v>
      </c>
      <c r="H226" s="714">
        <f t="shared" si="142"/>
        <v>16992095</v>
      </c>
      <c r="I226" s="714"/>
      <c r="J226" s="714"/>
      <c r="K226" s="714"/>
      <c r="L226" s="714"/>
      <c r="M226" s="3322"/>
      <c r="N226" s="3322"/>
      <c r="O226" s="3309"/>
    </row>
    <row r="227" spans="1:17" s="3183" customFormat="1" ht="13.5" thickBot="1">
      <c r="A227" s="3387"/>
      <c r="B227" s="801" t="s">
        <v>20</v>
      </c>
      <c r="C227" s="3391"/>
      <c r="D227" s="1955">
        <f>E227+F227+G227+H227+I227+J227+K227+L227</f>
        <v>22339527</v>
      </c>
      <c r="E227" s="1955">
        <v>0</v>
      </c>
      <c r="F227" s="407">
        <f>5610000-5610000</f>
        <v>0</v>
      </c>
      <c r="G227" s="407">
        <f>16872500+290615-85000-11696459-34224</f>
        <v>5347432</v>
      </c>
      <c r="H227" s="407">
        <f>5319385+85000+11696459-108749</f>
        <v>16992095</v>
      </c>
      <c r="I227" s="407"/>
      <c r="J227" s="407"/>
      <c r="K227" s="407"/>
      <c r="L227" s="407"/>
      <c r="M227" s="3323"/>
      <c r="N227" s="3323"/>
      <c r="O227" s="3310"/>
    </row>
    <row r="228" spans="1:17" ht="35.25" customHeight="1">
      <c r="A228" s="3385" t="s">
        <v>82</v>
      </c>
      <c r="B228" s="366" t="s">
        <v>784</v>
      </c>
      <c r="C228" s="56" t="s">
        <v>74</v>
      </c>
      <c r="D228" s="2662"/>
      <c r="E228" s="2638"/>
      <c r="F228" s="2638"/>
      <c r="G228" s="2638"/>
      <c r="H228" s="2638"/>
      <c r="I228" s="2638"/>
      <c r="J228" s="2638"/>
      <c r="K228" s="2638"/>
      <c r="L228" s="41"/>
      <c r="M228" s="43"/>
      <c r="N228" s="43"/>
      <c r="O228" s="3317" t="s">
        <v>79</v>
      </c>
    </row>
    <row r="229" spans="1:17" ht="13.5" customHeight="1">
      <c r="A229" s="3386"/>
      <c r="B229" s="410" t="s">
        <v>10</v>
      </c>
      <c r="C229" s="3194"/>
      <c r="D229" s="789">
        <f>+D230+D233</f>
        <v>8669814</v>
      </c>
      <c r="E229" s="789">
        <f t="shared" ref="E229" si="143">+E230+E233</f>
        <v>0</v>
      </c>
      <c r="F229" s="789">
        <f t="shared" ref="F229:G229" si="144">+F230+F233</f>
        <v>617780</v>
      </c>
      <c r="G229" s="789">
        <f t="shared" si="144"/>
        <v>8052034</v>
      </c>
      <c r="H229" s="789"/>
      <c r="I229" s="789"/>
      <c r="J229" s="789"/>
      <c r="K229" s="789"/>
      <c r="L229" s="789"/>
      <c r="M229" s="1807">
        <f>+M230+M233</f>
        <v>8669814</v>
      </c>
      <c r="N229" s="1807">
        <f>+N230+N233</f>
        <v>8052034</v>
      </c>
      <c r="O229" s="3318"/>
    </row>
    <row r="230" spans="1:17" ht="13.5" customHeight="1">
      <c r="A230" s="3386"/>
      <c r="B230" s="535" t="s">
        <v>23</v>
      </c>
      <c r="C230" s="3388" t="s">
        <v>77</v>
      </c>
      <c r="D230" s="576">
        <f>+D231+D232</f>
        <v>1782370</v>
      </c>
      <c r="E230" s="576">
        <f t="shared" ref="E230" si="145">+E231+E232</f>
        <v>0</v>
      </c>
      <c r="F230" s="576">
        <f>+F231+F232</f>
        <v>141638</v>
      </c>
      <c r="G230" s="576">
        <f>+G231+G232</f>
        <v>1640732</v>
      </c>
      <c r="H230" s="576"/>
      <c r="I230" s="576"/>
      <c r="J230" s="576"/>
      <c r="K230" s="576"/>
      <c r="L230" s="576"/>
      <c r="M230" s="596">
        <f>+M231+M232</f>
        <v>1782370</v>
      </c>
      <c r="N230" s="596">
        <f>+N231+N232</f>
        <v>1640732</v>
      </c>
      <c r="O230" s="3318"/>
      <c r="P230" s="2291"/>
    </row>
    <row r="231" spans="1:17">
      <c r="A231" s="3386"/>
      <c r="B231" s="589" t="s">
        <v>12</v>
      </c>
      <c r="C231" s="3312"/>
      <c r="D231" s="773">
        <f>E231+F231+G231+H231+I231+J231+K231+L231</f>
        <v>1273044</v>
      </c>
      <c r="E231" s="788">
        <v>0</v>
      </c>
      <c r="F231" s="578">
        <f>520000-5922-43134-329306</f>
        <v>141638</v>
      </c>
      <c r="G231" s="578">
        <f>1260000-17764-54248+329306-196264-189624</f>
        <v>1131406</v>
      </c>
      <c r="H231" s="578"/>
      <c r="I231" s="578"/>
      <c r="J231" s="578"/>
      <c r="K231" s="578"/>
      <c r="L231" s="578"/>
      <c r="M231" s="796">
        <f>SUM(F231:K231)</f>
        <v>1273044</v>
      </c>
      <c r="N231" s="796">
        <f>SUM(G231:L231)</f>
        <v>1131406</v>
      </c>
      <c r="O231" s="3318"/>
    </row>
    <row r="232" spans="1:17">
      <c r="A232" s="3386"/>
      <c r="B232" s="2706" t="s">
        <v>15</v>
      </c>
      <c r="C232" s="3312"/>
      <c r="D232" s="773">
        <f>E232+F232+G232+H232+I232+J232+K232+L232</f>
        <v>509326</v>
      </c>
      <c r="E232" s="2710">
        <v>0</v>
      </c>
      <c r="F232" s="814">
        <f>138882-138882</f>
        <v>0</v>
      </c>
      <c r="G232" s="814">
        <f>370445+138882-1</f>
        <v>509326</v>
      </c>
      <c r="H232" s="814"/>
      <c r="I232" s="814"/>
      <c r="J232" s="814"/>
      <c r="K232" s="814"/>
      <c r="L232" s="814"/>
      <c r="M232" s="796">
        <f>SUM(E232:K232)</f>
        <v>509326</v>
      </c>
      <c r="N232" s="796">
        <f>SUM(G232:L232)</f>
        <v>509326</v>
      </c>
      <c r="O232" s="3318"/>
    </row>
    <row r="233" spans="1:17" ht="13.5" customHeight="1">
      <c r="A233" s="3386"/>
      <c r="B233" s="537" t="s">
        <v>18</v>
      </c>
      <c r="C233" s="3312"/>
      <c r="D233" s="516">
        <f>+D234</f>
        <v>6887444</v>
      </c>
      <c r="E233" s="516">
        <f t="shared" ref="E233:G233" si="146">+E234</f>
        <v>0</v>
      </c>
      <c r="F233" s="516">
        <f t="shared" si="146"/>
        <v>476142</v>
      </c>
      <c r="G233" s="516">
        <f t="shared" si="146"/>
        <v>6411302</v>
      </c>
      <c r="H233" s="516"/>
      <c r="I233" s="516"/>
      <c r="J233" s="516"/>
      <c r="K233" s="516"/>
      <c r="L233" s="516"/>
      <c r="M233" s="515">
        <f>+M234</f>
        <v>6887444</v>
      </c>
      <c r="N233" s="515">
        <f>+N234</f>
        <v>6411302</v>
      </c>
      <c r="O233" s="3318"/>
    </row>
    <row r="234" spans="1:17">
      <c r="A234" s="3386"/>
      <c r="B234" s="543" t="s">
        <v>20</v>
      </c>
      <c r="C234" s="3320"/>
      <c r="D234" s="773">
        <f>E234+F234+G234+H234+I234+J234+K234+L234</f>
        <v>6887444</v>
      </c>
      <c r="E234" s="788">
        <v>0</v>
      </c>
      <c r="F234" s="578">
        <f>2380000-33554-226296-1644008</f>
        <v>476142</v>
      </c>
      <c r="G234" s="578">
        <f>7140000-100662-325542+1644008-1112161-834341</f>
        <v>6411302</v>
      </c>
      <c r="H234" s="578"/>
      <c r="I234" s="578"/>
      <c r="J234" s="578"/>
      <c r="K234" s="578"/>
      <c r="L234" s="578"/>
      <c r="M234" s="796">
        <f>SUM(F234:K234)</f>
        <v>6887444</v>
      </c>
      <c r="N234" s="796">
        <f>SUM(G234:L234)</f>
        <v>6411302</v>
      </c>
      <c r="O234" s="3319"/>
    </row>
    <row r="235" spans="1:17">
      <c r="A235" s="3386"/>
      <c r="B235" s="410" t="s">
        <v>21</v>
      </c>
      <c r="C235" s="512"/>
      <c r="D235" s="573">
        <f>+D238+D236</f>
        <v>7396770</v>
      </c>
      <c r="E235" s="573">
        <f t="shared" ref="E235" si="147">+E238+E236</f>
        <v>0</v>
      </c>
      <c r="F235" s="573">
        <f t="shared" ref="F235:G235" si="148">+F238+F236</f>
        <v>2069792</v>
      </c>
      <c r="G235" s="573">
        <f t="shared" si="148"/>
        <v>5326978</v>
      </c>
      <c r="H235" s="573"/>
      <c r="I235" s="573"/>
      <c r="J235" s="573"/>
      <c r="K235" s="573"/>
      <c r="L235" s="573"/>
      <c r="M235" s="3389" t="s">
        <v>22</v>
      </c>
      <c r="N235" s="3389" t="s">
        <v>22</v>
      </c>
      <c r="O235" s="3390" t="s">
        <v>94</v>
      </c>
      <c r="P235" s="2291"/>
      <c r="Q235" s="2291">
        <v>-1230552</v>
      </c>
    </row>
    <row r="236" spans="1:17" ht="12" customHeight="1">
      <c r="A236" s="3386"/>
      <c r="B236" s="3188" t="s">
        <v>23</v>
      </c>
      <c r="C236" s="3344" t="s">
        <v>620</v>
      </c>
      <c r="D236" s="516">
        <f>+D237</f>
        <v>509326</v>
      </c>
      <c r="E236" s="516">
        <f t="shared" ref="E236:G236" si="149">+E237</f>
        <v>0</v>
      </c>
      <c r="F236" s="516">
        <f t="shared" si="149"/>
        <v>0</v>
      </c>
      <c r="G236" s="516">
        <f t="shared" si="149"/>
        <v>509326</v>
      </c>
      <c r="H236" s="516"/>
      <c r="I236" s="516"/>
      <c r="J236" s="516"/>
      <c r="K236" s="516"/>
      <c r="L236" s="516"/>
      <c r="M236" s="3322"/>
      <c r="N236" s="3322"/>
      <c r="O236" s="3309"/>
    </row>
    <row r="237" spans="1:17" ht="12" customHeight="1">
      <c r="A237" s="3386"/>
      <c r="B237" s="1820" t="s">
        <v>15</v>
      </c>
      <c r="C237" s="3347"/>
      <c r="D237" s="773">
        <f>E237+F237+G237+H237+I237+J237+K237+L237</f>
        <v>509326</v>
      </c>
      <c r="E237" s="1808"/>
      <c r="F237" s="1808">
        <f>138882-138882</f>
        <v>0</v>
      </c>
      <c r="G237" s="1808">
        <f>370445+138882-1</f>
        <v>509326</v>
      </c>
      <c r="H237" s="1808"/>
      <c r="I237" s="1808"/>
      <c r="J237" s="1808"/>
      <c r="K237" s="1808"/>
      <c r="L237" s="1808"/>
      <c r="M237" s="3322"/>
      <c r="N237" s="3322"/>
      <c r="O237" s="3309"/>
    </row>
    <row r="238" spans="1:17" s="3183" customFormat="1" ht="13.5" customHeight="1">
      <c r="A238" s="3386"/>
      <c r="B238" s="537" t="s">
        <v>18</v>
      </c>
      <c r="C238" s="3347"/>
      <c r="D238" s="714">
        <f>+D239</f>
        <v>6887444</v>
      </c>
      <c r="E238" s="714">
        <f t="shared" ref="E238:G238" si="150">+E239</f>
        <v>0</v>
      </c>
      <c r="F238" s="714">
        <f t="shared" si="150"/>
        <v>2069792</v>
      </c>
      <c r="G238" s="714">
        <f t="shared" si="150"/>
        <v>4817652</v>
      </c>
      <c r="H238" s="714"/>
      <c r="I238" s="714"/>
      <c r="J238" s="714"/>
      <c r="K238" s="714"/>
      <c r="L238" s="714"/>
      <c r="M238" s="3322"/>
      <c r="N238" s="3322"/>
      <c r="O238" s="3309"/>
    </row>
    <row r="239" spans="1:17" s="3183" customFormat="1" ht="13.5" thickBot="1">
      <c r="A239" s="3387"/>
      <c r="B239" s="801" t="s">
        <v>20</v>
      </c>
      <c r="C239" s="3391"/>
      <c r="D239" s="1666">
        <f>E239+F239+G239+H239+I239+J239+K239+L239</f>
        <v>6887444</v>
      </c>
      <c r="E239" s="1666">
        <v>0</v>
      </c>
      <c r="F239" s="407">
        <f>2380000-33554-226296-50358</f>
        <v>2069792</v>
      </c>
      <c r="G239" s="407">
        <f>7140000-100662-325542+50358-1112161-834341</f>
        <v>4817652</v>
      </c>
      <c r="H239" s="407"/>
      <c r="I239" s="407"/>
      <c r="J239" s="407"/>
      <c r="K239" s="407"/>
      <c r="L239" s="407"/>
      <c r="M239" s="3323"/>
      <c r="N239" s="3323"/>
      <c r="O239" s="3310"/>
    </row>
    <row r="240" spans="1:17" ht="28.5" customHeight="1">
      <c r="A240" s="3385" t="s">
        <v>83</v>
      </c>
      <c r="B240" s="366" t="s">
        <v>785</v>
      </c>
      <c r="C240" s="56" t="s">
        <v>74</v>
      </c>
      <c r="D240" s="2662"/>
      <c r="E240" s="2638"/>
      <c r="F240" s="2638"/>
      <c r="G240" s="2638"/>
      <c r="H240" s="2638"/>
      <c r="I240" s="2638"/>
      <c r="J240" s="2638"/>
      <c r="K240" s="2638"/>
      <c r="L240" s="41"/>
      <c r="M240" s="43"/>
      <c r="N240" s="43"/>
      <c r="O240" s="3317" t="s">
        <v>79</v>
      </c>
    </row>
    <row r="241" spans="1:17" ht="15.75" customHeight="1">
      <c r="A241" s="3386"/>
      <c r="B241" s="410" t="s">
        <v>10</v>
      </c>
      <c r="C241" s="2711"/>
      <c r="D241" s="789">
        <f>+D242+D245</f>
        <v>18052656</v>
      </c>
      <c r="E241" s="789">
        <f t="shared" ref="E241" si="151">+E242+E245</f>
        <v>0</v>
      </c>
      <c r="F241" s="789">
        <f t="shared" ref="F241:G241" si="152">+F242+F245</f>
        <v>1914309</v>
      </c>
      <c r="G241" s="789">
        <f t="shared" si="152"/>
        <v>16138347</v>
      </c>
      <c r="H241" s="789"/>
      <c r="I241" s="789"/>
      <c r="J241" s="789"/>
      <c r="K241" s="789"/>
      <c r="L241" s="789"/>
      <c r="M241" s="778">
        <f>+M242+M245</f>
        <v>18052656</v>
      </c>
      <c r="N241" s="778">
        <f>+N242+N245</f>
        <v>16138347</v>
      </c>
      <c r="O241" s="3318"/>
      <c r="P241" s="2287" t="s">
        <v>544</v>
      </c>
    </row>
    <row r="242" spans="1:17" ht="13.5" customHeight="1">
      <c r="A242" s="3386"/>
      <c r="B242" s="535" t="s">
        <v>23</v>
      </c>
      <c r="C242" s="3388" t="s">
        <v>77</v>
      </c>
      <c r="D242" s="576">
        <f>+D243+D244</f>
        <v>2792898</v>
      </c>
      <c r="E242" s="576">
        <f t="shared" ref="E242" si="153">+E243+E244</f>
        <v>0</v>
      </c>
      <c r="F242" s="576">
        <f>+F243+F244</f>
        <v>293086</v>
      </c>
      <c r="G242" s="576">
        <f>+G243+G244</f>
        <v>2499812</v>
      </c>
      <c r="H242" s="576"/>
      <c r="I242" s="576"/>
      <c r="J242" s="576"/>
      <c r="K242" s="576"/>
      <c r="L242" s="576"/>
      <c r="M242" s="596">
        <f>+M243</f>
        <v>2792898</v>
      </c>
      <c r="N242" s="596">
        <f>+N243</f>
        <v>2499812</v>
      </c>
      <c r="O242" s="3318"/>
      <c r="P242" s="2291"/>
    </row>
    <row r="243" spans="1:17" ht="13.5" customHeight="1">
      <c r="A243" s="3386"/>
      <c r="B243" s="589" t="s">
        <v>12</v>
      </c>
      <c r="C243" s="3312"/>
      <c r="D243" s="235">
        <f>E243+F243+G243+H243+I243+J243+K243+L243</f>
        <v>2792898</v>
      </c>
      <c r="E243" s="265">
        <v>0</v>
      </c>
      <c r="F243" s="578">
        <f>824400-289400-195000+49500-96414</f>
        <v>293086</v>
      </c>
      <c r="G243" s="578">
        <f>4671600-1971600+172898-49500+96414-270000-150000</f>
        <v>2499812</v>
      </c>
      <c r="H243" s="578"/>
      <c r="I243" s="578"/>
      <c r="J243" s="578"/>
      <c r="K243" s="578"/>
      <c r="L243" s="578"/>
      <c r="M243" s="796">
        <f>SUM(F243:K243)</f>
        <v>2792898</v>
      </c>
      <c r="N243" s="796">
        <f>SUM(G243:L243)</f>
        <v>2499812</v>
      </c>
      <c r="O243" s="3318"/>
    </row>
    <row r="244" spans="1:17" ht="13.5" hidden="1" customHeight="1">
      <c r="A244" s="3386"/>
      <c r="B244" s="2706" t="s">
        <v>15</v>
      </c>
      <c r="C244" s="3312"/>
      <c r="D244" s="235">
        <f>E244+F244+G244+H244+I244+J244+K244+L244</f>
        <v>0</v>
      </c>
      <c r="E244" s="2712">
        <v>0</v>
      </c>
      <c r="F244" s="814">
        <v>0</v>
      </c>
      <c r="G244" s="814">
        <v>0</v>
      </c>
      <c r="H244" s="814"/>
      <c r="I244" s="814"/>
      <c r="J244" s="814"/>
      <c r="K244" s="814"/>
      <c r="L244" s="814"/>
      <c r="M244" s="796">
        <f>SUM(E244:K244)</f>
        <v>0</v>
      </c>
      <c r="N244" s="796">
        <f>SUM(F244:L244)</f>
        <v>0</v>
      </c>
      <c r="O244" s="3318"/>
    </row>
    <row r="245" spans="1:17" ht="13.5" customHeight="1">
      <c r="A245" s="3386"/>
      <c r="B245" s="537" t="s">
        <v>18</v>
      </c>
      <c r="C245" s="3312"/>
      <c r="D245" s="516">
        <f>+D246</f>
        <v>15259758</v>
      </c>
      <c r="E245" s="516">
        <f t="shared" ref="E245:G245" si="154">+E246</f>
        <v>0</v>
      </c>
      <c r="F245" s="516">
        <f t="shared" si="154"/>
        <v>1621223</v>
      </c>
      <c r="G245" s="516">
        <f t="shared" si="154"/>
        <v>13638535</v>
      </c>
      <c r="H245" s="516"/>
      <c r="I245" s="516"/>
      <c r="J245" s="516"/>
      <c r="K245" s="516"/>
      <c r="L245" s="516"/>
      <c r="M245" s="515">
        <f>+M246</f>
        <v>15259758</v>
      </c>
      <c r="N245" s="515">
        <f>+N246</f>
        <v>13638535</v>
      </c>
      <c r="O245" s="3318"/>
    </row>
    <row r="246" spans="1:17" ht="13.5" customHeight="1">
      <c r="A246" s="3386"/>
      <c r="B246" s="543" t="s">
        <v>20</v>
      </c>
      <c r="C246" s="3320"/>
      <c r="D246" s="235">
        <f>E246+F246+G246+H246+I246+J246+K246+L246</f>
        <v>15259758</v>
      </c>
      <c r="E246" s="265">
        <v>0</v>
      </c>
      <c r="F246" s="578">
        <f>4671600-2206600-1105000+450500-189277</f>
        <v>1621223</v>
      </c>
      <c r="G246" s="578">
        <f>26472400-11172400+979758-450500+189277-1530000-850000</f>
        <v>13638535</v>
      </c>
      <c r="H246" s="578"/>
      <c r="I246" s="578"/>
      <c r="J246" s="578"/>
      <c r="K246" s="578"/>
      <c r="L246" s="578"/>
      <c r="M246" s="796">
        <f>SUM(F246:K246)</f>
        <v>15259758</v>
      </c>
      <c r="N246" s="796">
        <f>SUM(G246:L246)</f>
        <v>13638535</v>
      </c>
      <c r="O246" s="3319"/>
    </row>
    <row r="247" spans="1:17" ht="13.5" thickBot="1">
      <c r="A247" s="3386"/>
      <c r="B247" s="410" t="s">
        <v>21</v>
      </c>
      <c r="C247" s="512"/>
      <c r="D247" s="573">
        <f>+D250+D248</f>
        <v>15259758</v>
      </c>
      <c r="E247" s="573">
        <f t="shared" ref="E247" si="155">+E250+E248</f>
        <v>0</v>
      </c>
      <c r="F247" s="573">
        <f t="shared" ref="F247:G247" si="156">+F250+F248</f>
        <v>1803921</v>
      </c>
      <c r="G247" s="573">
        <f t="shared" si="156"/>
        <v>13455837</v>
      </c>
      <c r="H247" s="573"/>
      <c r="I247" s="573"/>
      <c r="J247" s="573"/>
      <c r="K247" s="573"/>
      <c r="L247" s="573"/>
      <c r="M247" s="3389" t="s">
        <v>22</v>
      </c>
      <c r="N247" s="3389" t="s">
        <v>22</v>
      </c>
      <c r="O247" s="3390" t="s">
        <v>94</v>
      </c>
      <c r="P247" s="2291"/>
      <c r="Q247" s="2291">
        <v>-1230552</v>
      </c>
    </row>
    <row r="248" spans="1:17" ht="12" hidden="1" customHeight="1">
      <c r="A248" s="3386"/>
      <c r="B248" s="3188" t="s">
        <v>23</v>
      </c>
      <c r="C248" s="3344" t="s">
        <v>214</v>
      </c>
      <c r="D248" s="516">
        <f>+D249</f>
        <v>0</v>
      </c>
      <c r="E248" s="516">
        <f t="shared" ref="E248:G248" si="157">+E249</f>
        <v>0</v>
      </c>
      <c r="F248" s="516">
        <f t="shared" si="157"/>
        <v>0</v>
      </c>
      <c r="G248" s="516">
        <f t="shared" si="157"/>
        <v>0</v>
      </c>
      <c r="H248" s="516"/>
      <c r="I248" s="516"/>
      <c r="J248" s="516"/>
      <c r="K248" s="516"/>
      <c r="L248" s="516"/>
      <c r="M248" s="3322"/>
      <c r="N248" s="3322"/>
      <c r="O248" s="3310"/>
    </row>
    <row r="249" spans="1:17" ht="12" hidden="1" customHeight="1">
      <c r="A249" s="3386"/>
      <c r="B249" s="1820" t="s">
        <v>15</v>
      </c>
      <c r="C249" s="3347"/>
      <c r="D249" s="235">
        <f>E249+F249+G249+H249+I249+J249+K249+L249</f>
        <v>0</v>
      </c>
      <c r="E249" s="785"/>
      <c r="F249" s="785"/>
      <c r="G249" s="785"/>
      <c r="H249" s="785"/>
      <c r="I249" s="785"/>
      <c r="J249" s="785"/>
      <c r="K249" s="785"/>
      <c r="L249" s="785"/>
      <c r="M249" s="3322"/>
      <c r="N249" s="3322"/>
      <c r="O249" s="3413"/>
    </row>
    <row r="250" spans="1:17" s="3183" customFormat="1" ht="13.5" customHeight="1" thickBot="1">
      <c r="A250" s="3386"/>
      <c r="B250" s="537" t="s">
        <v>18</v>
      </c>
      <c r="C250" s="3347"/>
      <c r="D250" s="714">
        <f>+D251</f>
        <v>15259758</v>
      </c>
      <c r="E250" s="714">
        <f t="shared" ref="E250:G250" si="158">+E251</f>
        <v>0</v>
      </c>
      <c r="F250" s="714">
        <f t="shared" si="158"/>
        <v>1803921</v>
      </c>
      <c r="G250" s="714">
        <f t="shared" si="158"/>
        <v>13455837</v>
      </c>
      <c r="H250" s="714"/>
      <c r="I250" s="714"/>
      <c r="J250" s="714"/>
      <c r="K250" s="714"/>
      <c r="L250" s="714"/>
      <c r="M250" s="3322"/>
      <c r="N250" s="3322"/>
      <c r="O250" s="3413"/>
    </row>
    <row r="251" spans="1:17" s="3183" customFormat="1" ht="13.5" thickBot="1">
      <c r="A251" s="3387"/>
      <c r="B251" s="801" t="s">
        <v>20</v>
      </c>
      <c r="C251" s="3391"/>
      <c r="D251" s="235">
        <f>E251+F251+G251+H251+I251+J251+K251+L251</f>
        <v>15259758</v>
      </c>
      <c r="E251" s="265">
        <v>0</v>
      </c>
      <c r="F251" s="407">
        <f>4671600-2206600-1105000+450500-6579</f>
        <v>1803921</v>
      </c>
      <c r="G251" s="407">
        <f>26472400-11172400+979758-450500+6579-1530000-850000</f>
        <v>13455837</v>
      </c>
      <c r="H251" s="407"/>
      <c r="I251" s="407"/>
      <c r="J251" s="407"/>
      <c r="K251" s="407"/>
      <c r="L251" s="407"/>
      <c r="M251" s="3323"/>
      <c r="N251" s="3323"/>
      <c r="O251" s="3413"/>
    </row>
    <row r="252" spans="1:17" s="3183" customFormat="1" ht="24.75" customHeight="1" thickBot="1">
      <c r="A252" s="3385" t="s">
        <v>84</v>
      </c>
      <c r="B252" s="366" t="s">
        <v>725</v>
      </c>
      <c r="C252" s="56" t="s">
        <v>74</v>
      </c>
      <c r="D252" s="2662"/>
      <c r="E252" s="2638"/>
      <c r="F252" s="2638"/>
      <c r="G252" s="2638"/>
      <c r="H252" s="2638"/>
      <c r="I252" s="2638"/>
      <c r="J252" s="2638"/>
      <c r="K252" s="2638"/>
      <c r="L252" s="41"/>
      <c r="M252" s="43"/>
      <c r="N252" s="43"/>
      <c r="O252" s="3383" t="s">
        <v>79</v>
      </c>
    </row>
    <row r="253" spans="1:17" s="3183" customFormat="1" ht="13.5" thickBot="1">
      <c r="A253" s="3386"/>
      <c r="B253" s="410" t="s">
        <v>10</v>
      </c>
      <c r="C253" s="2707"/>
      <c r="D253" s="1323">
        <f>+D254+D257</f>
        <v>100250000</v>
      </c>
      <c r="E253" s="1323">
        <f t="shared" ref="E253:I253" si="159">+E254+E257</f>
        <v>0</v>
      </c>
      <c r="F253" s="1323">
        <f t="shared" si="159"/>
        <v>500918</v>
      </c>
      <c r="G253" s="1323">
        <f t="shared" si="159"/>
        <v>1000000</v>
      </c>
      <c r="H253" s="1323">
        <f t="shared" si="159"/>
        <v>45550000</v>
      </c>
      <c r="I253" s="1323">
        <f t="shared" si="159"/>
        <v>53199082</v>
      </c>
      <c r="J253" s="1323"/>
      <c r="K253" s="1323"/>
      <c r="L253" s="1323"/>
      <c r="M253" s="1340">
        <f>+M254+M257</f>
        <v>100250000</v>
      </c>
      <c r="N253" s="1340">
        <f>+N254+N257</f>
        <v>99749082</v>
      </c>
      <c r="O253" s="3383"/>
    </row>
    <row r="254" spans="1:17" s="3183" customFormat="1" ht="13.5" thickBot="1">
      <c r="A254" s="3386"/>
      <c r="B254" s="535" t="s">
        <v>23</v>
      </c>
      <c r="C254" s="3311" t="s">
        <v>77</v>
      </c>
      <c r="D254" s="1324">
        <f>+D255+D256</f>
        <v>15132500</v>
      </c>
      <c r="E254" s="1324">
        <f t="shared" ref="E254" si="160">+E255+E256</f>
        <v>0</v>
      </c>
      <c r="F254" s="1324">
        <f>+F255+F256</f>
        <v>75138</v>
      </c>
      <c r="G254" s="1324">
        <f>+G255+G256</f>
        <v>245000</v>
      </c>
      <c r="H254" s="1324">
        <f>+H255+H256</f>
        <v>6832500</v>
      </c>
      <c r="I254" s="1324">
        <f>+I255+I256</f>
        <v>7979862</v>
      </c>
      <c r="J254" s="1324"/>
      <c r="K254" s="1324"/>
      <c r="L254" s="1324"/>
      <c r="M254" s="1325">
        <f>+M255</f>
        <v>15132500</v>
      </c>
      <c r="N254" s="1325">
        <f>+N255</f>
        <v>15057362</v>
      </c>
      <c r="O254" s="3383"/>
    </row>
    <row r="255" spans="1:17" s="3183" customFormat="1" ht="13.5" thickBot="1">
      <c r="A255" s="3386"/>
      <c r="B255" s="589" t="s">
        <v>12</v>
      </c>
      <c r="C255" s="3312"/>
      <c r="D255" s="1216">
        <f>E255+F255+G255+H255+I255+J255+K255+L255</f>
        <v>15132500</v>
      </c>
      <c r="E255" s="1262">
        <v>0</v>
      </c>
      <c r="F255" s="1301">
        <f>88875-13737</f>
        <v>75138</v>
      </c>
      <c r="G255" s="1301">
        <f>7426660+13737-7195397</f>
        <v>245000</v>
      </c>
      <c r="H255" s="1301">
        <f>4654440+2178060</f>
        <v>6832500</v>
      </c>
      <c r="I255" s="1301">
        <v>7979862</v>
      </c>
      <c r="J255" s="1301"/>
      <c r="K255" s="1301"/>
      <c r="L255" s="1301"/>
      <c r="M255" s="1302">
        <f>SUM(F255:K255)</f>
        <v>15132500</v>
      </c>
      <c r="N255" s="1302">
        <f>SUM(G255:L255)</f>
        <v>15057362</v>
      </c>
      <c r="O255" s="3383"/>
    </row>
    <row r="256" spans="1:17" s="3183" customFormat="1" ht="13.5" hidden="1" thickBot="1">
      <c r="A256" s="3386"/>
      <c r="B256" s="2706" t="s">
        <v>15</v>
      </c>
      <c r="C256" s="3312"/>
      <c r="D256" s="1216">
        <f>E256+F256+G256+H256+I256+J256+K256+L256</f>
        <v>0</v>
      </c>
      <c r="E256" s="2713">
        <v>0</v>
      </c>
      <c r="F256" s="814">
        <v>0</v>
      </c>
      <c r="G256" s="814">
        <v>0</v>
      </c>
      <c r="H256" s="814"/>
      <c r="I256" s="814"/>
      <c r="J256" s="814"/>
      <c r="K256" s="814"/>
      <c r="L256" s="814"/>
      <c r="M256" s="1302">
        <f>SUM(E256:K256)</f>
        <v>0</v>
      </c>
      <c r="N256" s="1302">
        <f>SUM(F256:L256)</f>
        <v>0</v>
      </c>
      <c r="O256" s="3383"/>
    </row>
    <row r="257" spans="1:15" s="3183" customFormat="1" ht="13.5" thickBot="1">
      <c r="A257" s="3386"/>
      <c r="B257" s="798" t="s">
        <v>18</v>
      </c>
      <c r="C257" s="3312"/>
      <c r="D257" s="1288">
        <f>+D258</f>
        <v>85117500</v>
      </c>
      <c r="E257" s="1288">
        <f t="shared" ref="E257:I257" si="161">+E258</f>
        <v>0</v>
      </c>
      <c r="F257" s="1288">
        <f t="shared" si="161"/>
        <v>425780</v>
      </c>
      <c r="G257" s="1288">
        <f t="shared" si="161"/>
        <v>755000</v>
      </c>
      <c r="H257" s="1288">
        <f t="shared" si="161"/>
        <v>38717500</v>
      </c>
      <c r="I257" s="1288">
        <f t="shared" si="161"/>
        <v>45219220</v>
      </c>
      <c r="J257" s="1288"/>
      <c r="K257" s="1288"/>
      <c r="L257" s="1288"/>
      <c r="M257" s="1289">
        <f>+M258</f>
        <v>85117500</v>
      </c>
      <c r="N257" s="1289">
        <f>+N258</f>
        <v>84691720</v>
      </c>
      <c r="O257" s="3383"/>
    </row>
    <row r="258" spans="1:15" s="3183" customFormat="1" ht="13.5" thickBot="1">
      <c r="A258" s="3386"/>
      <c r="B258" s="2714" t="s">
        <v>20</v>
      </c>
      <c r="C258" s="3320"/>
      <c r="D258" s="1216">
        <f>E258+F258+G258+H258+I258+J258+K258+L258</f>
        <v>85117500</v>
      </c>
      <c r="E258" s="1262">
        <v>0</v>
      </c>
      <c r="F258" s="1301">
        <f>503625-77845</f>
        <v>425780</v>
      </c>
      <c r="G258" s="1301">
        <f>41517740+77845-40840585</f>
        <v>755000</v>
      </c>
      <c r="H258" s="1301">
        <f>26375160+12342340</f>
        <v>38717500</v>
      </c>
      <c r="I258" s="1301">
        <v>45219220</v>
      </c>
      <c r="J258" s="1301"/>
      <c r="K258" s="1301"/>
      <c r="L258" s="1301"/>
      <c r="M258" s="1302">
        <f>SUM(F258:K258)</f>
        <v>85117500</v>
      </c>
      <c r="N258" s="1302">
        <f>SUM(G258:L258)</f>
        <v>84691720</v>
      </c>
      <c r="O258" s="3383"/>
    </row>
    <row r="259" spans="1:15" s="3183" customFormat="1" ht="13.5" thickBot="1">
      <c r="A259" s="3386"/>
      <c r="B259" s="410" t="s">
        <v>21</v>
      </c>
      <c r="C259" s="512"/>
      <c r="D259" s="1285">
        <f>+D262+D260</f>
        <v>85117500</v>
      </c>
      <c r="E259" s="1285">
        <f t="shared" ref="E259:I259" si="162">+E262+E260</f>
        <v>0</v>
      </c>
      <c r="F259" s="1285">
        <f t="shared" si="162"/>
        <v>0</v>
      </c>
      <c r="G259" s="1285">
        <f t="shared" si="162"/>
        <v>1180780</v>
      </c>
      <c r="H259" s="1285">
        <f t="shared" si="162"/>
        <v>38717500</v>
      </c>
      <c r="I259" s="1285">
        <f t="shared" si="162"/>
        <v>45219220</v>
      </c>
      <c r="J259" s="1285"/>
      <c r="K259" s="1285"/>
      <c r="L259" s="1285"/>
      <c r="M259" s="3321" t="s">
        <v>22</v>
      </c>
      <c r="N259" s="3321" t="s">
        <v>22</v>
      </c>
      <c r="O259" s="3413" t="s">
        <v>94</v>
      </c>
    </row>
    <row r="260" spans="1:15" s="3183" customFormat="1" ht="13.5" hidden="1" thickBot="1">
      <c r="A260" s="3386"/>
      <c r="B260" s="1292" t="s">
        <v>23</v>
      </c>
      <c r="C260" s="3351" t="s">
        <v>214</v>
      </c>
      <c r="D260" s="1288">
        <f>+D261</f>
        <v>0</v>
      </c>
      <c r="E260" s="1288">
        <f t="shared" ref="E260:G260" si="163">+E261</f>
        <v>0</v>
      </c>
      <c r="F260" s="1288">
        <f t="shared" si="163"/>
        <v>0</v>
      </c>
      <c r="G260" s="1288">
        <f t="shared" si="163"/>
        <v>0</v>
      </c>
      <c r="H260" s="1288"/>
      <c r="I260" s="1288"/>
      <c r="J260" s="1288"/>
      <c r="K260" s="1288"/>
      <c r="L260" s="1288"/>
      <c r="M260" s="3322"/>
      <c r="N260" s="3322"/>
      <c r="O260" s="3413"/>
    </row>
    <row r="261" spans="1:15" s="3183" customFormat="1" ht="13.5" hidden="1" thickBot="1">
      <c r="A261" s="3386"/>
      <c r="B261" s="1315" t="s">
        <v>15</v>
      </c>
      <c r="C261" s="3347"/>
      <c r="D261" s="1216">
        <f>E261+F261+G261+H261+I261+J261+K261+L261</f>
        <v>0</v>
      </c>
      <c r="E261" s="1305"/>
      <c r="F261" s="1305"/>
      <c r="G261" s="1305"/>
      <c r="H261" s="1305"/>
      <c r="I261" s="1305"/>
      <c r="J261" s="1305"/>
      <c r="K261" s="1305"/>
      <c r="L261" s="1305"/>
      <c r="M261" s="3322"/>
      <c r="N261" s="3322"/>
      <c r="O261" s="3413"/>
    </row>
    <row r="262" spans="1:15" s="3183" customFormat="1">
      <c r="A262" s="3386"/>
      <c r="B262" s="537" t="s">
        <v>18</v>
      </c>
      <c r="C262" s="3347"/>
      <c r="D262" s="1306">
        <f>+D263</f>
        <v>85117500</v>
      </c>
      <c r="E262" s="1306">
        <f t="shared" ref="E262:I262" si="164">+E263</f>
        <v>0</v>
      </c>
      <c r="F262" s="1306">
        <f t="shared" si="164"/>
        <v>0</v>
      </c>
      <c r="G262" s="1306">
        <f t="shared" si="164"/>
        <v>1180780</v>
      </c>
      <c r="H262" s="1306">
        <f t="shared" si="164"/>
        <v>38717500</v>
      </c>
      <c r="I262" s="1306">
        <f t="shared" si="164"/>
        <v>45219220</v>
      </c>
      <c r="J262" s="1306"/>
      <c r="K262" s="1306"/>
      <c r="L262" s="1306"/>
      <c r="M262" s="3322"/>
      <c r="N262" s="3322"/>
      <c r="O262" s="3404"/>
    </row>
    <row r="263" spans="1:15" s="3183" customFormat="1" ht="13.5" thickBot="1">
      <c r="A263" s="3387"/>
      <c r="B263" s="801" t="s">
        <v>20</v>
      </c>
      <c r="C263" s="3391"/>
      <c r="D263" s="1382">
        <f>E263+F263+G263+H263+I263+J263+K263+L263</f>
        <v>85117500</v>
      </c>
      <c r="E263" s="1382">
        <v>0</v>
      </c>
      <c r="F263" s="407"/>
      <c r="G263" s="407">
        <f>38021365-36840585</f>
        <v>1180780</v>
      </c>
      <c r="H263" s="407">
        <f>30375160+8342340</f>
        <v>38717500</v>
      </c>
      <c r="I263" s="407">
        <v>45219220</v>
      </c>
      <c r="J263" s="407"/>
      <c r="K263" s="407"/>
      <c r="L263" s="407"/>
      <c r="M263" s="3323"/>
      <c r="N263" s="3323"/>
      <c r="O263" s="3310"/>
    </row>
    <row r="264" spans="1:15" s="3183" customFormat="1" ht="36">
      <c r="A264" s="3385" t="s">
        <v>85</v>
      </c>
      <c r="B264" s="366" t="s">
        <v>636</v>
      </c>
      <c r="C264" s="56" t="s">
        <v>74</v>
      </c>
      <c r="D264" s="2662"/>
      <c r="E264" s="2638"/>
      <c r="F264" s="2638"/>
      <c r="G264" s="2638"/>
      <c r="H264" s="2638"/>
      <c r="I264" s="2638"/>
      <c r="J264" s="2638"/>
      <c r="K264" s="2638"/>
      <c r="L264" s="41"/>
      <c r="M264" s="43"/>
      <c r="N264" s="43"/>
      <c r="O264" s="3317" t="s">
        <v>79</v>
      </c>
    </row>
    <row r="265" spans="1:15" s="3183" customFormat="1">
      <c r="A265" s="3386"/>
      <c r="B265" s="2055" t="s">
        <v>10</v>
      </c>
      <c r="C265" s="2707"/>
      <c r="D265" s="789">
        <f>+D266+D269</f>
        <v>40700000</v>
      </c>
      <c r="E265" s="789">
        <f t="shared" ref="E265:I265" si="165">+E266+E269</f>
        <v>874393</v>
      </c>
      <c r="F265" s="789">
        <f t="shared" si="165"/>
        <v>488999</v>
      </c>
      <c r="G265" s="789">
        <f t="shared" si="165"/>
        <v>4280014</v>
      </c>
      <c r="H265" s="789">
        <f t="shared" si="165"/>
        <v>24500000</v>
      </c>
      <c r="I265" s="789">
        <f t="shared" si="165"/>
        <v>10556594</v>
      </c>
      <c r="J265" s="789"/>
      <c r="K265" s="789"/>
      <c r="L265" s="789"/>
      <c r="M265" s="1807">
        <f>+M266+M269</f>
        <v>39825607</v>
      </c>
      <c r="N265" s="1807">
        <f>+N266+N269</f>
        <v>39336608</v>
      </c>
      <c r="O265" s="3318"/>
    </row>
    <row r="266" spans="1:15" s="3183" customFormat="1">
      <c r="A266" s="3386"/>
      <c r="B266" s="2708" t="s">
        <v>23</v>
      </c>
      <c r="C266" s="3388" t="s">
        <v>77</v>
      </c>
      <c r="D266" s="576">
        <f>+D267+D268</f>
        <v>6275110</v>
      </c>
      <c r="E266" s="576">
        <f t="shared" ref="E266" si="166">+E267+E268</f>
        <v>144271</v>
      </c>
      <c r="F266" s="576">
        <f>+F267+F268</f>
        <v>77226</v>
      </c>
      <c r="G266" s="576">
        <f>+G267+G268</f>
        <v>795019</v>
      </c>
      <c r="H266" s="576">
        <f>+H267+H268</f>
        <v>3675105</v>
      </c>
      <c r="I266" s="576">
        <f>+I267+I268</f>
        <v>1583489</v>
      </c>
      <c r="J266" s="576"/>
      <c r="K266" s="576"/>
      <c r="L266" s="576"/>
      <c r="M266" s="596">
        <f>+M267</f>
        <v>6130839</v>
      </c>
      <c r="N266" s="596">
        <f>+N267</f>
        <v>6053613</v>
      </c>
      <c r="O266" s="3318"/>
    </row>
    <row r="267" spans="1:15" s="3183" customFormat="1">
      <c r="A267" s="3386"/>
      <c r="B267" s="2709" t="s">
        <v>12</v>
      </c>
      <c r="C267" s="3312"/>
      <c r="D267" s="773">
        <f>E267+F267+G267+H267+I267+J267+K267+L267</f>
        <v>6275110</v>
      </c>
      <c r="E267" s="788">
        <v>144271</v>
      </c>
      <c r="F267" s="578">
        <v>77226</v>
      </c>
      <c r="G267" s="578">
        <f>495014+300005</f>
        <v>795019</v>
      </c>
      <c r="H267" s="578">
        <f>3300000+675000-299895</f>
        <v>3675105</v>
      </c>
      <c r="I267" s="578">
        <v>1583489</v>
      </c>
      <c r="J267" s="578"/>
      <c r="K267" s="578"/>
      <c r="L267" s="578"/>
      <c r="M267" s="796">
        <f>SUM(F267:K267)</f>
        <v>6130839</v>
      </c>
      <c r="N267" s="3192">
        <f>SUM(G267:L267)</f>
        <v>6053613</v>
      </c>
      <c r="O267" s="3318"/>
    </row>
    <row r="268" spans="1:15" s="3183" customFormat="1" hidden="1">
      <c r="A268" s="3386"/>
      <c r="B268" s="2706" t="s">
        <v>15</v>
      </c>
      <c r="C268" s="3312"/>
      <c r="D268" s="773">
        <f>E268+F268+G268+H268+I268+J268+K268+L268</f>
        <v>0</v>
      </c>
      <c r="E268" s="2710">
        <v>0</v>
      </c>
      <c r="F268" s="814">
        <v>0</v>
      </c>
      <c r="G268" s="814">
        <v>0</v>
      </c>
      <c r="H268" s="814"/>
      <c r="I268" s="814"/>
      <c r="J268" s="814"/>
      <c r="K268" s="814"/>
      <c r="L268" s="814"/>
      <c r="M268" s="796">
        <f>SUM(E268:K268)</f>
        <v>0</v>
      </c>
      <c r="N268" s="3192">
        <f>SUM(F268:L268)</f>
        <v>0</v>
      </c>
      <c r="O268" s="3318"/>
    </row>
    <row r="269" spans="1:15" s="3183" customFormat="1">
      <c r="A269" s="3386"/>
      <c r="B269" s="3193" t="s">
        <v>18</v>
      </c>
      <c r="C269" s="3312"/>
      <c r="D269" s="516">
        <f>+D270</f>
        <v>34424890</v>
      </c>
      <c r="E269" s="516">
        <f t="shared" ref="E269:I269" si="167">+E270</f>
        <v>730122</v>
      </c>
      <c r="F269" s="516">
        <f t="shared" si="167"/>
        <v>411773</v>
      </c>
      <c r="G269" s="516">
        <f t="shared" si="167"/>
        <v>3484995</v>
      </c>
      <c r="H269" s="516">
        <f t="shared" si="167"/>
        <v>20824895</v>
      </c>
      <c r="I269" s="516">
        <f t="shared" si="167"/>
        <v>8973105</v>
      </c>
      <c r="J269" s="516"/>
      <c r="K269" s="516"/>
      <c r="L269" s="516"/>
      <c r="M269" s="515">
        <f>+M270</f>
        <v>33694768</v>
      </c>
      <c r="N269" s="596">
        <f>+N270</f>
        <v>33282995</v>
      </c>
      <c r="O269" s="3318"/>
    </row>
    <row r="270" spans="1:15" s="3183" customFormat="1">
      <c r="A270" s="3386"/>
      <c r="B270" s="543" t="s">
        <v>20</v>
      </c>
      <c r="C270" s="3320"/>
      <c r="D270" s="773">
        <f>E270+F270+G270+H270+I270+J270+K270+L270</f>
        <v>34424890</v>
      </c>
      <c r="E270" s="788">
        <v>730122</v>
      </c>
      <c r="F270" s="578">
        <v>411773</v>
      </c>
      <c r="G270" s="578">
        <f>1785000+1699995</f>
        <v>3484995</v>
      </c>
      <c r="H270" s="578">
        <f>18700000+3825000-1700105</f>
        <v>20824895</v>
      </c>
      <c r="I270" s="578">
        <v>8973105</v>
      </c>
      <c r="J270" s="578"/>
      <c r="K270" s="578"/>
      <c r="L270" s="578"/>
      <c r="M270" s="796">
        <f>SUM(F270:K270)</f>
        <v>33694768</v>
      </c>
      <c r="N270" s="3192">
        <f>SUM(G270:L270)</f>
        <v>33282995</v>
      </c>
      <c r="O270" s="3319"/>
    </row>
    <row r="271" spans="1:15" s="3183" customFormat="1">
      <c r="A271" s="3386"/>
      <c r="B271" s="2055" t="s">
        <v>21</v>
      </c>
      <c r="C271" s="512"/>
      <c r="D271" s="573">
        <f>+D274+D272</f>
        <v>34424890</v>
      </c>
      <c r="E271" s="573">
        <f t="shared" ref="E271:I271" si="168">+E274+E272</f>
        <v>0</v>
      </c>
      <c r="F271" s="573">
        <f t="shared" si="168"/>
        <v>0</v>
      </c>
      <c r="G271" s="573">
        <f t="shared" si="168"/>
        <v>0</v>
      </c>
      <c r="H271" s="573">
        <f t="shared" si="168"/>
        <v>25451785</v>
      </c>
      <c r="I271" s="573">
        <f t="shared" si="168"/>
        <v>8973105</v>
      </c>
      <c r="J271" s="573"/>
      <c r="K271" s="573"/>
      <c r="L271" s="573"/>
      <c r="M271" s="3389" t="s">
        <v>22</v>
      </c>
      <c r="N271" s="3403" t="s">
        <v>22</v>
      </c>
      <c r="O271" s="3390" t="s">
        <v>94</v>
      </c>
    </row>
    <row r="272" spans="1:15" s="3183" customFormat="1" hidden="1">
      <c r="A272" s="3386"/>
      <c r="B272" s="3188" t="s">
        <v>23</v>
      </c>
      <c r="C272" s="3344" t="s">
        <v>214</v>
      </c>
      <c r="D272" s="516">
        <f>+D273</f>
        <v>0</v>
      </c>
      <c r="E272" s="516">
        <f t="shared" ref="E272:G272" si="169">+E273</f>
        <v>0</v>
      </c>
      <c r="F272" s="516">
        <f t="shared" si="169"/>
        <v>0</v>
      </c>
      <c r="G272" s="516">
        <f t="shared" si="169"/>
        <v>0</v>
      </c>
      <c r="H272" s="516"/>
      <c r="I272" s="516"/>
      <c r="J272" s="516"/>
      <c r="K272" s="516"/>
      <c r="L272" s="516"/>
      <c r="M272" s="3322"/>
      <c r="N272" s="3366"/>
      <c r="O272" s="3309"/>
    </row>
    <row r="273" spans="1:15" s="3183" customFormat="1" hidden="1">
      <c r="A273" s="3386"/>
      <c r="B273" s="1820" t="s">
        <v>15</v>
      </c>
      <c r="C273" s="3347"/>
      <c r="D273" s="773">
        <f>E273+F273+G273+H273+I273+J273+K273+L273</f>
        <v>0</v>
      </c>
      <c r="E273" s="1808"/>
      <c r="F273" s="1808"/>
      <c r="G273" s="1808"/>
      <c r="H273" s="1808"/>
      <c r="I273" s="1808"/>
      <c r="J273" s="1808"/>
      <c r="K273" s="1808"/>
      <c r="L273" s="1808"/>
      <c r="M273" s="3322"/>
      <c r="N273" s="3366"/>
      <c r="O273" s="3309"/>
    </row>
    <row r="274" spans="1:15" s="3183" customFormat="1">
      <c r="A274" s="3386"/>
      <c r="B274" s="3193" t="s">
        <v>18</v>
      </c>
      <c r="C274" s="3347"/>
      <c r="D274" s="714">
        <f>+D275</f>
        <v>34424890</v>
      </c>
      <c r="E274" s="714">
        <f t="shared" ref="E274:I274" si="170">+E275</f>
        <v>0</v>
      </c>
      <c r="F274" s="714">
        <f t="shared" si="170"/>
        <v>0</v>
      </c>
      <c r="G274" s="714">
        <f t="shared" si="170"/>
        <v>0</v>
      </c>
      <c r="H274" s="714">
        <f t="shared" si="170"/>
        <v>25451785</v>
      </c>
      <c r="I274" s="714">
        <f t="shared" si="170"/>
        <v>8973105</v>
      </c>
      <c r="J274" s="714"/>
      <c r="K274" s="714"/>
      <c r="L274" s="714"/>
      <c r="M274" s="3322"/>
      <c r="N274" s="3366"/>
      <c r="O274" s="3309"/>
    </row>
    <row r="275" spans="1:15" s="3183" customFormat="1" ht="13.5" thickBot="1">
      <c r="A275" s="3387"/>
      <c r="B275" s="801" t="s">
        <v>20</v>
      </c>
      <c r="C275" s="3391"/>
      <c r="D275" s="1955">
        <f>E275+F275+G275+H275+I275+J275+K275+L275</f>
        <v>34424890</v>
      </c>
      <c r="E275" s="1955">
        <v>0</v>
      </c>
      <c r="F275" s="1955">
        <v>0</v>
      </c>
      <c r="G275" s="407">
        <f>1785000+1141895-2926895</f>
        <v>0</v>
      </c>
      <c r="H275" s="407">
        <f>18700000+3825000+2926895-110</f>
        <v>25451785</v>
      </c>
      <c r="I275" s="407">
        <v>8973105</v>
      </c>
      <c r="J275" s="407"/>
      <c r="K275" s="407"/>
      <c r="L275" s="407"/>
      <c r="M275" s="3323"/>
      <c r="N275" s="3367"/>
      <c r="O275" s="3310"/>
    </row>
    <row r="276" spans="1:15" s="3183" customFormat="1" ht="24">
      <c r="A276" s="3385" t="s">
        <v>86</v>
      </c>
      <c r="B276" s="366" t="s">
        <v>625</v>
      </c>
      <c r="C276" s="56" t="s">
        <v>74</v>
      </c>
      <c r="D276" s="2662"/>
      <c r="E276" s="2638"/>
      <c r="F276" s="2638"/>
      <c r="G276" s="2638"/>
      <c r="H276" s="2638"/>
      <c r="I276" s="2638"/>
      <c r="J276" s="2638"/>
      <c r="K276" s="2638"/>
      <c r="L276" s="41"/>
      <c r="M276" s="43"/>
      <c r="N276" s="43"/>
      <c r="O276" s="3317" t="s">
        <v>79</v>
      </c>
    </row>
    <row r="277" spans="1:15" s="3183" customFormat="1">
      <c r="A277" s="3386"/>
      <c r="B277" s="410" t="s">
        <v>10</v>
      </c>
      <c r="C277" s="2707"/>
      <c r="D277" s="1323">
        <f>+D278+D281</f>
        <v>17800000</v>
      </c>
      <c r="E277" s="1323">
        <f t="shared" ref="E277:H277" si="171">+E278+E281</f>
        <v>0</v>
      </c>
      <c r="F277" s="1323">
        <f t="shared" si="171"/>
        <v>0</v>
      </c>
      <c r="G277" s="1323">
        <f t="shared" si="171"/>
        <v>2290650</v>
      </c>
      <c r="H277" s="1323">
        <f t="shared" si="171"/>
        <v>15509350</v>
      </c>
      <c r="I277" s="1323"/>
      <c r="J277" s="1323"/>
      <c r="K277" s="1323"/>
      <c r="L277" s="1323"/>
      <c r="M277" s="1340">
        <f>+M278+M281</f>
        <v>17800000</v>
      </c>
      <c r="N277" s="1340">
        <f>+N278+N281</f>
        <v>17800000</v>
      </c>
      <c r="O277" s="3318"/>
    </row>
    <row r="278" spans="1:15" s="3183" customFormat="1">
      <c r="A278" s="3386"/>
      <c r="B278" s="535" t="s">
        <v>23</v>
      </c>
      <c r="C278" s="3311" t="s">
        <v>77</v>
      </c>
      <c r="D278" s="1324">
        <f>+D279+D280</f>
        <v>2755000</v>
      </c>
      <c r="E278" s="1324">
        <f t="shared" ref="E278" si="172">+E279+E280</f>
        <v>0</v>
      </c>
      <c r="F278" s="1324">
        <f>+F279+F280</f>
        <v>0</v>
      </c>
      <c r="G278" s="1324">
        <f>+G279+G280</f>
        <v>428598</v>
      </c>
      <c r="H278" s="1324">
        <f>+H279+H280</f>
        <v>2326402</v>
      </c>
      <c r="I278" s="1324"/>
      <c r="J278" s="1324"/>
      <c r="K278" s="1324"/>
      <c r="L278" s="1324"/>
      <c r="M278" s="1325">
        <f>+M279</f>
        <v>2755000</v>
      </c>
      <c r="N278" s="1325">
        <f>+N279</f>
        <v>2755000</v>
      </c>
      <c r="O278" s="3318"/>
    </row>
    <row r="279" spans="1:15" s="3183" customFormat="1">
      <c r="A279" s="3386"/>
      <c r="B279" s="589" t="s">
        <v>12</v>
      </c>
      <c r="C279" s="3312"/>
      <c r="D279" s="1216">
        <f>E279+F279+G279+H279+I279+J279+K279+L279</f>
        <v>2755000</v>
      </c>
      <c r="E279" s="1262"/>
      <c r="F279" s="1301"/>
      <c r="G279" s="1301">
        <v>428598</v>
      </c>
      <c r="H279" s="1301">
        <v>2326402</v>
      </c>
      <c r="I279" s="1301"/>
      <c r="J279" s="1301"/>
      <c r="K279" s="1301"/>
      <c r="L279" s="1301"/>
      <c r="M279" s="1302">
        <f>SUM(F279:K279)</f>
        <v>2755000</v>
      </c>
      <c r="N279" s="1302">
        <f>SUM(G279:L279)</f>
        <v>2755000</v>
      </c>
      <c r="O279" s="3318"/>
    </row>
    <row r="280" spans="1:15" s="3183" customFormat="1" hidden="1">
      <c r="A280" s="3386"/>
      <c r="B280" s="2706" t="s">
        <v>15</v>
      </c>
      <c r="C280" s="3312"/>
      <c r="D280" s="1216">
        <f>E280+F280+G280+H280+I280+J280+K280+L280</f>
        <v>0</v>
      </c>
      <c r="E280" s="2713">
        <v>0</v>
      </c>
      <c r="F280" s="814">
        <v>0</v>
      </c>
      <c r="G280" s="814">
        <v>0</v>
      </c>
      <c r="H280" s="814"/>
      <c r="I280" s="814"/>
      <c r="J280" s="814"/>
      <c r="K280" s="814"/>
      <c r="L280" s="814"/>
      <c r="M280" s="1302">
        <f>SUM(E280:K280)</f>
        <v>0</v>
      </c>
      <c r="N280" s="1302">
        <f>SUM(F280:L280)</f>
        <v>0</v>
      </c>
      <c r="O280" s="3318"/>
    </row>
    <row r="281" spans="1:15" s="3183" customFormat="1">
      <c r="A281" s="3386"/>
      <c r="B281" s="798" t="s">
        <v>18</v>
      </c>
      <c r="C281" s="3312"/>
      <c r="D281" s="1288">
        <f>+D282</f>
        <v>15045000</v>
      </c>
      <c r="E281" s="1288">
        <f t="shared" ref="E281:H281" si="173">+E282</f>
        <v>0</v>
      </c>
      <c r="F281" s="1288">
        <f t="shared" si="173"/>
        <v>0</v>
      </c>
      <c r="G281" s="1288">
        <f t="shared" si="173"/>
        <v>1862052</v>
      </c>
      <c r="H281" s="1288">
        <f t="shared" si="173"/>
        <v>13182948</v>
      </c>
      <c r="I281" s="1288"/>
      <c r="J281" s="1288"/>
      <c r="K281" s="1288"/>
      <c r="L281" s="1288"/>
      <c r="M281" s="1289">
        <f>+M282</f>
        <v>15045000</v>
      </c>
      <c r="N281" s="1289">
        <f>+N282</f>
        <v>15045000</v>
      </c>
      <c r="O281" s="3318"/>
    </row>
    <row r="282" spans="1:15" s="3183" customFormat="1">
      <c r="A282" s="3386"/>
      <c r="B282" s="2714" t="s">
        <v>20</v>
      </c>
      <c r="C282" s="3320"/>
      <c r="D282" s="1216">
        <f>E282+F282+G282+H282+I282+J282+K282+L282</f>
        <v>15045000</v>
      </c>
      <c r="E282" s="1262"/>
      <c r="F282" s="1301"/>
      <c r="G282" s="1301">
        <v>1862052</v>
      </c>
      <c r="H282" s="1301">
        <v>13182948</v>
      </c>
      <c r="I282" s="1301"/>
      <c r="J282" s="1301"/>
      <c r="K282" s="1301"/>
      <c r="L282" s="1301"/>
      <c r="M282" s="1302">
        <f>SUM(F282:K282)</f>
        <v>15045000</v>
      </c>
      <c r="N282" s="1302">
        <f>SUM(G282:L282)</f>
        <v>15045000</v>
      </c>
      <c r="O282" s="3319"/>
    </row>
    <row r="283" spans="1:15" s="3183" customFormat="1">
      <c r="A283" s="3386"/>
      <c r="B283" s="410" t="s">
        <v>21</v>
      </c>
      <c r="C283" s="512"/>
      <c r="D283" s="1285">
        <f>+D286+D284</f>
        <v>15045000</v>
      </c>
      <c r="E283" s="1285">
        <f t="shared" ref="E283:H283" si="174">+E286+E284</f>
        <v>0</v>
      </c>
      <c r="F283" s="1285">
        <f t="shared" si="174"/>
        <v>0</v>
      </c>
      <c r="G283" s="1285">
        <f t="shared" si="174"/>
        <v>0</v>
      </c>
      <c r="H283" s="1285">
        <f t="shared" si="174"/>
        <v>15045000</v>
      </c>
      <c r="I283" s="1285"/>
      <c r="J283" s="1285"/>
      <c r="K283" s="1285"/>
      <c r="L283" s="1285"/>
      <c r="M283" s="3321" t="s">
        <v>22</v>
      </c>
      <c r="N283" s="3321" t="s">
        <v>22</v>
      </c>
      <c r="O283" s="3308" t="s">
        <v>94</v>
      </c>
    </row>
    <row r="284" spans="1:15" s="3183" customFormat="1" hidden="1">
      <c r="A284" s="3386"/>
      <c r="B284" s="1292" t="s">
        <v>23</v>
      </c>
      <c r="C284" s="3351" t="s">
        <v>214</v>
      </c>
      <c r="D284" s="1288">
        <f>+D285</f>
        <v>0</v>
      </c>
      <c r="E284" s="1288">
        <f t="shared" ref="E284:H284" si="175">+E285</f>
        <v>0</v>
      </c>
      <c r="F284" s="1288">
        <f t="shared" si="175"/>
        <v>0</v>
      </c>
      <c r="G284" s="1288">
        <f t="shared" si="175"/>
        <v>0</v>
      </c>
      <c r="H284" s="1288">
        <f t="shared" si="175"/>
        <v>0</v>
      </c>
      <c r="I284" s="1288"/>
      <c r="J284" s="1288"/>
      <c r="K284" s="1288"/>
      <c r="L284" s="1288"/>
      <c r="M284" s="3322"/>
      <c r="N284" s="3322"/>
      <c r="O284" s="3309"/>
    </row>
    <row r="285" spans="1:15" s="3183" customFormat="1" hidden="1">
      <c r="A285" s="3386"/>
      <c r="B285" s="1315" t="s">
        <v>15</v>
      </c>
      <c r="C285" s="3347"/>
      <c r="D285" s="1216">
        <f>E285+F285+G285+H285+I285+J285+K285+L285</f>
        <v>0</v>
      </c>
      <c r="E285" s="1305"/>
      <c r="F285" s="1305"/>
      <c r="G285" s="1305"/>
      <c r="H285" s="1305"/>
      <c r="I285" s="1305"/>
      <c r="J285" s="1305"/>
      <c r="K285" s="1305"/>
      <c r="L285" s="1305"/>
      <c r="M285" s="3322"/>
      <c r="N285" s="3322"/>
      <c r="O285" s="3309"/>
    </row>
    <row r="286" spans="1:15" s="3183" customFormat="1">
      <c r="A286" s="3386"/>
      <c r="B286" s="537" t="s">
        <v>18</v>
      </c>
      <c r="C286" s="3347"/>
      <c r="D286" s="1306">
        <f>+D287</f>
        <v>15045000</v>
      </c>
      <c r="E286" s="1306">
        <f t="shared" ref="E286:H286" si="176">+E287</f>
        <v>0</v>
      </c>
      <c r="F286" s="1306">
        <f t="shared" si="176"/>
        <v>0</v>
      </c>
      <c r="G286" s="1306">
        <f t="shared" si="176"/>
        <v>0</v>
      </c>
      <c r="H286" s="1306">
        <f t="shared" si="176"/>
        <v>15045000</v>
      </c>
      <c r="I286" s="1306"/>
      <c r="J286" s="1306"/>
      <c r="K286" s="1306"/>
      <c r="L286" s="1306"/>
      <c r="M286" s="3322"/>
      <c r="N286" s="3322"/>
      <c r="O286" s="3309"/>
    </row>
    <row r="287" spans="1:15" s="3183" customFormat="1" ht="13.5" thickBot="1">
      <c r="A287" s="3387"/>
      <c r="B287" s="801" t="s">
        <v>20</v>
      </c>
      <c r="C287" s="3391"/>
      <c r="D287" s="1382">
        <f>E287+F287+G287+H287+I287+J287+K287+L287</f>
        <v>15045000</v>
      </c>
      <c r="E287" s="1382">
        <v>0</v>
      </c>
      <c r="F287" s="1382">
        <v>0</v>
      </c>
      <c r="G287" s="407">
        <f>1862052-1862052</f>
        <v>0</v>
      </c>
      <c r="H287" s="407">
        <f>13182948+1862052</f>
        <v>15045000</v>
      </c>
      <c r="I287" s="407"/>
      <c r="J287" s="407"/>
      <c r="K287" s="407"/>
      <c r="L287" s="407"/>
      <c r="M287" s="3323"/>
      <c r="N287" s="3323"/>
      <c r="O287" s="3310"/>
    </row>
    <row r="288" spans="1:15" s="3271" customFormat="1" ht="24">
      <c r="A288" s="3314" t="s">
        <v>87</v>
      </c>
      <c r="B288" s="366" t="s">
        <v>796</v>
      </c>
      <c r="C288" s="56" t="s">
        <v>74</v>
      </c>
      <c r="D288" s="2662"/>
      <c r="E288" s="2638"/>
      <c r="F288" s="2638"/>
      <c r="G288" s="2638"/>
      <c r="H288" s="2638"/>
      <c r="I288" s="2638"/>
      <c r="J288" s="2638"/>
      <c r="K288" s="2638"/>
      <c r="L288" s="41"/>
      <c r="M288" s="43"/>
      <c r="N288" s="43"/>
      <c r="O288" s="3317" t="s">
        <v>79</v>
      </c>
    </row>
    <row r="289" spans="1:15" s="3271" customFormat="1">
      <c r="A289" s="3315"/>
      <c r="B289" s="410" t="s">
        <v>10</v>
      </c>
      <c r="C289" s="2707"/>
      <c r="D289" s="1323">
        <f>+D290+D293</f>
        <v>55000000</v>
      </c>
      <c r="E289" s="1323">
        <f t="shared" ref="E289:H289" si="177">+E290+E293</f>
        <v>0</v>
      </c>
      <c r="F289" s="1323">
        <f t="shared" si="177"/>
        <v>0</v>
      </c>
      <c r="G289" s="1323">
        <f t="shared" si="177"/>
        <v>0</v>
      </c>
      <c r="H289" s="1323">
        <f t="shared" si="177"/>
        <v>7000000</v>
      </c>
      <c r="I289" s="1323">
        <f t="shared" ref="I289:J289" si="178">+I290+I293</f>
        <v>31000000</v>
      </c>
      <c r="J289" s="1323">
        <f t="shared" si="178"/>
        <v>17000000</v>
      </c>
      <c r="K289" s="1323"/>
      <c r="L289" s="1323"/>
      <c r="M289" s="1340">
        <f>+M290+M293</f>
        <v>55000000</v>
      </c>
      <c r="N289" s="1340">
        <f>+N290+N293</f>
        <v>55000000</v>
      </c>
      <c r="O289" s="3318"/>
    </row>
    <row r="290" spans="1:15" s="3271" customFormat="1">
      <c r="A290" s="3315"/>
      <c r="B290" s="535" t="s">
        <v>23</v>
      </c>
      <c r="C290" s="3311" t="s">
        <v>77</v>
      </c>
      <c r="D290" s="1324">
        <f>+D291+D292</f>
        <v>8250000</v>
      </c>
      <c r="E290" s="1324">
        <f t="shared" ref="E290" si="179">+E291+E292</f>
        <v>0</v>
      </c>
      <c r="F290" s="1324">
        <f>+F291+F292</f>
        <v>0</v>
      </c>
      <c r="G290" s="1324">
        <f>+G291+G292</f>
        <v>0</v>
      </c>
      <c r="H290" s="1324">
        <f>+H291+H292</f>
        <v>1050000</v>
      </c>
      <c r="I290" s="1324">
        <f>+I291+I292</f>
        <v>4650000</v>
      </c>
      <c r="J290" s="1324">
        <f>+J291+J292</f>
        <v>2550000</v>
      </c>
      <c r="K290" s="1324"/>
      <c r="L290" s="1324"/>
      <c r="M290" s="1325">
        <f>+M291</f>
        <v>8250000</v>
      </c>
      <c r="N290" s="1325">
        <f>+N291</f>
        <v>8250000</v>
      </c>
      <c r="O290" s="3318"/>
    </row>
    <row r="291" spans="1:15" s="3271" customFormat="1">
      <c r="A291" s="3315"/>
      <c r="B291" s="589" t="s">
        <v>12</v>
      </c>
      <c r="C291" s="3312"/>
      <c r="D291" s="1216">
        <f>E291+F291+G291+H291+I291+J291+K291+L291</f>
        <v>8250000</v>
      </c>
      <c r="E291" s="1262"/>
      <c r="F291" s="1301"/>
      <c r="G291" s="1301"/>
      <c r="H291" s="1301">
        <v>1050000</v>
      </c>
      <c r="I291" s="1301">
        <v>4650000</v>
      </c>
      <c r="J291" s="1301">
        <v>2550000</v>
      </c>
      <c r="K291" s="1301"/>
      <c r="L291" s="1301"/>
      <c r="M291" s="1302">
        <f>SUM(F291:K291)</f>
        <v>8250000</v>
      </c>
      <c r="N291" s="1302">
        <f>SUM(G291:L291)</f>
        <v>8250000</v>
      </c>
      <c r="O291" s="3318"/>
    </row>
    <row r="292" spans="1:15" s="3271" customFormat="1" hidden="1">
      <c r="A292" s="3315"/>
      <c r="B292" s="2706" t="s">
        <v>15</v>
      </c>
      <c r="C292" s="3312"/>
      <c r="D292" s="1216">
        <f>E292+F292+G292+H292+I292+J292+K292+L292</f>
        <v>0</v>
      </c>
      <c r="E292" s="2713">
        <v>0</v>
      </c>
      <c r="F292" s="814">
        <v>0</v>
      </c>
      <c r="G292" s="814">
        <v>0</v>
      </c>
      <c r="H292" s="814"/>
      <c r="I292" s="814"/>
      <c r="J292" s="814"/>
      <c r="K292" s="814"/>
      <c r="L292" s="814"/>
      <c r="M292" s="1302">
        <f>SUM(E292:K292)</f>
        <v>0</v>
      </c>
      <c r="N292" s="1302">
        <f>SUM(F292:L292)</f>
        <v>0</v>
      </c>
      <c r="O292" s="3318"/>
    </row>
    <row r="293" spans="1:15" s="3271" customFormat="1">
      <c r="A293" s="3315"/>
      <c r="B293" s="798" t="s">
        <v>18</v>
      </c>
      <c r="C293" s="3312"/>
      <c r="D293" s="1288">
        <f>+D294</f>
        <v>46750000</v>
      </c>
      <c r="E293" s="1288">
        <f t="shared" ref="E293:J293" si="180">+E294</f>
        <v>0</v>
      </c>
      <c r="F293" s="1288">
        <f t="shared" si="180"/>
        <v>0</v>
      </c>
      <c r="G293" s="1288">
        <f t="shared" si="180"/>
        <v>0</v>
      </c>
      <c r="H293" s="1288">
        <f t="shared" si="180"/>
        <v>5950000</v>
      </c>
      <c r="I293" s="1288">
        <f t="shared" si="180"/>
        <v>26350000</v>
      </c>
      <c r="J293" s="1288">
        <f t="shared" si="180"/>
        <v>14450000</v>
      </c>
      <c r="K293" s="1288"/>
      <c r="L293" s="1288"/>
      <c r="M293" s="1289">
        <f>+M294</f>
        <v>46750000</v>
      </c>
      <c r="N293" s="1289">
        <f>+N294</f>
        <v>46750000</v>
      </c>
      <c r="O293" s="3318"/>
    </row>
    <row r="294" spans="1:15" s="3271" customFormat="1">
      <c r="A294" s="3315"/>
      <c r="B294" s="2714" t="s">
        <v>20</v>
      </c>
      <c r="C294" s="3320"/>
      <c r="D294" s="1216">
        <f>E294+F294+G294+H294+I294+J294+K294+L294</f>
        <v>46750000</v>
      </c>
      <c r="E294" s="1262"/>
      <c r="F294" s="1301"/>
      <c r="G294" s="1301"/>
      <c r="H294" s="1301">
        <v>5950000</v>
      </c>
      <c r="I294" s="1301">
        <v>26350000</v>
      </c>
      <c r="J294" s="1301">
        <v>14450000</v>
      </c>
      <c r="K294" s="1301"/>
      <c r="L294" s="1301"/>
      <c r="M294" s="1302">
        <f>SUM(F294:K294)</f>
        <v>46750000</v>
      </c>
      <c r="N294" s="1302">
        <f>SUM(G294:L294)</f>
        <v>46750000</v>
      </c>
      <c r="O294" s="3319"/>
    </row>
    <row r="295" spans="1:15" s="3271" customFormat="1">
      <c r="A295" s="3315"/>
      <c r="B295" s="410" t="s">
        <v>21</v>
      </c>
      <c r="C295" s="3276"/>
      <c r="D295" s="1285">
        <f>+D298+D296</f>
        <v>46750000</v>
      </c>
      <c r="E295" s="1285">
        <f t="shared" ref="E295:J295" si="181">+E298+E296</f>
        <v>0</v>
      </c>
      <c r="F295" s="1285">
        <f t="shared" si="181"/>
        <v>0</v>
      </c>
      <c r="G295" s="1285">
        <f t="shared" si="181"/>
        <v>0</v>
      </c>
      <c r="H295" s="1285">
        <f t="shared" si="181"/>
        <v>2950000</v>
      </c>
      <c r="I295" s="1285">
        <f t="shared" si="181"/>
        <v>16350000</v>
      </c>
      <c r="J295" s="1285">
        <f t="shared" si="181"/>
        <v>27450000</v>
      </c>
      <c r="K295" s="1285"/>
      <c r="L295" s="1285"/>
      <c r="M295" s="3321" t="s">
        <v>22</v>
      </c>
      <c r="N295" s="3321" t="s">
        <v>22</v>
      </c>
      <c r="O295" s="3308" t="s">
        <v>94</v>
      </c>
    </row>
    <row r="296" spans="1:15" s="3271" customFormat="1" hidden="1">
      <c r="A296" s="3315"/>
      <c r="B296" s="1292" t="s">
        <v>23</v>
      </c>
      <c r="C296" s="3311" t="s">
        <v>214</v>
      </c>
      <c r="D296" s="1288">
        <f>+D297</f>
        <v>0</v>
      </c>
      <c r="E296" s="1288">
        <f t="shared" ref="E296:H296" si="182">+E297</f>
        <v>0</v>
      </c>
      <c r="F296" s="1288">
        <f t="shared" si="182"/>
        <v>0</v>
      </c>
      <c r="G296" s="1288">
        <f t="shared" si="182"/>
        <v>0</v>
      </c>
      <c r="H296" s="1288">
        <f t="shared" si="182"/>
        <v>0</v>
      </c>
      <c r="I296" s="1288"/>
      <c r="J296" s="1288"/>
      <c r="K296" s="1288"/>
      <c r="L296" s="1288"/>
      <c r="M296" s="3322"/>
      <c r="N296" s="3322"/>
      <c r="O296" s="3309"/>
    </row>
    <row r="297" spans="1:15" s="3271" customFormat="1" hidden="1">
      <c r="A297" s="3315"/>
      <c r="B297" s="1315" t="s">
        <v>15</v>
      </c>
      <c r="C297" s="3312"/>
      <c r="D297" s="1216">
        <f>E297+F297+G297+H297+I297+J297+K297+L297</f>
        <v>0</v>
      </c>
      <c r="E297" s="1305"/>
      <c r="F297" s="1305"/>
      <c r="G297" s="1305"/>
      <c r="H297" s="1305"/>
      <c r="I297" s="1305"/>
      <c r="J297" s="1305"/>
      <c r="K297" s="1305"/>
      <c r="L297" s="1305"/>
      <c r="M297" s="3322"/>
      <c r="N297" s="3322"/>
      <c r="O297" s="3309"/>
    </row>
    <row r="298" spans="1:15" s="3271" customFormat="1">
      <c r="A298" s="3315"/>
      <c r="B298" s="537" t="s">
        <v>18</v>
      </c>
      <c r="C298" s="3312"/>
      <c r="D298" s="1306">
        <f>+D299</f>
        <v>46750000</v>
      </c>
      <c r="E298" s="1306">
        <f t="shared" ref="E298:J298" si="183">+E299</f>
        <v>0</v>
      </c>
      <c r="F298" s="1306">
        <f t="shared" si="183"/>
        <v>0</v>
      </c>
      <c r="G298" s="1306">
        <f t="shared" si="183"/>
        <v>0</v>
      </c>
      <c r="H298" s="1306">
        <f t="shared" si="183"/>
        <v>2950000</v>
      </c>
      <c r="I298" s="1306">
        <f t="shared" si="183"/>
        <v>16350000</v>
      </c>
      <c r="J298" s="1306">
        <f t="shared" si="183"/>
        <v>27450000</v>
      </c>
      <c r="K298" s="1306"/>
      <c r="L298" s="1306"/>
      <c r="M298" s="3322"/>
      <c r="N298" s="3322"/>
      <c r="O298" s="3309"/>
    </row>
    <row r="299" spans="1:15" s="3271" customFormat="1" ht="13.5" thickBot="1">
      <c r="A299" s="3316"/>
      <c r="B299" s="801" t="s">
        <v>20</v>
      </c>
      <c r="C299" s="3313"/>
      <c r="D299" s="1382">
        <f>E299+F299+G299+H299+I299+J299+K299+L299</f>
        <v>46750000</v>
      </c>
      <c r="E299" s="1382">
        <v>0</v>
      </c>
      <c r="F299" s="1382">
        <v>0</v>
      </c>
      <c r="G299" s="407">
        <f>1862052-1862052</f>
        <v>0</v>
      </c>
      <c r="H299" s="407">
        <v>2950000</v>
      </c>
      <c r="I299" s="407">
        <v>16350000</v>
      </c>
      <c r="J299" s="407">
        <v>27450000</v>
      </c>
      <c r="K299" s="407"/>
      <c r="L299" s="407"/>
      <c r="M299" s="3323"/>
      <c r="N299" s="3323"/>
      <c r="O299" s="3310"/>
    </row>
    <row r="300" spans="1:15" s="3272" customFormat="1" ht="24">
      <c r="A300" s="3314" t="s">
        <v>88</v>
      </c>
      <c r="B300" s="366" t="s">
        <v>797</v>
      </c>
      <c r="C300" s="56" t="s">
        <v>74</v>
      </c>
      <c r="D300" s="2662"/>
      <c r="E300" s="2638"/>
      <c r="F300" s="2638"/>
      <c r="G300" s="2638"/>
      <c r="H300" s="2638"/>
      <c r="I300" s="2638"/>
      <c r="J300" s="2638"/>
      <c r="K300" s="2638"/>
      <c r="L300" s="41"/>
      <c r="M300" s="43"/>
      <c r="N300" s="43"/>
      <c r="O300" s="3317" t="s">
        <v>79</v>
      </c>
    </row>
    <row r="301" spans="1:15" s="3272" customFormat="1">
      <c r="A301" s="3315"/>
      <c r="B301" s="410" t="s">
        <v>10</v>
      </c>
      <c r="C301" s="2707"/>
      <c r="D301" s="1323">
        <f>+D302+D305</f>
        <v>25000000</v>
      </c>
      <c r="E301" s="1323">
        <f t="shared" ref="E301:J301" si="184">+E302+E305</f>
        <v>0</v>
      </c>
      <c r="F301" s="1323">
        <f t="shared" si="184"/>
        <v>0</v>
      </c>
      <c r="G301" s="1323">
        <f t="shared" si="184"/>
        <v>0</v>
      </c>
      <c r="H301" s="1323">
        <f>+H302+H305</f>
        <v>6000000</v>
      </c>
      <c r="I301" s="1323">
        <f t="shared" si="184"/>
        <v>19000000</v>
      </c>
      <c r="J301" s="1323">
        <f t="shared" si="184"/>
        <v>0</v>
      </c>
      <c r="K301" s="1323"/>
      <c r="L301" s="1323"/>
      <c r="M301" s="1340">
        <f>+M302+M305</f>
        <v>25000000</v>
      </c>
      <c r="N301" s="1340">
        <f>+N302+N305</f>
        <v>25000000</v>
      </c>
      <c r="O301" s="3318"/>
    </row>
    <row r="302" spans="1:15" s="3272" customFormat="1">
      <c r="A302" s="3315"/>
      <c r="B302" s="535" t="s">
        <v>23</v>
      </c>
      <c r="C302" s="3311" t="s">
        <v>77</v>
      </c>
      <c r="D302" s="1324">
        <f>+D303+D304</f>
        <v>3750000</v>
      </c>
      <c r="E302" s="1324">
        <f t="shared" ref="E302" si="185">+E303+E304</f>
        <v>0</v>
      </c>
      <c r="F302" s="1324">
        <f>+F303+F304</f>
        <v>0</v>
      </c>
      <c r="G302" s="1324">
        <f>+G303+G304</f>
        <v>0</v>
      </c>
      <c r="H302" s="1324">
        <f>+H303+H304</f>
        <v>900000</v>
      </c>
      <c r="I302" s="1324">
        <f>+I303+I304</f>
        <v>2850000</v>
      </c>
      <c r="J302" s="1324">
        <f>+J303+J304</f>
        <v>0</v>
      </c>
      <c r="K302" s="1324"/>
      <c r="L302" s="1324"/>
      <c r="M302" s="1325">
        <f>+M303</f>
        <v>3750000</v>
      </c>
      <c r="N302" s="1325">
        <f>+N303</f>
        <v>3750000</v>
      </c>
      <c r="O302" s="3318"/>
    </row>
    <row r="303" spans="1:15" s="3272" customFormat="1">
      <c r="A303" s="3315"/>
      <c r="B303" s="589" t="s">
        <v>12</v>
      </c>
      <c r="C303" s="3312"/>
      <c r="D303" s="1216">
        <f>E303+F303+G303+H303+I303+J303+K303+L303</f>
        <v>3750000</v>
      </c>
      <c r="E303" s="1262"/>
      <c r="F303" s="1301"/>
      <c r="G303" s="1301"/>
      <c r="H303" s="1301">
        <v>900000</v>
      </c>
      <c r="I303" s="1301">
        <v>2850000</v>
      </c>
      <c r="J303" s="1301">
        <v>0</v>
      </c>
      <c r="K303" s="1301"/>
      <c r="L303" s="1301"/>
      <c r="M303" s="1302">
        <f>SUM(F303:K303)</f>
        <v>3750000</v>
      </c>
      <c r="N303" s="1302">
        <f>SUM(G303:L303)</f>
        <v>3750000</v>
      </c>
      <c r="O303" s="3318"/>
    </row>
    <row r="304" spans="1:15" s="3272" customFormat="1" hidden="1">
      <c r="A304" s="3315"/>
      <c r="B304" s="2706" t="s">
        <v>15</v>
      </c>
      <c r="C304" s="3312"/>
      <c r="D304" s="1216">
        <f>E304+F304+G304+H304+I304+J304+K304+L304</f>
        <v>0</v>
      </c>
      <c r="E304" s="2713">
        <v>0</v>
      </c>
      <c r="F304" s="814">
        <v>0</v>
      </c>
      <c r="G304" s="814">
        <v>0</v>
      </c>
      <c r="H304" s="814"/>
      <c r="I304" s="814"/>
      <c r="J304" s="814"/>
      <c r="K304" s="814"/>
      <c r="L304" s="814"/>
      <c r="M304" s="1302">
        <f>SUM(E304:K304)</f>
        <v>0</v>
      </c>
      <c r="N304" s="1302">
        <f>SUM(F304:L304)</f>
        <v>0</v>
      </c>
      <c r="O304" s="3318"/>
    </row>
    <row r="305" spans="1:16" s="3272" customFormat="1">
      <c r="A305" s="3315"/>
      <c r="B305" s="798" t="s">
        <v>18</v>
      </c>
      <c r="C305" s="3312"/>
      <c r="D305" s="1288">
        <f>+D306</f>
        <v>21250000</v>
      </c>
      <c r="E305" s="1288">
        <f t="shared" ref="E305:J305" si="186">+E306</f>
        <v>0</v>
      </c>
      <c r="F305" s="1288">
        <f t="shared" si="186"/>
        <v>0</v>
      </c>
      <c r="G305" s="1288">
        <f t="shared" si="186"/>
        <v>0</v>
      </c>
      <c r="H305" s="1288">
        <f t="shared" si="186"/>
        <v>5100000</v>
      </c>
      <c r="I305" s="1288">
        <f t="shared" si="186"/>
        <v>16150000</v>
      </c>
      <c r="J305" s="1288">
        <f t="shared" si="186"/>
        <v>0</v>
      </c>
      <c r="K305" s="1288"/>
      <c r="L305" s="1288"/>
      <c r="M305" s="1289">
        <f>+M306</f>
        <v>21250000</v>
      </c>
      <c r="N305" s="1289">
        <f>+N306</f>
        <v>21250000</v>
      </c>
      <c r="O305" s="3318"/>
    </row>
    <row r="306" spans="1:16" s="3272" customFormat="1">
      <c r="A306" s="3315"/>
      <c r="B306" s="2714" t="s">
        <v>20</v>
      </c>
      <c r="C306" s="3320"/>
      <c r="D306" s="1216">
        <f>E306+F306+G306+H306+I306+J306+K306+L306</f>
        <v>21250000</v>
      </c>
      <c r="E306" s="1262"/>
      <c r="F306" s="1301"/>
      <c r="G306" s="1301"/>
      <c r="H306" s="1301">
        <v>5100000</v>
      </c>
      <c r="I306" s="1301">
        <v>16150000</v>
      </c>
      <c r="J306" s="1301">
        <v>0</v>
      </c>
      <c r="K306" s="1301"/>
      <c r="L306" s="1301"/>
      <c r="M306" s="1302">
        <f>SUM(F306:K306)</f>
        <v>21250000</v>
      </c>
      <c r="N306" s="1302">
        <f>SUM(G306:L306)</f>
        <v>21250000</v>
      </c>
      <c r="O306" s="3319"/>
    </row>
    <row r="307" spans="1:16" s="3272" customFormat="1">
      <c r="A307" s="3315"/>
      <c r="B307" s="410" t="s">
        <v>21</v>
      </c>
      <c r="C307" s="3276"/>
      <c r="D307" s="1285">
        <f>+D310+D308</f>
        <v>21250000</v>
      </c>
      <c r="E307" s="1285">
        <f t="shared" ref="E307:J307" si="187">+E310+E308</f>
        <v>0</v>
      </c>
      <c r="F307" s="1285">
        <f t="shared" si="187"/>
        <v>0</v>
      </c>
      <c r="G307" s="1285">
        <f t="shared" si="187"/>
        <v>0</v>
      </c>
      <c r="H307" s="1285">
        <f t="shared" si="187"/>
        <v>3500000</v>
      </c>
      <c r="I307" s="1285">
        <f t="shared" si="187"/>
        <v>11250000</v>
      </c>
      <c r="J307" s="1285">
        <f t="shared" si="187"/>
        <v>6500000</v>
      </c>
      <c r="K307" s="1285"/>
      <c r="L307" s="1285"/>
      <c r="M307" s="3321" t="s">
        <v>22</v>
      </c>
      <c r="N307" s="3321" t="s">
        <v>22</v>
      </c>
      <c r="O307" s="3308" t="s">
        <v>94</v>
      </c>
    </row>
    <row r="308" spans="1:16" s="3272" customFormat="1" hidden="1">
      <c r="A308" s="3315"/>
      <c r="B308" s="1292" t="s">
        <v>23</v>
      </c>
      <c r="C308" s="3311" t="s">
        <v>214</v>
      </c>
      <c r="D308" s="1288">
        <f>+D309</f>
        <v>0</v>
      </c>
      <c r="E308" s="1288">
        <f t="shared" ref="E308:H308" si="188">+E309</f>
        <v>0</v>
      </c>
      <c r="F308" s="1288">
        <f t="shared" si="188"/>
        <v>0</v>
      </c>
      <c r="G308" s="1288">
        <f t="shared" si="188"/>
        <v>0</v>
      </c>
      <c r="H308" s="1288">
        <f t="shared" si="188"/>
        <v>0</v>
      </c>
      <c r="I308" s="1288"/>
      <c r="J308" s="1288"/>
      <c r="K308" s="1288"/>
      <c r="L308" s="1288"/>
      <c r="M308" s="3322"/>
      <c r="N308" s="3322"/>
      <c r="O308" s="3309"/>
    </row>
    <row r="309" spans="1:16" s="3272" customFormat="1" hidden="1">
      <c r="A309" s="3315"/>
      <c r="B309" s="1315" t="s">
        <v>15</v>
      </c>
      <c r="C309" s="3312"/>
      <c r="D309" s="1216">
        <f>E309+F309+G309+H309+I309+J309+K309+L309</f>
        <v>0</v>
      </c>
      <c r="E309" s="1305"/>
      <c r="F309" s="1305"/>
      <c r="G309" s="1305"/>
      <c r="H309" s="1305"/>
      <c r="I309" s="1305"/>
      <c r="J309" s="1305"/>
      <c r="K309" s="1305"/>
      <c r="L309" s="1305"/>
      <c r="M309" s="3322"/>
      <c r="N309" s="3322"/>
      <c r="O309" s="3309"/>
    </row>
    <row r="310" spans="1:16" s="3272" customFormat="1">
      <c r="A310" s="3315"/>
      <c r="B310" s="537" t="s">
        <v>18</v>
      </c>
      <c r="C310" s="3312"/>
      <c r="D310" s="1306">
        <f>+D311</f>
        <v>21250000</v>
      </c>
      <c r="E310" s="1306">
        <f t="shared" ref="E310:J310" si="189">+E311</f>
        <v>0</v>
      </c>
      <c r="F310" s="1306">
        <f t="shared" si="189"/>
        <v>0</v>
      </c>
      <c r="G310" s="1306">
        <f t="shared" si="189"/>
        <v>0</v>
      </c>
      <c r="H310" s="1306">
        <f t="shared" si="189"/>
        <v>3500000</v>
      </c>
      <c r="I310" s="1306">
        <f t="shared" si="189"/>
        <v>11250000</v>
      </c>
      <c r="J310" s="1306">
        <f t="shared" si="189"/>
        <v>6500000</v>
      </c>
      <c r="K310" s="1306"/>
      <c r="L310" s="1306"/>
      <c r="M310" s="3322"/>
      <c r="N310" s="3322"/>
      <c r="O310" s="3309"/>
    </row>
    <row r="311" spans="1:16" s="3272" customFormat="1" ht="13.5" thickBot="1">
      <c r="A311" s="3316"/>
      <c r="B311" s="801" t="s">
        <v>20</v>
      </c>
      <c r="C311" s="3313"/>
      <c r="D311" s="1382">
        <f>E311+F311+G311+H311+I311+J311+K311+L311</f>
        <v>21250000</v>
      </c>
      <c r="E311" s="1382">
        <v>0</v>
      </c>
      <c r="F311" s="1382">
        <v>0</v>
      </c>
      <c r="G311" s="407">
        <f>1862052-1862052</f>
        <v>0</v>
      </c>
      <c r="H311" s="407">
        <v>3500000</v>
      </c>
      <c r="I311" s="407">
        <v>11250000</v>
      </c>
      <c r="J311" s="407">
        <v>6500000</v>
      </c>
      <c r="K311" s="407"/>
      <c r="L311" s="407"/>
      <c r="M311" s="3323"/>
      <c r="N311" s="3323"/>
      <c r="O311" s="3310"/>
    </row>
    <row r="312" spans="1:16" ht="24.75" customHeight="1">
      <c r="A312" s="3385" t="s">
        <v>89</v>
      </c>
      <c r="B312" s="263" t="s">
        <v>786</v>
      </c>
      <c r="C312" s="56" t="s">
        <v>74</v>
      </c>
      <c r="D312" s="2662"/>
      <c r="E312" s="2638"/>
      <c r="F312" s="2638"/>
      <c r="G312" s="2638"/>
      <c r="H312" s="2638"/>
      <c r="I312" s="2638"/>
      <c r="J312" s="2638"/>
      <c r="K312" s="2638"/>
      <c r="L312" s="41"/>
      <c r="M312" s="43"/>
      <c r="N312" s="43"/>
      <c r="O312" s="3317" t="s">
        <v>79</v>
      </c>
      <c r="P312" s="2287" t="s">
        <v>299</v>
      </c>
    </row>
    <row r="313" spans="1:16" ht="12" customHeight="1">
      <c r="A313" s="3386"/>
      <c r="B313" s="1283" t="s">
        <v>10</v>
      </c>
      <c r="C313" s="1308"/>
      <c r="D313" s="2715">
        <f t="shared" ref="D313" si="190">+D314+D317</f>
        <v>8557270</v>
      </c>
      <c r="E313" s="1220">
        <f t="shared" ref="E313" si="191">+E314+E317</f>
        <v>0</v>
      </c>
      <c r="F313" s="1220">
        <f>+F314+F317</f>
        <v>322280</v>
      </c>
      <c r="G313" s="1220">
        <f>+G314+G317</f>
        <v>0</v>
      </c>
      <c r="H313" s="1220">
        <f>+H314+H317</f>
        <v>7814990</v>
      </c>
      <c r="I313" s="1220">
        <f>+I314+I317</f>
        <v>420000</v>
      </c>
      <c r="J313" s="1220"/>
      <c r="K313" s="1220"/>
      <c r="L313" s="1220"/>
      <c r="M313" s="1222">
        <f>M314+M317</f>
        <v>8557270</v>
      </c>
      <c r="N313" s="1222">
        <f>N314+N317</f>
        <v>8234990</v>
      </c>
      <c r="O313" s="3318"/>
      <c r="P313" s="2291"/>
    </row>
    <row r="314" spans="1:16" ht="13.5" customHeight="1">
      <c r="A314" s="3386"/>
      <c r="B314" s="1292" t="s">
        <v>23</v>
      </c>
      <c r="C314" s="3351" t="s">
        <v>77</v>
      </c>
      <c r="D314" s="1224">
        <f>+D315+D316</f>
        <v>8283332</v>
      </c>
      <c r="E314" s="2716">
        <f t="shared" ref="E314:I314" si="192">+E315</f>
        <v>0</v>
      </c>
      <c r="F314" s="2716">
        <f t="shared" si="192"/>
        <v>48342</v>
      </c>
      <c r="G314" s="2716">
        <f t="shared" si="192"/>
        <v>0</v>
      </c>
      <c r="H314" s="2716">
        <f t="shared" si="192"/>
        <v>7814990</v>
      </c>
      <c r="I314" s="2716">
        <f t="shared" si="192"/>
        <v>420000</v>
      </c>
      <c r="J314" s="1299"/>
      <c r="K314" s="1299"/>
      <c r="L314" s="1299"/>
      <c r="M314" s="1289">
        <f>M315</f>
        <v>8283332</v>
      </c>
      <c r="N314" s="1289">
        <f>N315</f>
        <v>8234990</v>
      </c>
      <c r="O314" s="3318"/>
      <c r="P314" s="2291"/>
    </row>
    <row r="315" spans="1:16" ht="12" customHeight="1">
      <c r="A315" s="3386"/>
      <c r="B315" s="1372" t="s">
        <v>12</v>
      </c>
      <c r="C315" s="3352"/>
      <c r="D315" s="1216">
        <f>E315+F315+G315+H315+I315+J315+K315+L315</f>
        <v>8283332</v>
      </c>
      <c r="E315" s="1262">
        <v>0</v>
      </c>
      <c r="F315" s="1301">
        <f>3200000-1940000+1520081+249090-73261-57720-385500-592500-1597849-273999</f>
        <v>48342</v>
      </c>
      <c r="G315" s="1301">
        <f>4984499+500000+710922+57720+385500+1597849-126001-28598-20000-246901-7814990</f>
        <v>0</v>
      </c>
      <c r="H315" s="1301">
        <v>7814990</v>
      </c>
      <c r="I315" s="1301">
        <v>420000</v>
      </c>
      <c r="J315" s="1301"/>
      <c r="K315" s="1301"/>
      <c r="L315" s="1301"/>
      <c r="M315" s="796">
        <f>SUM(F315:K315)</f>
        <v>8283332</v>
      </c>
      <c r="N315" s="796">
        <f>SUM(G315:L315)</f>
        <v>8234990</v>
      </c>
      <c r="O315" s="3318"/>
    </row>
    <row r="316" spans="1:16" hidden="1">
      <c r="A316" s="3386"/>
      <c r="B316" s="2705" t="s">
        <v>15</v>
      </c>
      <c r="C316" s="3352"/>
      <c r="D316" s="1216">
        <f>E316+F316+G316+H316+I316+J316+K316+L316</f>
        <v>0</v>
      </c>
      <c r="E316" s="1318">
        <v>0</v>
      </c>
      <c r="F316" s="1319"/>
      <c r="G316" s="1319"/>
      <c r="H316" s="1319"/>
      <c r="I316" s="1319"/>
      <c r="J316" s="197"/>
      <c r="K316" s="197"/>
      <c r="L316" s="197"/>
      <c r="M316" s="67"/>
      <c r="N316" s="67"/>
      <c r="O316" s="3318"/>
    </row>
    <row r="317" spans="1:16" ht="13.5" customHeight="1">
      <c r="A317" s="3386"/>
      <c r="B317" s="1322" t="s">
        <v>18</v>
      </c>
      <c r="C317" s="3352"/>
      <c r="D317" s="1288">
        <f>+D318</f>
        <v>273938</v>
      </c>
      <c r="E317" s="1232">
        <f t="shared" ref="E317:I317" si="193">+E318</f>
        <v>0</v>
      </c>
      <c r="F317" s="2716">
        <f t="shared" si="193"/>
        <v>273938</v>
      </c>
      <c r="G317" s="2716">
        <f t="shared" si="193"/>
        <v>0</v>
      </c>
      <c r="H317" s="1631">
        <f t="shared" si="193"/>
        <v>0</v>
      </c>
      <c r="I317" s="1631">
        <f t="shared" si="193"/>
        <v>0</v>
      </c>
      <c r="J317" s="1288"/>
      <c r="K317" s="1288"/>
      <c r="L317" s="1288"/>
      <c r="M317" s="1289">
        <f>M318</f>
        <v>273938</v>
      </c>
      <c r="N317" s="1289">
        <f>N318</f>
        <v>0</v>
      </c>
      <c r="O317" s="3318"/>
    </row>
    <row r="318" spans="1:16">
      <c r="A318" s="3386"/>
      <c r="B318" s="802" t="s">
        <v>20</v>
      </c>
      <c r="C318" s="3402"/>
      <c r="D318" s="1320">
        <f>E318+F318+G318+H318+I318+J318+K318+L318</f>
        <v>273938</v>
      </c>
      <c r="E318" s="1262">
        <v>0</v>
      </c>
      <c r="F318" s="1301">
        <f>1617722-288485-415148-640151</f>
        <v>273938</v>
      </c>
      <c r="G318" s="1301">
        <f>640151-162052-478099</f>
        <v>0</v>
      </c>
      <c r="H318" s="2717">
        <f>1900090-569500-416501-914089</f>
        <v>0</v>
      </c>
      <c r="I318" s="2717">
        <f>1900090-569500-416501-914089</f>
        <v>0</v>
      </c>
      <c r="J318" s="1301"/>
      <c r="K318" s="1301"/>
      <c r="L318" s="1301"/>
      <c r="M318" s="796">
        <f>SUM(F318:K318)</f>
        <v>273938</v>
      </c>
      <c r="N318" s="796">
        <f>SUM(G318:L318)</f>
        <v>0</v>
      </c>
      <c r="O318" s="3319"/>
    </row>
    <row r="319" spans="1:16" ht="12" customHeight="1">
      <c r="A319" s="3394"/>
      <c r="B319" s="1283" t="s">
        <v>21</v>
      </c>
      <c r="C319" s="88"/>
      <c r="D319" s="97">
        <f>+D322+D320</f>
        <v>273938</v>
      </c>
      <c r="E319" s="97">
        <f t="shared" ref="E319" si="194">+E322+E320</f>
        <v>0</v>
      </c>
      <c r="F319" s="706">
        <f t="shared" ref="F319:H319" si="195">+F322+F320</f>
        <v>0</v>
      </c>
      <c r="G319" s="97">
        <f t="shared" si="195"/>
        <v>0</v>
      </c>
      <c r="H319" s="97">
        <f t="shared" si="195"/>
        <v>273938</v>
      </c>
      <c r="I319" s="97"/>
      <c r="J319" s="97"/>
      <c r="K319" s="97"/>
      <c r="L319" s="97"/>
      <c r="M319" s="3501" t="s">
        <v>22</v>
      </c>
      <c r="N319" s="3501" t="s">
        <v>22</v>
      </c>
      <c r="O319" s="3418" t="s">
        <v>94</v>
      </c>
    </row>
    <row r="320" spans="1:16" ht="13.5" hidden="1" customHeight="1">
      <c r="A320" s="3394"/>
      <c r="B320" s="1292" t="s">
        <v>23</v>
      </c>
      <c r="C320" s="3351" t="s">
        <v>214</v>
      </c>
      <c r="D320" s="50">
        <f>+D321</f>
        <v>0</v>
      </c>
      <c r="E320" s="50">
        <f t="shared" ref="E320" si="196">+E321</f>
        <v>0</v>
      </c>
      <c r="F320" s="250"/>
      <c r="G320" s="50"/>
      <c r="H320" s="50"/>
      <c r="I320" s="50"/>
      <c r="J320" s="50"/>
      <c r="K320" s="50"/>
      <c r="L320" s="50"/>
      <c r="M320" s="3502"/>
      <c r="N320" s="3502"/>
      <c r="O320" s="3408"/>
    </row>
    <row r="321" spans="1:16" ht="12.75" hidden="1" customHeight="1">
      <c r="A321" s="3394"/>
      <c r="B321" s="2705" t="s">
        <v>15</v>
      </c>
      <c r="C321" s="3347"/>
      <c r="D321" s="1216">
        <f>E321+F321+G321+H321+I321+J321+K321+L321</f>
        <v>0</v>
      </c>
      <c r="E321" s="1231">
        <v>0</v>
      </c>
      <c r="F321" s="1321"/>
      <c r="G321" s="1231"/>
      <c r="H321" s="1231"/>
      <c r="I321" s="1231"/>
      <c r="J321" s="1231"/>
      <c r="K321" s="1231"/>
      <c r="L321" s="1231"/>
      <c r="M321" s="3502"/>
      <c r="N321" s="3502"/>
      <c r="O321" s="3408"/>
    </row>
    <row r="322" spans="1:16" ht="12" customHeight="1">
      <c r="A322" s="3394"/>
      <c r="B322" s="1322" t="s">
        <v>18</v>
      </c>
      <c r="C322" s="3347"/>
      <c r="D322" s="1288">
        <f t="shared" ref="D322:H322" si="197">+D323</f>
        <v>273938</v>
      </c>
      <c r="E322" s="1232">
        <f t="shared" si="197"/>
        <v>0</v>
      </c>
      <c r="F322" s="1631">
        <f t="shared" si="197"/>
        <v>0</v>
      </c>
      <c r="G322" s="1232">
        <f t="shared" si="197"/>
        <v>0</v>
      </c>
      <c r="H322" s="1232">
        <f t="shared" si="197"/>
        <v>273938</v>
      </c>
      <c r="I322" s="1232"/>
      <c r="J322" s="1232"/>
      <c r="K322" s="1232"/>
      <c r="L322" s="1232"/>
      <c r="M322" s="3502"/>
      <c r="N322" s="3502"/>
      <c r="O322" s="3408"/>
    </row>
    <row r="323" spans="1:16" ht="13.5" customHeight="1" thickBot="1">
      <c r="A323" s="3395"/>
      <c r="B323" s="663" t="s">
        <v>20</v>
      </c>
      <c r="C323" s="3391"/>
      <c r="D323" s="767">
        <f>E323+F323+G323+H323+I323+J323+K323+L323</f>
        <v>273938</v>
      </c>
      <c r="E323" s="767">
        <v>0</v>
      </c>
      <c r="F323" s="1826">
        <f>1900090-569500-416501-914089</f>
        <v>0</v>
      </c>
      <c r="G323" s="55">
        <f>914089-162052-752037</f>
        <v>0</v>
      </c>
      <c r="H323" s="55">
        <v>273938</v>
      </c>
      <c r="I323" s="408"/>
      <c r="J323" s="408"/>
      <c r="K323" s="408"/>
      <c r="L323" s="408"/>
      <c r="M323" s="3503"/>
      <c r="N323" s="3503"/>
      <c r="O323" s="3409"/>
    </row>
    <row r="324" spans="1:16" ht="29.25" hidden="1" customHeight="1">
      <c r="A324" s="3385"/>
      <c r="B324" s="72" t="s">
        <v>456</v>
      </c>
      <c r="C324" s="56" t="s">
        <v>74</v>
      </c>
      <c r="D324" s="661"/>
      <c r="E324" s="367"/>
      <c r="F324" s="367"/>
      <c r="G324" s="367"/>
      <c r="H324" s="367"/>
      <c r="I324" s="367"/>
      <c r="J324" s="42"/>
      <c r="K324" s="42"/>
      <c r="L324" s="42"/>
      <c r="M324" s="43"/>
      <c r="N324" s="43"/>
      <c r="O324" s="3404" t="s">
        <v>94</v>
      </c>
      <c r="P324" s="2287" t="s">
        <v>299</v>
      </c>
    </row>
    <row r="325" spans="1:16" ht="13.5" hidden="1" customHeight="1">
      <c r="A325" s="3386"/>
      <c r="B325" s="534" t="s">
        <v>10</v>
      </c>
      <c r="C325" s="601"/>
      <c r="D325" s="573">
        <f t="shared" ref="D325" si="198">+D326+D329</f>
        <v>0</v>
      </c>
      <c r="E325" s="583">
        <v>0</v>
      </c>
      <c r="F325" s="574">
        <f>+F326+F329</f>
        <v>0</v>
      </c>
      <c r="G325" s="574"/>
      <c r="H325" s="574"/>
      <c r="I325" s="574"/>
      <c r="J325" s="574"/>
      <c r="K325" s="574"/>
      <c r="L325" s="574"/>
      <c r="M325" s="781">
        <f>M326+M329</f>
        <v>0</v>
      </c>
      <c r="N325" s="781">
        <f>N326+N329</f>
        <v>0</v>
      </c>
      <c r="O325" s="3309"/>
      <c r="P325" s="2291"/>
    </row>
    <row r="326" spans="1:16" ht="14.25" hidden="1" customHeight="1">
      <c r="A326" s="3386"/>
      <c r="B326" s="1056" t="s">
        <v>23</v>
      </c>
      <c r="C326" s="3344" t="s">
        <v>91</v>
      </c>
      <c r="D326" s="714">
        <f t="shared" ref="D326" si="199">+D327+D328</f>
        <v>0</v>
      </c>
      <c r="E326" s="546">
        <v>0</v>
      </c>
      <c r="F326" s="714">
        <f>+F327+F328</f>
        <v>0</v>
      </c>
      <c r="G326" s="714"/>
      <c r="H326" s="714"/>
      <c r="I326" s="714"/>
      <c r="J326" s="714"/>
      <c r="K326" s="714"/>
      <c r="L326" s="714"/>
      <c r="M326" s="515">
        <f>+M327+M328</f>
        <v>0</v>
      </c>
      <c r="N326" s="515">
        <f>+N327+N328</f>
        <v>0</v>
      </c>
      <c r="O326" s="3309"/>
      <c r="P326" s="2291"/>
    </row>
    <row r="327" spans="1:16" ht="12.75" hidden="1" customHeight="1">
      <c r="A327" s="3386"/>
      <c r="B327" s="1057" t="s">
        <v>12</v>
      </c>
      <c r="C327" s="3352"/>
      <c r="D327" s="773">
        <f>SUM(E327:L327)</f>
        <v>0</v>
      </c>
      <c r="E327" s="541"/>
      <c r="F327" s="579"/>
      <c r="G327" s="579"/>
      <c r="H327" s="579"/>
      <c r="I327" s="579"/>
      <c r="J327" s="579"/>
      <c r="K327" s="579"/>
      <c r="L327" s="579"/>
      <c r="M327" s="1058"/>
      <c r="N327" s="1058"/>
      <c r="O327" s="3309"/>
    </row>
    <row r="328" spans="1:16" ht="11.25" hidden="1" customHeight="1">
      <c r="A328" s="3386"/>
      <c r="B328" s="477" t="s">
        <v>98</v>
      </c>
      <c r="C328" s="3352"/>
      <c r="D328" s="235">
        <f>E328+F328+G328+H328+I328+J328+K328+L328</f>
        <v>0</v>
      </c>
      <c r="E328" s="541">
        <v>0</v>
      </c>
      <c r="F328" s="580">
        <f>5400000-5400000</f>
        <v>0</v>
      </c>
      <c r="G328" s="579"/>
      <c r="H328" s="579"/>
      <c r="I328" s="580"/>
      <c r="J328" s="579"/>
      <c r="K328" s="579"/>
      <c r="L328" s="579"/>
      <c r="M328" s="796">
        <f>SUM(E328:K328)</f>
        <v>0</v>
      </c>
      <c r="N328" s="796">
        <f>SUM(F328:L328)</f>
        <v>0</v>
      </c>
      <c r="O328" s="3309"/>
    </row>
    <row r="329" spans="1:16" ht="11.25" hidden="1" customHeight="1">
      <c r="A329" s="3386"/>
      <c r="B329" s="1059" t="s">
        <v>18</v>
      </c>
      <c r="C329" s="3352"/>
      <c r="D329" s="516">
        <f t="shared" ref="D329:F329" si="200">+D330</f>
        <v>0</v>
      </c>
      <c r="E329" s="804">
        <v>0</v>
      </c>
      <c r="F329" s="786">
        <f t="shared" si="200"/>
        <v>0</v>
      </c>
      <c r="G329" s="786"/>
      <c r="H329" s="786"/>
      <c r="I329" s="786"/>
      <c r="J329" s="786"/>
      <c r="K329" s="786"/>
      <c r="L329" s="786"/>
      <c r="M329" s="515">
        <f>M330</f>
        <v>0</v>
      </c>
      <c r="N329" s="515">
        <f>N330</f>
        <v>0</v>
      </c>
      <c r="O329" s="3309"/>
    </row>
    <row r="330" spans="1:16" ht="13.5" hidden="1" customHeight="1">
      <c r="A330" s="3386"/>
      <c r="B330" s="1060" t="s">
        <v>20</v>
      </c>
      <c r="C330" s="3402"/>
      <c r="D330" s="235">
        <f>E330+F330+G330+H330+I330+J330+K330+L330</f>
        <v>0</v>
      </c>
      <c r="E330" s="541">
        <v>0</v>
      </c>
      <c r="F330" s="579">
        <f>30600000-30600000</f>
        <v>0</v>
      </c>
      <c r="G330" s="579"/>
      <c r="H330" s="578"/>
      <c r="I330" s="579"/>
      <c r="J330" s="578"/>
      <c r="K330" s="578"/>
      <c r="L330" s="578"/>
      <c r="M330" s="796">
        <f>SUM(E330:K330)</f>
        <v>0</v>
      </c>
      <c r="N330" s="796">
        <f>SUM(F330:L330)</f>
        <v>0</v>
      </c>
      <c r="O330" s="3309"/>
    </row>
    <row r="331" spans="1:16" ht="13.5" hidden="1" customHeight="1">
      <c r="A331" s="3394"/>
      <c r="B331" s="1061" t="s">
        <v>21</v>
      </c>
      <c r="C331" s="88"/>
      <c r="D331" s="97">
        <f>+D334+D332</f>
        <v>0</v>
      </c>
      <c r="E331" s="706">
        <v>0</v>
      </c>
      <c r="F331" s="97">
        <f t="shared" ref="F331" si="201">+F334+F332</f>
        <v>0</v>
      </c>
      <c r="G331" s="97"/>
      <c r="H331" s="97"/>
      <c r="I331" s="97"/>
      <c r="J331" s="97"/>
      <c r="K331" s="97"/>
      <c r="L331" s="97"/>
      <c r="M331" s="3403" t="s">
        <v>22</v>
      </c>
      <c r="N331" s="3403" t="s">
        <v>22</v>
      </c>
      <c r="O331" s="3309"/>
    </row>
    <row r="332" spans="1:16" ht="13.5" hidden="1" customHeight="1">
      <c r="A332" s="3394"/>
      <c r="B332" s="800" t="s">
        <v>23</v>
      </c>
      <c r="C332" s="3344" t="s">
        <v>298</v>
      </c>
      <c r="D332" s="660">
        <f>D333</f>
        <v>0</v>
      </c>
      <c r="E332" s="1062">
        <v>0</v>
      </c>
      <c r="F332" s="660">
        <f t="shared" ref="F332" si="202">F333</f>
        <v>0</v>
      </c>
      <c r="G332" s="660"/>
      <c r="H332" s="660"/>
      <c r="I332" s="660"/>
      <c r="J332" s="660"/>
      <c r="K332" s="660"/>
      <c r="L332" s="660"/>
      <c r="M332" s="3366"/>
      <c r="N332" s="3366"/>
      <c r="O332" s="3309"/>
    </row>
    <row r="333" spans="1:16" ht="13.5" hidden="1" customHeight="1">
      <c r="A333" s="3394"/>
      <c r="B333" s="477" t="s">
        <v>98</v>
      </c>
      <c r="C333" s="3347"/>
      <c r="D333" s="235">
        <f>E333+F333+G333+H333+I333+J333+K333+L333</f>
        <v>0</v>
      </c>
      <c r="E333" s="541">
        <v>0</v>
      </c>
      <c r="F333" s="1063">
        <v>0</v>
      </c>
      <c r="G333" s="660"/>
      <c r="H333" s="1063"/>
      <c r="I333" s="1063"/>
      <c r="J333" s="660"/>
      <c r="K333" s="660"/>
      <c r="L333" s="660"/>
      <c r="M333" s="3366"/>
      <c r="N333" s="3366"/>
      <c r="O333" s="3309"/>
    </row>
    <row r="334" spans="1:16" ht="12" hidden="1" customHeight="1">
      <c r="A334" s="3394"/>
      <c r="B334" s="542" t="s">
        <v>18</v>
      </c>
      <c r="C334" s="3347"/>
      <c r="D334" s="516">
        <f>+D335</f>
        <v>0</v>
      </c>
      <c r="E334" s="804">
        <v>0</v>
      </c>
      <c r="F334" s="786">
        <f t="shared" ref="F334" si="203">+F335</f>
        <v>0</v>
      </c>
      <c r="G334" s="786"/>
      <c r="H334" s="786"/>
      <c r="I334" s="786"/>
      <c r="J334" s="786"/>
      <c r="K334" s="786"/>
      <c r="L334" s="786"/>
      <c r="M334" s="3366"/>
      <c r="N334" s="3366"/>
      <c r="O334" s="3309"/>
    </row>
    <row r="335" spans="1:16" ht="13.5" hidden="1" customHeight="1" thickBot="1">
      <c r="A335" s="3395"/>
      <c r="B335" s="801" t="s">
        <v>20</v>
      </c>
      <c r="C335" s="3391"/>
      <c r="D335" s="235">
        <f>E335+F335+G335+H335+I335+J335+K335+L335</f>
        <v>0</v>
      </c>
      <c r="E335" s="544">
        <v>0</v>
      </c>
      <c r="F335" s="55">
        <f>30600000-30600000</f>
        <v>0</v>
      </c>
      <c r="G335" s="55"/>
      <c r="H335" s="55"/>
      <c r="I335" s="55"/>
      <c r="J335" s="55"/>
      <c r="K335" s="55"/>
      <c r="L335" s="55"/>
      <c r="M335" s="3367"/>
      <c r="N335" s="3367"/>
      <c r="O335" s="3310"/>
    </row>
    <row r="336" spans="1:16" ht="24.75" customHeight="1">
      <c r="A336" s="3385" t="s">
        <v>90</v>
      </c>
      <c r="B336" s="72" t="s">
        <v>603</v>
      </c>
      <c r="C336" s="56" t="s">
        <v>74</v>
      </c>
      <c r="D336" s="2645"/>
      <c r="E336" s="2646"/>
      <c r="F336" s="2646"/>
      <c r="G336" s="2646"/>
      <c r="H336" s="2646"/>
      <c r="I336" s="2646"/>
      <c r="J336" s="2646"/>
      <c r="K336" s="2646"/>
      <c r="L336" s="2647"/>
      <c r="M336" s="43"/>
      <c r="N336" s="43"/>
      <c r="O336" s="3404" t="s">
        <v>94</v>
      </c>
    </row>
    <row r="337" spans="1:17" ht="13.5" customHeight="1">
      <c r="A337" s="3386"/>
      <c r="B337" s="815" t="s">
        <v>10</v>
      </c>
      <c r="C337" s="426"/>
      <c r="D337" s="587">
        <f t="shared" ref="D337" si="204">+D338+D342</f>
        <v>203900000</v>
      </c>
      <c r="E337" s="1827">
        <f t="shared" ref="E337" si="205">+E338+E342</f>
        <v>0</v>
      </c>
      <c r="F337" s="1828">
        <f>+F338+F342</f>
        <v>142545000</v>
      </c>
      <c r="G337" s="1828">
        <f>+G338+G342</f>
        <v>61355000</v>
      </c>
      <c r="H337" s="1829">
        <f>+H338+H342</f>
        <v>0</v>
      </c>
      <c r="I337" s="1829">
        <f>+I338+I342</f>
        <v>0</v>
      </c>
      <c r="J337" s="1828"/>
      <c r="K337" s="1828"/>
      <c r="L337" s="1828"/>
      <c r="M337" s="1802">
        <f>+M338+M342</f>
        <v>203900000</v>
      </c>
      <c r="N337" s="1802">
        <f>+N338+N342</f>
        <v>61355000</v>
      </c>
      <c r="O337" s="3309"/>
      <c r="Q337" s="2291"/>
    </row>
    <row r="338" spans="1:17" ht="13.5" customHeight="1">
      <c r="A338" s="3386"/>
      <c r="B338" s="800" t="s">
        <v>23</v>
      </c>
      <c r="C338" s="3344" t="s">
        <v>91</v>
      </c>
      <c r="D338" s="1830">
        <f>+D339+D341+D340</f>
        <v>30585000</v>
      </c>
      <c r="E338" s="1831">
        <f t="shared" ref="E338" si="206">+E339+E341+E340</f>
        <v>0</v>
      </c>
      <c r="F338" s="1830">
        <f t="shared" ref="F338:G338" si="207">+F339+F341+F340</f>
        <v>21381750</v>
      </c>
      <c r="G338" s="1830">
        <f t="shared" si="207"/>
        <v>9203250</v>
      </c>
      <c r="H338" s="1831">
        <f>+H339+H341+H340</f>
        <v>0</v>
      </c>
      <c r="I338" s="1831">
        <f>+I339+I341+I340</f>
        <v>0</v>
      </c>
      <c r="J338" s="1830"/>
      <c r="K338" s="1830"/>
      <c r="L338" s="1830"/>
      <c r="M338" s="515">
        <f>+M339+M341+M340</f>
        <v>30585000</v>
      </c>
      <c r="N338" s="515">
        <f>+N339+N341+N340</f>
        <v>9203250</v>
      </c>
      <c r="O338" s="3309"/>
      <c r="Q338" s="2291"/>
    </row>
    <row r="339" spans="1:17">
      <c r="A339" s="3386"/>
      <c r="B339" s="1820" t="s">
        <v>12</v>
      </c>
      <c r="C339" s="3352"/>
      <c r="D339" s="773">
        <f>E339+F339+G339+H339+I339+J339+K339+L339</f>
        <v>30585000</v>
      </c>
      <c r="E339" s="541">
        <v>0</v>
      </c>
      <c r="F339" s="578">
        <v>21381750</v>
      </c>
      <c r="G339" s="1818">
        <f>27609750-18406500</f>
        <v>9203250</v>
      </c>
      <c r="H339" s="797">
        <v>0</v>
      </c>
      <c r="I339" s="1805">
        <v>0</v>
      </c>
      <c r="J339" s="578"/>
      <c r="K339" s="578"/>
      <c r="L339" s="578"/>
      <c r="M339" s="796">
        <f>SUM(F339:K339)</f>
        <v>30585000</v>
      </c>
      <c r="N339" s="796">
        <f>SUM(G339:L339)</f>
        <v>9203250</v>
      </c>
      <c r="O339" s="3309"/>
    </row>
    <row r="340" spans="1:17" ht="12.75" hidden="1" customHeight="1">
      <c r="A340" s="3386"/>
      <c r="B340" s="477" t="s">
        <v>98</v>
      </c>
      <c r="C340" s="3352"/>
      <c r="D340" s="773">
        <f>E340+F340+G340+H340+I340+J340+K340+L340</f>
        <v>0</v>
      </c>
      <c r="E340" s="541">
        <v>0</v>
      </c>
      <c r="F340" s="806">
        <f>15546856-2076856-13470000</f>
        <v>0</v>
      </c>
      <c r="G340" s="1832">
        <f>8419285+6619715-15039000</f>
        <v>0</v>
      </c>
      <c r="H340" s="1110">
        <v>0</v>
      </c>
      <c r="I340" s="1343">
        <f>2076000-2076000</f>
        <v>0</v>
      </c>
      <c r="J340" s="806"/>
      <c r="K340" s="806"/>
      <c r="L340" s="806"/>
      <c r="M340" s="796">
        <f>SUM(E340:K340)</f>
        <v>0</v>
      </c>
      <c r="N340" s="796">
        <f>SUM(F340:L340)</f>
        <v>0</v>
      </c>
      <c r="O340" s="3309"/>
    </row>
    <row r="341" spans="1:17" ht="13.5" hidden="1" customHeight="1">
      <c r="A341" s="3386"/>
      <c r="B341" s="90" t="s">
        <v>15</v>
      </c>
      <c r="C341" s="3352"/>
      <c r="D341" s="773">
        <f>SUM(E341:I341)</f>
        <v>0</v>
      </c>
      <c r="E341" s="541"/>
      <c r="F341" s="806">
        <v>0</v>
      </c>
      <c r="G341" s="806">
        <v>0</v>
      </c>
      <c r="H341" s="1110"/>
      <c r="I341" s="1110"/>
      <c r="J341" s="806"/>
      <c r="K341" s="806"/>
      <c r="L341" s="806"/>
      <c r="M341" s="67"/>
      <c r="N341" s="67"/>
      <c r="O341" s="3309"/>
    </row>
    <row r="342" spans="1:17" ht="13.5" customHeight="1">
      <c r="A342" s="3386"/>
      <c r="B342" s="1821" t="s">
        <v>18</v>
      </c>
      <c r="C342" s="3352"/>
      <c r="D342" s="516">
        <f>+D343</f>
        <v>173315000</v>
      </c>
      <c r="E342" s="1833">
        <f t="shared" ref="E342:N342" si="208">+E343</f>
        <v>0</v>
      </c>
      <c r="F342" s="1810">
        <f t="shared" si="208"/>
        <v>121163250</v>
      </c>
      <c r="G342" s="1810">
        <f t="shared" si="208"/>
        <v>52151750</v>
      </c>
      <c r="H342" s="1833">
        <f t="shared" si="208"/>
        <v>0</v>
      </c>
      <c r="I342" s="1833">
        <f t="shared" si="208"/>
        <v>0</v>
      </c>
      <c r="J342" s="1810"/>
      <c r="K342" s="1810"/>
      <c r="L342" s="1810"/>
      <c r="M342" s="515">
        <f t="shared" si="208"/>
        <v>173315000</v>
      </c>
      <c r="N342" s="515">
        <f t="shared" si="208"/>
        <v>52151750</v>
      </c>
      <c r="O342" s="3309"/>
    </row>
    <row r="343" spans="1:17">
      <c r="A343" s="3386"/>
      <c r="B343" s="543" t="s">
        <v>20</v>
      </c>
      <c r="C343" s="3402"/>
      <c r="D343" s="773">
        <f>E343+F343+G343+H343+I343+J343+K343+L343</f>
        <v>173315000</v>
      </c>
      <c r="E343" s="541">
        <v>0</v>
      </c>
      <c r="F343" s="806">
        <f>112200000-35870000+44833250</f>
        <v>121163250</v>
      </c>
      <c r="G343" s="806">
        <f>96900000-11679000+71234250-104303500</f>
        <v>52151750</v>
      </c>
      <c r="H343" s="1110">
        <v>0</v>
      </c>
      <c r="I343" s="1110">
        <f>11764000-11764000</f>
        <v>0</v>
      </c>
      <c r="J343" s="806"/>
      <c r="K343" s="806"/>
      <c r="L343" s="806"/>
      <c r="M343" s="796">
        <f>SUM(F343:K343)</f>
        <v>173315000</v>
      </c>
      <c r="N343" s="796">
        <f>SUM(G343:L343)</f>
        <v>52151750</v>
      </c>
      <c r="O343" s="3309"/>
    </row>
    <row r="344" spans="1:17" ht="13.5" customHeight="1">
      <c r="A344" s="3394"/>
      <c r="B344" s="815" t="s">
        <v>21</v>
      </c>
      <c r="C344" s="426"/>
      <c r="D344" s="573">
        <f>+D345+D348</f>
        <v>173315000</v>
      </c>
      <c r="E344" s="1834">
        <f t="shared" ref="E344" si="209">+E345+E348</f>
        <v>0</v>
      </c>
      <c r="F344" s="1835">
        <f t="shared" ref="F344:I344" si="210">+F345+F348</f>
        <v>121163250</v>
      </c>
      <c r="G344" s="1835">
        <f t="shared" si="210"/>
        <v>52151750</v>
      </c>
      <c r="H344" s="1834">
        <f t="shared" si="210"/>
        <v>0</v>
      </c>
      <c r="I344" s="1834">
        <f t="shared" si="210"/>
        <v>0</v>
      </c>
      <c r="J344" s="1835"/>
      <c r="K344" s="1835"/>
      <c r="L344" s="1835"/>
      <c r="M344" s="1836"/>
      <c r="N344" s="1836"/>
      <c r="O344" s="3309"/>
    </row>
    <row r="345" spans="1:17" hidden="1">
      <c r="A345" s="3394"/>
      <c r="B345" s="800" t="s">
        <v>23</v>
      </c>
      <c r="C345" s="3410" t="s">
        <v>436</v>
      </c>
      <c r="D345" s="50">
        <f>+D347+D346</f>
        <v>0</v>
      </c>
      <c r="E345" s="250">
        <f t="shared" ref="E345" si="211">+E347+E346</f>
        <v>0</v>
      </c>
      <c r="F345" s="50">
        <f t="shared" ref="F345" si="212">+F347+F346</f>
        <v>0</v>
      </c>
      <c r="G345" s="50">
        <f t="shared" ref="G345" si="213">+G347+G346</f>
        <v>0</v>
      </c>
      <c r="H345" s="250">
        <f>+H347+H346</f>
        <v>0</v>
      </c>
      <c r="I345" s="250">
        <f>+I347+I346</f>
        <v>0</v>
      </c>
      <c r="J345" s="50"/>
      <c r="K345" s="50"/>
      <c r="L345" s="50"/>
      <c r="M345" s="2964"/>
      <c r="N345" s="2964"/>
      <c r="O345" s="3309"/>
    </row>
    <row r="346" spans="1:17" ht="13.5" hidden="1" customHeight="1">
      <c r="A346" s="3394"/>
      <c r="B346" s="477" t="s">
        <v>98</v>
      </c>
      <c r="C346" s="3506"/>
      <c r="D346" s="773">
        <f>E346+F346+G346+H346+I346+J346+K346+L346</f>
        <v>0</v>
      </c>
      <c r="E346" s="250"/>
      <c r="F346" s="1837">
        <f>8419285-8419285</f>
        <v>0</v>
      </c>
      <c r="G346" s="1837">
        <f>8419285-8419285</f>
        <v>0</v>
      </c>
      <c r="H346" s="1838">
        <v>0</v>
      </c>
      <c r="I346" s="250">
        <v>0</v>
      </c>
      <c r="J346" s="50"/>
      <c r="K346" s="50"/>
      <c r="L346" s="50"/>
      <c r="M346" s="2964"/>
      <c r="N346" s="2964"/>
      <c r="O346" s="3309"/>
    </row>
    <row r="347" spans="1:17" ht="12.75" hidden="1" customHeight="1">
      <c r="A347" s="3394"/>
      <c r="B347" s="90" t="s">
        <v>15</v>
      </c>
      <c r="C347" s="3411"/>
      <c r="D347" s="773">
        <f>SUM(E347:I347)</f>
        <v>0</v>
      </c>
      <c r="E347" s="1825">
        <v>0</v>
      </c>
      <c r="F347" s="1839"/>
      <c r="G347" s="1839"/>
      <c r="H347" s="1840"/>
      <c r="I347" s="1840"/>
      <c r="J347" s="1839"/>
      <c r="K347" s="1839"/>
      <c r="L347" s="1839"/>
      <c r="M347" s="2964"/>
      <c r="N347" s="2964"/>
      <c r="O347" s="3309"/>
    </row>
    <row r="348" spans="1:17" ht="14.25" customHeight="1">
      <c r="A348" s="3394"/>
      <c r="B348" s="1821" t="s">
        <v>18</v>
      </c>
      <c r="C348" s="3411"/>
      <c r="D348" s="516">
        <f t="shared" ref="D348:I348" si="214">+D349</f>
        <v>173315000</v>
      </c>
      <c r="E348" s="1833">
        <f t="shared" si="214"/>
        <v>0</v>
      </c>
      <c r="F348" s="1810">
        <f t="shared" si="214"/>
        <v>121163250</v>
      </c>
      <c r="G348" s="1810">
        <f t="shared" si="214"/>
        <v>52151750</v>
      </c>
      <c r="H348" s="1833">
        <f t="shared" si="214"/>
        <v>0</v>
      </c>
      <c r="I348" s="1833">
        <f t="shared" si="214"/>
        <v>0</v>
      </c>
      <c r="J348" s="1810"/>
      <c r="K348" s="1810"/>
      <c r="L348" s="1810"/>
      <c r="M348" s="2964"/>
      <c r="N348" s="2964"/>
      <c r="O348" s="3309"/>
    </row>
    <row r="349" spans="1:17" ht="12.75" customHeight="1" thickBot="1">
      <c r="A349" s="3395"/>
      <c r="B349" s="801" t="s">
        <v>20</v>
      </c>
      <c r="C349" s="3412"/>
      <c r="D349" s="1666">
        <f>E349+F349+G349+H349+I349+J349+K349+L349</f>
        <v>173315000</v>
      </c>
      <c r="E349" s="1806">
        <v>0</v>
      </c>
      <c r="F349" s="55">
        <f>112200000-35870000+44833250</f>
        <v>121163250</v>
      </c>
      <c r="G349" s="55">
        <f>96900000-11679000+71234250-104303500</f>
        <v>52151750</v>
      </c>
      <c r="H349" s="1826">
        <v>0</v>
      </c>
      <c r="I349" s="1826">
        <f>11764000-11764000</f>
        <v>0</v>
      </c>
      <c r="J349" s="55"/>
      <c r="K349" s="55"/>
      <c r="L349" s="55"/>
      <c r="M349" s="2965"/>
      <c r="N349" s="2965"/>
      <c r="O349" s="3310"/>
    </row>
    <row r="350" spans="1:17" ht="28.5" customHeight="1">
      <c r="A350" s="3385" t="s">
        <v>92</v>
      </c>
      <c r="B350" s="72" t="s">
        <v>787</v>
      </c>
      <c r="C350" s="56" t="s">
        <v>101</v>
      </c>
      <c r="D350" s="1069"/>
      <c r="E350" s="2638"/>
      <c r="F350" s="2638"/>
      <c r="G350" s="2638"/>
      <c r="H350" s="2638"/>
      <c r="I350" s="2638"/>
      <c r="J350" s="2638"/>
      <c r="K350" s="2638"/>
      <c r="L350" s="41"/>
      <c r="M350" s="43"/>
      <c r="N350" s="43"/>
      <c r="O350" s="3404" t="s">
        <v>94</v>
      </c>
    </row>
    <row r="351" spans="1:17" ht="12.75" customHeight="1">
      <c r="A351" s="3386"/>
      <c r="B351" s="815" t="s">
        <v>10</v>
      </c>
      <c r="C351" s="1284"/>
      <c r="D351" s="795">
        <f>+D352+D355</f>
        <v>122710000</v>
      </c>
      <c r="E351" s="2154">
        <f t="shared" ref="E351:G351" si="215">+E352+E355</f>
        <v>0</v>
      </c>
      <c r="F351" s="2154">
        <f t="shared" si="215"/>
        <v>0</v>
      </c>
      <c r="G351" s="795">
        <f t="shared" si="215"/>
        <v>122710000</v>
      </c>
      <c r="H351" s="795"/>
      <c r="I351" s="795"/>
      <c r="J351" s="795"/>
      <c r="K351" s="795"/>
      <c r="L351" s="795"/>
      <c r="M351" s="1802">
        <f>M352+M355</f>
        <v>122710000</v>
      </c>
      <c r="N351" s="1802">
        <f>N352+N355</f>
        <v>122710000</v>
      </c>
      <c r="O351" s="3309"/>
    </row>
    <row r="352" spans="1:17" ht="12.75" customHeight="1">
      <c r="A352" s="3386"/>
      <c r="B352" s="800" t="s">
        <v>23</v>
      </c>
      <c r="C352" s="3344" t="s">
        <v>91</v>
      </c>
      <c r="D352" s="76">
        <f>+D353+D354</f>
        <v>18406500</v>
      </c>
      <c r="E352" s="1648">
        <f t="shared" ref="E352:G352" si="216">+E353+E354</f>
        <v>0</v>
      </c>
      <c r="F352" s="1648">
        <f t="shared" si="216"/>
        <v>0</v>
      </c>
      <c r="G352" s="76">
        <f t="shared" si="216"/>
        <v>18406500</v>
      </c>
      <c r="H352" s="76"/>
      <c r="I352" s="76"/>
      <c r="J352" s="76"/>
      <c r="K352" s="76"/>
      <c r="L352" s="76"/>
      <c r="M352" s="515">
        <f>+M353+M354</f>
        <v>18406500</v>
      </c>
      <c r="N352" s="515">
        <f>+N353+N354</f>
        <v>18406500</v>
      </c>
      <c r="O352" s="3309"/>
    </row>
    <row r="353" spans="1:17" ht="12.75" customHeight="1">
      <c r="A353" s="3386"/>
      <c r="B353" s="3195" t="s">
        <v>12</v>
      </c>
      <c r="C353" s="3352"/>
      <c r="D353" s="773">
        <f t="shared" ref="D353:D354" si="217">E353+F353+G353+H353+I353+J353+K353+L353</f>
        <v>6135500</v>
      </c>
      <c r="E353" s="2155">
        <v>0</v>
      </c>
      <c r="F353" s="2155">
        <v>0</v>
      </c>
      <c r="G353" s="773">
        <f>18406500-5013000-5874000-1384000</f>
        <v>6135500</v>
      </c>
      <c r="H353" s="797"/>
      <c r="I353" s="797"/>
      <c r="J353" s="797"/>
      <c r="K353" s="797"/>
      <c r="L353" s="797"/>
      <c r="M353" s="1058">
        <f>SUM(E353:H353)</f>
        <v>6135500</v>
      </c>
      <c r="N353" s="796">
        <f>SUM(G353:I353)</f>
        <v>6135500</v>
      </c>
      <c r="O353" s="3309"/>
    </row>
    <row r="354" spans="1:17" ht="12.75" customHeight="1">
      <c r="A354" s="3386"/>
      <c r="B354" s="3196" t="s">
        <v>17</v>
      </c>
      <c r="C354" s="3352"/>
      <c r="D354" s="773">
        <f t="shared" si="217"/>
        <v>12271000</v>
      </c>
      <c r="E354" s="2155">
        <v>0</v>
      </c>
      <c r="F354" s="2155">
        <v>0</v>
      </c>
      <c r="G354" s="773">
        <f>5013000+5874000+1384000</f>
        <v>12271000</v>
      </c>
      <c r="H354" s="578"/>
      <c r="I354" s="578"/>
      <c r="J354" s="578"/>
      <c r="K354" s="578"/>
      <c r="L354" s="578"/>
      <c r="M354" s="796">
        <f>SUM(E354:H354)</f>
        <v>12271000</v>
      </c>
      <c r="N354" s="796">
        <f>SUM(G354:I354)</f>
        <v>12271000</v>
      </c>
      <c r="O354" s="3309"/>
    </row>
    <row r="355" spans="1:17" ht="12.75" customHeight="1">
      <c r="A355" s="3386"/>
      <c r="B355" s="2113" t="s">
        <v>18</v>
      </c>
      <c r="C355" s="3352"/>
      <c r="D355" s="516">
        <f>+D356</f>
        <v>104303500</v>
      </c>
      <c r="E355" s="799">
        <f t="shared" ref="E355:G355" si="218">+E356</f>
        <v>0</v>
      </c>
      <c r="F355" s="799">
        <f t="shared" si="218"/>
        <v>0</v>
      </c>
      <c r="G355" s="516">
        <f t="shared" si="218"/>
        <v>104303500</v>
      </c>
      <c r="H355" s="516"/>
      <c r="I355" s="516"/>
      <c r="J355" s="516"/>
      <c r="K355" s="516"/>
      <c r="L355" s="516"/>
      <c r="M355" s="515">
        <f>M356</f>
        <v>104303500</v>
      </c>
      <c r="N355" s="515">
        <f>N356</f>
        <v>104303500</v>
      </c>
      <c r="O355" s="3309"/>
    </row>
    <row r="356" spans="1:17" ht="12.75" customHeight="1">
      <c r="A356" s="3386"/>
      <c r="B356" s="2156" t="s">
        <v>20</v>
      </c>
      <c r="C356" s="3352"/>
      <c r="D356" s="773">
        <f>E356+F356+G356+H356+I356+J356+K356+L356</f>
        <v>104303500</v>
      </c>
      <c r="E356" s="2157">
        <v>0</v>
      </c>
      <c r="F356" s="2157">
        <v>0</v>
      </c>
      <c r="G356" s="1815">
        <v>104303500</v>
      </c>
      <c r="H356" s="578"/>
      <c r="I356" s="578"/>
      <c r="J356" s="578"/>
      <c r="K356" s="578"/>
      <c r="L356" s="578"/>
      <c r="M356" s="796">
        <f>SUM(E356:K356)</f>
        <v>104303500</v>
      </c>
      <c r="N356" s="796">
        <f>SUM(G356:L356)</f>
        <v>104303500</v>
      </c>
      <c r="O356" s="3414"/>
    </row>
    <row r="357" spans="1:17" ht="12.75" customHeight="1">
      <c r="A357" s="3394"/>
      <c r="B357" s="2073" t="s">
        <v>21</v>
      </c>
      <c r="C357" s="1284"/>
      <c r="D357" s="573">
        <f>+D360+D358</f>
        <v>116574500</v>
      </c>
      <c r="E357" s="602">
        <f t="shared" ref="E357:G357" si="219">+E360+E358</f>
        <v>0</v>
      </c>
      <c r="F357" s="602">
        <f t="shared" si="219"/>
        <v>0</v>
      </c>
      <c r="G357" s="573">
        <f t="shared" si="219"/>
        <v>116574500</v>
      </c>
      <c r="H357" s="573"/>
      <c r="I357" s="573"/>
      <c r="J357" s="573"/>
      <c r="K357" s="573"/>
      <c r="L357" s="573"/>
      <c r="M357" s="3389" t="s">
        <v>22</v>
      </c>
      <c r="N357" s="3389" t="s">
        <v>22</v>
      </c>
      <c r="O357" s="3308" t="s">
        <v>637</v>
      </c>
    </row>
    <row r="358" spans="1:17" ht="12.75" customHeight="1">
      <c r="A358" s="3394"/>
      <c r="B358" s="800" t="s">
        <v>23</v>
      </c>
      <c r="C358" s="3344" t="s">
        <v>436</v>
      </c>
      <c r="D358" s="2158">
        <f>D359</f>
        <v>12271000</v>
      </c>
      <c r="E358" s="2159">
        <f t="shared" ref="E358:G358" si="220">E359</f>
        <v>0</v>
      </c>
      <c r="F358" s="2159">
        <f t="shared" si="220"/>
        <v>0</v>
      </c>
      <c r="G358" s="2158">
        <f t="shared" si="220"/>
        <v>12271000</v>
      </c>
      <c r="H358" s="2158"/>
      <c r="I358" s="2158"/>
      <c r="J358" s="2158"/>
      <c r="K358" s="2158"/>
      <c r="L358" s="2158"/>
      <c r="M358" s="3322"/>
      <c r="N358" s="3322"/>
      <c r="O358" s="3309"/>
    </row>
    <row r="359" spans="1:17" ht="12.75" customHeight="1">
      <c r="A359" s="3394"/>
      <c r="B359" s="477" t="s">
        <v>17</v>
      </c>
      <c r="C359" s="3347"/>
      <c r="D359" s="1961">
        <f>E359+F359+G359+H359+I359+J359+K359+L359</f>
        <v>12271000</v>
      </c>
      <c r="E359" s="2157">
        <v>0</v>
      </c>
      <c r="F359" s="2157">
        <v>0</v>
      </c>
      <c r="G359" s="1961">
        <f>5013000+5874000+1384000</f>
        <v>12271000</v>
      </c>
      <c r="H359" s="2158"/>
      <c r="I359" s="2158"/>
      <c r="J359" s="2158"/>
      <c r="K359" s="2158"/>
      <c r="L359" s="2158"/>
      <c r="M359" s="3322"/>
      <c r="N359" s="3322"/>
      <c r="O359" s="3309"/>
    </row>
    <row r="360" spans="1:17" ht="12.75" customHeight="1">
      <c r="A360" s="3394"/>
      <c r="B360" s="2113" t="s">
        <v>18</v>
      </c>
      <c r="C360" s="3347"/>
      <c r="D360" s="1843">
        <f>+D361</f>
        <v>104303500</v>
      </c>
      <c r="E360" s="1845">
        <f t="shared" ref="E360:G360" si="221">+E361</f>
        <v>0</v>
      </c>
      <c r="F360" s="1845">
        <f t="shared" si="221"/>
        <v>0</v>
      </c>
      <c r="G360" s="1843">
        <f t="shared" si="221"/>
        <v>104303500</v>
      </c>
      <c r="H360" s="714"/>
      <c r="I360" s="714"/>
      <c r="J360" s="714"/>
      <c r="K360" s="714"/>
      <c r="L360" s="714"/>
      <c r="M360" s="3322"/>
      <c r="N360" s="3322"/>
      <c r="O360" s="3309"/>
    </row>
    <row r="361" spans="1:17" ht="12.75" customHeight="1" thickBot="1">
      <c r="A361" s="3395"/>
      <c r="B361" s="323" t="s">
        <v>20</v>
      </c>
      <c r="C361" s="3391"/>
      <c r="D361" s="1955">
        <f>E361+F361+G361+H361+I361+J361+K361+L361</f>
        <v>104303500</v>
      </c>
      <c r="E361" s="1592">
        <v>0</v>
      </c>
      <c r="F361" s="1592">
        <v>0</v>
      </c>
      <c r="G361" s="1570">
        <v>104303500</v>
      </c>
      <c r="H361" s="407"/>
      <c r="I361" s="407"/>
      <c r="J361" s="407"/>
      <c r="K361" s="407"/>
      <c r="L361" s="407"/>
      <c r="M361" s="3323"/>
      <c r="N361" s="3323"/>
      <c r="O361" s="3310"/>
    </row>
    <row r="362" spans="1:17" ht="20.25" customHeight="1">
      <c r="A362" s="3515" t="s">
        <v>221</v>
      </c>
      <c r="B362" s="110" t="s">
        <v>663</v>
      </c>
      <c r="C362" s="707"/>
      <c r="D362" s="111"/>
      <c r="E362" s="112"/>
      <c r="F362" s="112"/>
      <c r="G362" s="112"/>
      <c r="H362" s="112"/>
      <c r="I362" s="112"/>
      <c r="J362" s="279"/>
      <c r="K362" s="280"/>
      <c r="L362" s="280"/>
      <c r="M362" s="113"/>
      <c r="N362" s="113"/>
      <c r="O362" s="3419"/>
    </row>
    <row r="363" spans="1:17" s="2289" customFormat="1" ht="14.25" customHeight="1">
      <c r="A363" s="3516"/>
      <c r="B363" s="815" t="s">
        <v>10</v>
      </c>
      <c r="C363" s="88"/>
      <c r="D363" s="114">
        <f>+D364+D367</f>
        <v>51740293</v>
      </c>
      <c r="E363" s="114">
        <f t="shared" ref="E363:N363" si="222">+E364+E367</f>
        <v>464290</v>
      </c>
      <c r="F363" s="114">
        <f t="shared" si="222"/>
        <v>7582140</v>
      </c>
      <c r="G363" s="114">
        <f t="shared" si="222"/>
        <v>5921652</v>
      </c>
      <c r="H363" s="114">
        <f t="shared" si="222"/>
        <v>29615655</v>
      </c>
      <c r="I363" s="114">
        <f t="shared" si="222"/>
        <v>8156556</v>
      </c>
      <c r="J363" s="114">
        <f t="shared" si="222"/>
        <v>0</v>
      </c>
      <c r="K363" s="114">
        <f t="shared" si="222"/>
        <v>0</v>
      </c>
      <c r="L363" s="114">
        <f t="shared" si="222"/>
        <v>0</v>
      </c>
      <c r="M363" s="778">
        <f t="shared" ref="M363" si="223">+M364+M367</f>
        <v>26462162</v>
      </c>
      <c r="N363" s="778">
        <f t="shared" si="222"/>
        <v>43693863</v>
      </c>
      <c r="O363" s="3420"/>
      <c r="P363" s="2291"/>
      <c r="Q363" s="3197"/>
    </row>
    <row r="364" spans="1:17" s="708" customFormat="1" ht="13.5" customHeight="1">
      <c r="A364" s="3516"/>
      <c r="B364" s="115" t="s">
        <v>11</v>
      </c>
      <c r="C364" s="116"/>
      <c r="D364" s="816">
        <f>+D365+D366</f>
        <v>26885626</v>
      </c>
      <c r="E364" s="816">
        <f>+E365+E366</f>
        <v>423464</v>
      </c>
      <c r="F364" s="816">
        <f t="shared" ref="F364:L364" si="224">+F365</f>
        <v>1208777</v>
      </c>
      <c r="G364" s="816">
        <f t="shared" si="224"/>
        <v>4188676</v>
      </c>
      <c r="H364" s="816">
        <f t="shared" si="224"/>
        <v>16508714</v>
      </c>
      <c r="I364" s="816">
        <f t="shared" si="224"/>
        <v>4555995</v>
      </c>
      <c r="J364" s="816">
        <f t="shared" si="224"/>
        <v>0</v>
      </c>
      <c r="K364" s="816">
        <f t="shared" si="224"/>
        <v>0</v>
      </c>
      <c r="L364" s="816">
        <f t="shared" si="224"/>
        <v>0</v>
      </c>
      <c r="M364" s="515">
        <f>+M365</f>
        <v>26462162</v>
      </c>
      <c r="N364" s="515">
        <f>+N365</f>
        <v>25253385</v>
      </c>
      <c r="O364" s="3420"/>
      <c r="Q364" s="3197"/>
    </row>
    <row r="365" spans="1:17" s="2289" customFormat="1" ht="11.25" customHeight="1">
      <c r="A365" s="3516"/>
      <c r="B365" s="36" t="s">
        <v>12</v>
      </c>
      <c r="C365" s="37"/>
      <c r="D365" s="817">
        <f>++D380+D437++D389+D401+D410+D419+D428+D452</f>
        <v>26828623</v>
      </c>
      <c r="E365" s="817">
        <f>+E380+E437++E389+E401+E410+E419+E428+E452</f>
        <v>366461</v>
      </c>
      <c r="F365" s="817">
        <f t="shared" ref="F365:L365" si="225">+F380+F437++F389+F401+F410+F419+F428+F452</f>
        <v>1208777</v>
      </c>
      <c r="G365" s="817">
        <f t="shared" si="225"/>
        <v>4188676</v>
      </c>
      <c r="H365" s="817">
        <f t="shared" si="225"/>
        <v>16508714</v>
      </c>
      <c r="I365" s="817">
        <f t="shared" si="225"/>
        <v>4555995</v>
      </c>
      <c r="J365" s="817">
        <f t="shared" si="225"/>
        <v>0</v>
      </c>
      <c r="K365" s="817">
        <f t="shared" si="225"/>
        <v>0</v>
      </c>
      <c r="L365" s="817">
        <f t="shared" si="225"/>
        <v>0</v>
      </c>
      <c r="M365" s="796">
        <f>SUM(F365:K365)</f>
        <v>26462162</v>
      </c>
      <c r="N365" s="796">
        <f>SUM(G365:L365)</f>
        <v>25253385</v>
      </c>
      <c r="O365" s="3420"/>
      <c r="P365" s="3197"/>
      <c r="Q365" s="3197"/>
    </row>
    <row r="366" spans="1:17" s="2289" customFormat="1" ht="11.25" customHeight="1">
      <c r="A366" s="3516"/>
      <c r="B366" s="36" t="s">
        <v>15</v>
      </c>
      <c r="C366" s="37"/>
      <c r="D366" s="817">
        <f>+D390</f>
        <v>57003</v>
      </c>
      <c r="E366" s="817">
        <f t="shared" ref="E366:L366" si="226">+E390</f>
        <v>57003</v>
      </c>
      <c r="F366" s="817">
        <f t="shared" si="226"/>
        <v>0</v>
      </c>
      <c r="G366" s="817">
        <f t="shared" si="226"/>
        <v>0</v>
      </c>
      <c r="H366" s="817">
        <f t="shared" si="226"/>
        <v>0</v>
      </c>
      <c r="I366" s="817">
        <f t="shared" si="226"/>
        <v>0</v>
      </c>
      <c r="J366" s="817">
        <f t="shared" si="226"/>
        <v>0</v>
      </c>
      <c r="K366" s="817">
        <f t="shared" si="226"/>
        <v>0</v>
      </c>
      <c r="L366" s="817">
        <f t="shared" si="226"/>
        <v>0</v>
      </c>
      <c r="M366" s="796">
        <f>SUM(F366:K366)</f>
        <v>0</v>
      </c>
      <c r="N366" s="796">
        <f>SUM(G366:L366)</f>
        <v>0</v>
      </c>
      <c r="O366" s="3420"/>
      <c r="P366" s="3197"/>
      <c r="Q366" s="3197"/>
    </row>
    <row r="367" spans="1:17" s="708" customFormat="1" ht="13.5" customHeight="1">
      <c r="A367" s="3516"/>
      <c r="B367" s="818" t="s">
        <v>93</v>
      </c>
      <c r="C367" s="819"/>
      <c r="D367" s="820">
        <f>+D368+D369</f>
        <v>24854667</v>
      </c>
      <c r="E367" s="820">
        <f>+E368+E369</f>
        <v>40826</v>
      </c>
      <c r="F367" s="820">
        <f t="shared" ref="F367:L367" si="227">+F368+F369</f>
        <v>6373363</v>
      </c>
      <c r="G367" s="820">
        <f t="shared" si="227"/>
        <v>1732976</v>
      </c>
      <c r="H367" s="820">
        <f t="shared" si="227"/>
        <v>13106941</v>
      </c>
      <c r="I367" s="820">
        <f t="shared" si="227"/>
        <v>3600561</v>
      </c>
      <c r="J367" s="820">
        <f t="shared" si="227"/>
        <v>0</v>
      </c>
      <c r="K367" s="820">
        <f t="shared" si="227"/>
        <v>0</v>
      </c>
      <c r="L367" s="820">
        <f t="shared" si="227"/>
        <v>0</v>
      </c>
      <c r="M367" s="515">
        <f>+M368</f>
        <v>0</v>
      </c>
      <c r="N367" s="515">
        <f>+N368+N369</f>
        <v>18440478</v>
      </c>
      <c r="O367" s="3420"/>
      <c r="Q367" s="3197"/>
    </row>
    <row r="368" spans="1:17" s="2289" customFormat="1" ht="12.75" hidden="1" customHeight="1">
      <c r="A368" s="3516"/>
      <c r="B368" s="36" t="s">
        <v>19</v>
      </c>
      <c r="C368" s="37"/>
      <c r="D368" s="817"/>
      <c r="E368" s="817"/>
      <c r="F368" s="817"/>
      <c r="G368" s="817"/>
      <c r="H368" s="817"/>
      <c r="I368" s="817"/>
      <c r="J368" s="817"/>
      <c r="K368" s="817">
        <f>K442+K457</f>
        <v>0</v>
      </c>
      <c r="L368" s="817">
        <f>L442+L457</f>
        <v>0</v>
      </c>
      <c r="M368" s="796">
        <f>SUM(F368:K368)</f>
        <v>0</v>
      </c>
      <c r="N368" s="796">
        <f>SUM(G368:L368)</f>
        <v>0</v>
      </c>
      <c r="O368" s="3420"/>
      <c r="P368" s="3197"/>
      <c r="Q368" s="3197"/>
    </row>
    <row r="369" spans="1:17" s="2289" customFormat="1" ht="12.75" customHeight="1">
      <c r="A369" s="3516"/>
      <c r="B369" s="36" t="s">
        <v>20</v>
      </c>
      <c r="C369" s="37"/>
      <c r="D369" s="2222">
        <f>D382+D392+D421+D430+D442+D457</f>
        <v>24854667</v>
      </c>
      <c r="E369" s="2222">
        <f>E382+E392+E421+E430+E442+E457</f>
        <v>40826</v>
      </c>
      <c r="F369" s="2222">
        <f>F382+F392+F421+F430+F442+F457</f>
        <v>6373363</v>
      </c>
      <c r="G369" s="2222">
        <f>G382+G392+G421+G430+G442+G457</f>
        <v>1732976</v>
      </c>
      <c r="H369" s="2222">
        <f t="shared" ref="H369:L369" si="228">H382+H392+H421+H430+H442+H457</f>
        <v>13106941</v>
      </c>
      <c r="I369" s="2222">
        <f t="shared" si="228"/>
        <v>3600561</v>
      </c>
      <c r="J369" s="2222">
        <f t="shared" si="228"/>
        <v>0</v>
      </c>
      <c r="K369" s="2222">
        <f t="shared" si="228"/>
        <v>0</v>
      </c>
      <c r="L369" s="2222">
        <f t="shared" si="228"/>
        <v>0</v>
      </c>
      <c r="M369" s="2223"/>
      <c r="N369" s="2223">
        <f>SUM(G369:L369)</f>
        <v>18440478</v>
      </c>
      <c r="O369" s="2949"/>
      <c r="P369" s="3197"/>
      <c r="Q369" s="3197"/>
    </row>
    <row r="370" spans="1:17" s="2289" customFormat="1" ht="12" customHeight="1">
      <c r="A370" s="3516"/>
      <c r="B370" s="531" t="s">
        <v>21</v>
      </c>
      <c r="C370" s="601"/>
      <c r="D370" s="795">
        <f>+D373+D371</f>
        <v>24911670</v>
      </c>
      <c r="E370" s="795">
        <f t="shared" ref="E370:L370" si="229">+E373+E371</f>
        <v>57003</v>
      </c>
      <c r="F370" s="795">
        <f t="shared" si="229"/>
        <v>45734</v>
      </c>
      <c r="G370" s="795">
        <f t="shared" si="229"/>
        <v>6469478</v>
      </c>
      <c r="H370" s="795">
        <f t="shared" si="229"/>
        <v>7789996</v>
      </c>
      <c r="I370" s="795">
        <f t="shared" si="229"/>
        <v>8632091</v>
      </c>
      <c r="J370" s="795">
        <f t="shared" si="229"/>
        <v>1917368</v>
      </c>
      <c r="K370" s="795">
        <f t="shared" si="229"/>
        <v>0</v>
      </c>
      <c r="L370" s="795">
        <f t="shared" si="229"/>
        <v>0</v>
      </c>
      <c r="M370" s="3389" t="s">
        <v>22</v>
      </c>
      <c r="N370" s="3415" t="s">
        <v>22</v>
      </c>
      <c r="O370" s="118"/>
      <c r="P370" s="3197"/>
    </row>
    <row r="371" spans="1:17" s="2289" customFormat="1" ht="12" customHeight="1">
      <c r="A371" s="3516"/>
      <c r="B371" s="115" t="s">
        <v>23</v>
      </c>
      <c r="C371" s="116"/>
      <c r="D371" s="816">
        <f>+D372</f>
        <v>57003</v>
      </c>
      <c r="E371" s="816">
        <v>57003</v>
      </c>
      <c r="F371" s="816"/>
      <c r="G371" s="816"/>
      <c r="H371" s="816"/>
      <c r="I371" s="816"/>
      <c r="J371" s="816"/>
      <c r="K371" s="816"/>
      <c r="L371" s="816"/>
      <c r="M371" s="3322"/>
      <c r="N371" s="3416"/>
      <c r="O371" s="118"/>
      <c r="P371" s="3197"/>
    </row>
    <row r="372" spans="1:17" s="2289" customFormat="1" ht="12" customHeight="1">
      <c r="A372" s="3516"/>
      <c r="B372" s="36" t="s">
        <v>15</v>
      </c>
      <c r="C372" s="37"/>
      <c r="D372" s="817">
        <f>+D395</f>
        <v>57003</v>
      </c>
      <c r="E372" s="817">
        <f>+E390</f>
        <v>57003</v>
      </c>
      <c r="F372" s="817">
        <f>+F390</f>
        <v>0</v>
      </c>
      <c r="G372" s="817">
        <f t="shared" ref="G372:K372" si="230">+G390</f>
        <v>0</v>
      </c>
      <c r="H372" s="817">
        <f t="shared" si="230"/>
        <v>0</v>
      </c>
      <c r="I372" s="817">
        <f t="shared" si="230"/>
        <v>0</v>
      </c>
      <c r="J372" s="817">
        <f t="shared" si="230"/>
        <v>0</v>
      </c>
      <c r="K372" s="817">
        <f t="shared" si="230"/>
        <v>0</v>
      </c>
      <c r="L372" s="817">
        <f t="shared" ref="L372" si="231">+L395</f>
        <v>0</v>
      </c>
      <c r="M372" s="3322"/>
      <c r="N372" s="3416"/>
      <c r="O372" s="118"/>
      <c r="P372" s="3197"/>
    </row>
    <row r="373" spans="1:17" s="2289" customFormat="1" ht="12.75" customHeight="1">
      <c r="A373" s="3516"/>
      <c r="B373" s="2225" t="s">
        <v>18</v>
      </c>
      <c r="C373" s="2094"/>
      <c r="D373" s="2226">
        <f t="shared" ref="D373:L373" si="232">+D374+D375</f>
        <v>24854667</v>
      </c>
      <c r="E373" s="2226">
        <f t="shared" si="232"/>
        <v>0</v>
      </c>
      <c r="F373" s="2226">
        <f t="shared" si="232"/>
        <v>45734</v>
      </c>
      <c r="G373" s="2226">
        <f t="shared" si="232"/>
        <v>6469478</v>
      </c>
      <c r="H373" s="2226">
        <f t="shared" si="232"/>
        <v>7789996</v>
      </c>
      <c r="I373" s="2226">
        <f t="shared" si="232"/>
        <v>8632091</v>
      </c>
      <c r="J373" s="2226">
        <f t="shared" si="232"/>
        <v>1917368</v>
      </c>
      <c r="K373" s="2226">
        <f t="shared" si="232"/>
        <v>0</v>
      </c>
      <c r="L373" s="2226">
        <f t="shared" si="232"/>
        <v>0</v>
      </c>
      <c r="M373" s="3322"/>
      <c r="N373" s="3416"/>
      <c r="O373" s="2949"/>
      <c r="P373" s="3197"/>
    </row>
    <row r="374" spans="1:17" s="2289" customFormat="1" ht="13.5" hidden="1" customHeight="1" thickBot="1">
      <c r="A374" s="3516"/>
      <c r="B374" s="249" t="s">
        <v>19</v>
      </c>
      <c r="C374" s="725"/>
      <c r="D374" s="2227"/>
      <c r="E374" s="2227"/>
      <c r="F374" s="2227"/>
      <c r="G374" s="2227"/>
      <c r="H374" s="2227"/>
      <c r="I374" s="2227"/>
      <c r="J374" s="2227">
        <f>J448+J463</f>
        <v>0</v>
      </c>
      <c r="K374" s="2227">
        <f>K448+K463</f>
        <v>0</v>
      </c>
      <c r="L374" s="2227">
        <f>L448+L463</f>
        <v>0</v>
      </c>
      <c r="M374" s="3323"/>
      <c r="N374" s="3416"/>
      <c r="O374" s="2949"/>
      <c r="P374" s="3197">
        <f>D374-D368</f>
        <v>0</v>
      </c>
    </row>
    <row r="375" spans="1:17" ht="12" customHeight="1" thickBot="1">
      <c r="A375" s="3517"/>
      <c r="B375" s="709" t="s">
        <v>20</v>
      </c>
      <c r="C375" s="710"/>
      <c r="D375" s="119">
        <f>D385+D397+D424+D433+D448+D463</f>
        <v>24854667</v>
      </c>
      <c r="E375" s="119">
        <f t="shared" ref="E375" si="233">E385+E397+E424+E433</f>
        <v>0</v>
      </c>
      <c r="F375" s="119">
        <f>+F448+F463</f>
        <v>45734</v>
      </c>
      <c r="G375" s="119">
        <f>G385+G397+G424+G433+G448+G463</f>
        <v>6469478</v>
      </c>
      <c r="H375" s="119">
        <f t="shared" ref="H375:L375" si="234">H385+H397+H424+H433+H448+H463</f>
        <v>7789996</v>
      </c>
      <c r="I375" s="119">
        <f t="shared" si="234"/>
        <v>8632091</v>
      </c>
      <c r="J375" s="119">
        <f t="shared" si="234"/>
        <v>1917368</v>
      </c>
      <c r="K375" s="119">
        <f t="shared" si="234"/>
        <v>0</v>
      </c>
      <c r="L375" s="119">
        <f t="shared" si="234"/>
        <v>0</v>
      </c>
      <c r="M375" s="2224"/>
      <c r="N375" s="3417"/>
      <c r="O375" s="120"/>
    </row>
    <row r="376" spans="1:17" ht="20.25" customHeight="1" thickBot="1">
      <c r="A376" s="3198"/>
      <c r="B376" s="262" t="s">
        <v>678</v>
      </c>
      <c r="C376" s="2944"/>
      <c r="D376" s="711"/>
      <c r="E376" s="198"/>
      <c r="F376" s="712"/>
      <c r="G376" s="712"/>
      <c r="H376" s="713"/>
      <c r="I376" s="199"/>
      <c r="J376" s="713"/>
      <c r="K376" s="713"/>
      <c r="L376" s="713"/>
      <c r="M376" s="267"/>
      <c r="N376" s="267"/>
      <c r="O376" s="2943"/>
    </row>
    <row r="377" spans="1:17" ht="28.5" customHeight="1">
      <c r="A377" s="3385" t="s">
        <v>286</v>
      </c>
      <c r="B377" s="263" t="s">
        <v>664</v>
      </c>
      <c r="C377" s="56" t="s">
        <v>74</v>
      </c>
      <c r="D377" s="2639"/>
      <c r="E377" s="2638"/>
      <c r="F377" s="2638"/>
      <c r="G377" s="2638"/>
      <c r="H377" s="2638"/>
      <c r="I377" s="2638"/>
      <c r="J377" s="2638"/>
      <c r="K377" s="2638"/>
      <c r="L377" s="41"/>
      <c r="M377" s="60"/>
      <c r="N377" s="60"/>
      <c r="O377" s="3335" t="s">
        <v>79</v>
      </c>
    </row>
    <row r="378" spans="1:17">
      <c r="A378" s="3386"/>
      <c r="B378" s="531" t="s">
        <v>10</v>
      </c>
      <c r="C378" s="1284"/>
      <c r="D378" s="1309">
        <f>+D379+D381</f>
        <v>12985378</v>
      </c>
      <c r="E378" s="1309">
        <f t="shared" ref="E378" si="235">+E379+E381</f>
        <v>20256</v>
      </c>
      <c r="F378" s="1309">
        <f>+F379+F381</f>
        <v>7431430</v>
      </c>
      <c r="G378" s="1309">
        <f>+G379+G381</f>
        <v>5533692</v>
      </c>
      <c r="H378" s="1309"/>
      <c r="I378" s="1309"/>
      <c r="J378" s="1309"/>
      <c r="K378" s="1309"/>
      <c r="L378" s="1309"/>
      <c r="M378" s="1286">
        <f>+M379+M381</f>
        <v>12965122</v>
      </c>
      <c r="N378" s="1286">
        <f>+N379+N381</f>
        <v>5533692</v>
      </c>
      <c r="O378" s="3331"/>
    </row>
    <row r="379" spans="1:17">
      <c r="A379" s="3386"/>
      <c r="B379" s="508" t="s">
        <v>23</v>
      </c>
      <c r="C379" s="3351" t="s">
        <v>77</v>
      </c>
      <c r="D379" s="1310">
        <f>+D380</f>
        <v>5335378</v>
      </c>
      <c r="E379" s="1310">
        <f t="shared" ref="E379:G379" si="236">+E380</f>
        <v>20256</v>
      </c>
      <c r="F379" s="1310">
        <f t="shared" si="236"/>
        <v>1186026</v>
      </c>
      <c r="G379" s="1310">
        <f t="shared" si="236"/>
        <v>4129096</v>
      </c>
      <c r="H379" s="1310"/>
      <c r="I379" s="1310"/>
      <c r="J379" s="1310"/>
      <c r="K379" s="1310"/>
      <c r="L379" s="1310"/>
      <c r="M379" s="1289">
        <f>+M380</f>
        <v>5315122</v>
      </c>
      <c r="N379" s="1289">
        <f>+N380</f>
        <v>4129096</v>
      </c>
      <c r="O379" s="3331"/>
    </row>
    <row r="380" spans="1:17">
      <c r="A380" s="3386"/>
      <c r="B380" s="802" t="s">
        <v>12</v>
      </c>
      <c r="C380" s="3504"/>
      <c r="D380" s="1216">
        <f>E380+F380+G380+H380+I380+J380+K380+L380</f>
        <v>5335378</v>
      </c>
      <c r="E380" s="1262">
        <f>20256</f>
        <v>20256</v>
      </c>
      <c r="F380" s="1300">
        <f>1743624+383940+1505122+240000-1765801-309301-611558</f>
        <v>1186026</v>
      </c>
      <c r="G380" s="1300">
        <f>3265801+266359+611558-14622</f>
        <v>4129096</v>
      </c>
      <c r="H380" s="1300"/>
      <c r="I380" s="1300"/>
      <c r="J380" s="1300"/>
      <c r="K380" s="1300"/>
      <c r="L380" s="1300"/>
      <c r="M380" s="1302">
        <f>SUM(F380:K380)</f>
        <v>5315122</v>
      </c>
      <c r="N380" s="1302">
        <f>SUM(G380:L380)</f>
        <v>4129096</v>
      </c>
      <c r="O380" s="3331"/>
    </row>
    <row r="381" spans="1:17">
      <c r="A381" s="3386"/>
      <c r="B381" s="798" t="s">
        <v>18</v>
      </c>
      <c r="C381" s="3504"/>
      <c r="D381" s="1288">
        <f>+D382</f>
        <v>7650000</v>
      </c>
      <c r="E381" s="1578">
        <f t="shared" ref="E381:G381" si="237">+E382</f>
        <v>0</v>
      </c>
      <c r="F381" s="1288">
        <f t="shared" si="237"/>
        <v>6245404</v>
      </c>
      <c r="G381" s="1288">
        <f t="shared" si="237"/>
        <v>1404596</v>
      </c>
      <c r="H381" s="1288"/>
      <c r="I381" s="1288"/>
      <c r="J381" s="1288"/>
      <c r="K381" s="1288"/>
      <c r="L381" s="1288"/>
      <c r="M381" s="1289">
        <f>+M382</f>
        <v>7650000</v>
      </c>
      <c r="N381" s="1289">
        <f>+N382</f>
        <v>1404596</v>
      </c>
      <c r="O381" s="3331"/>
    </row>
    <row r="382" spans="1:17">
      <c r="A382" s="3386"/>
      <c r="B382" s="1579" t="s">
        <v>20</v>
      </c>
      <c r="C382" s="3505"/>
      <c r="D382" s="1216">
        <f>E382+F382+G382+H382+I382+J382+K382+L382</f>
        <v>7650000</v>
      </c>
      <c r="E382" s="1842">
        <v>0</v>
      </c>
      <c r="F382" s="1300">
        <f>5576376+1196060+74622+760000-1086523-886689+611558</f>
        <v>6245404</v>
      </c>
      <c r="G382" s="1300">
        <f>1086523+929631-611558</f>
        <v>1404596</v>
      </c>
      <c r="H382" s="1300"/>
      <c r="I382" s="1300"/>
      <c r="J382" s="1300"/>
      <c r="K382" s="1300"/>
      <c r="L382" s="1300"/>
      <c r="M382" s="1302">
        <f>SUM(F382:K382)</f>
        <v>7650000</v>
      </c>
      <c r="N382" s="1302">
        <f>SUM(G382:L382)</f>
        <v>1404596</v>
      </c>
      <c r="O382" s="3336"/>
      <c r="P382" s="2291"/>
    </row>
    <row r="383" spans="1:17">
      <c r="A383" s="3394"/>
      <c r="B383" s="531" t="s">
        <v>21</v>
      </c>
      <c r="C383" s="1284"/>
      <c r="D383" s="1285">
        <f>+D384</f>
        <v>7650000</v>
      </c>
      <c r="E383" s="1580">
        <f t="shared" ref="E383:H384" si="238">+E384</f>
        <v>0</v>
      </c>
      <c r="F383" s="1580">
        <f t="shared" si="238"/>
        <v>0</v>
      </c>
      <c r="G383" s="1285">
        <f t="shared" si="238"/>
        <v>6245404</v>
      </c>
      <c r="H383" s="1285">
        <f t="shared" si="238"/>
        <v>1404596</v>
      </c>
      <c r="I383" s="1285"/>
      <c r="J383" s="1285"/>
      <c r="K383" s="1285"/>
      <c r="L383" s="1285"/>
      <c r="M383" s="3321" t="s">
        <v>22</v>
      </c>
      <c r="N383" s="3321" t="s">
        <v>22</v>
      </c>
      <c r="O383" s="3308" t="s">
        <v>94</v>
      </c>
      <c r="P383" s="2291"/>
    </row>
    <row r="384" spans="1:17" s="3183" customFormat="1" ht="12.75" customHeight="1">
      <c r="A384" s="3394"/>
      <c r="B384" s="798" t="s">
        <v>18</v>
      </c>
      <c r="C384" s="3351" t="s">
        <v>77</v>
      </c>
      <c r="D384" s="1306">
        <f>+D385</f>
        <v>7650000</v>
      </c>
      <c r="E384" s="1841">
        <v>0</v>
      </c>
      <c r="F384" s="1841">
        <f t="shared" si="238"/>
        <v>0</v>
      </c>
      <c r="G384" s="1313">
        <f t="shared" si="238"/>
        <v>6245404</v>
      </c>
      <c r="H384" s="1313">
        <f t="shared" si="238"/>
        <v>1404596</v>
      </c>
      <c r="I384" s="1306"/>
      <c r="J384" s="1306"/>
      <c r="K384" s="1306"/>
      <c r="L384" s="1306"/>
      <c r="M384" s="3322"/>
      <c r="N384" s="3322"/>
      <c r="O384" s="3309"/>
    </row>
    <row r="385" spans="1:16" ht="12" customHeight="1" thickBot="1">
      <c r="A385" s="3395"/>
      <c r="B385" s="663" t="s">
        <v>20</v>
      </c>
      <c r="C385" s="3353"/>
      <c r="D385" s="1382">
        <f>E385+F385+G385+H385+I385+J385+K385+L385</f>
        <v>7650000</v>
      </c>
      <c r="E385" s="2718">
        <v>0</v>
      </c>
      <c r="F385" s="1587">
        <v>0</v>
      </c>
      <c r="G385" s="1586">
        <f>2861124+4745934-1600000+238346</f>
        <v>6245404</v>
      </c>
      <c r="H385" s="1586">
        <f>1642942-238346</f>
        <v>1404596</v>
      </c>
      <c r="I385" s="1586"/>
      <c r="J385" s="1586"/>
      <c r="K385" s="1586"/>
      <c r="L385" s="1586"/>
      <c r="M385" s="3323"/>
      <c r="N385" s="3323"/>
      <c r="O385" s="3310"/>
    </row>
    <row r="386" spans="1:16" ht="24">
      <c r="A386" s="3385" t="s">
        <v>96</v>
      </c>
      <c r="B386" s="263" t="s">
        <v>665</v>
      </c>
      <c r="C386" s="56" t="s">
        <v>74</v>
      </c>
      <c r="D386" s="2639"/>
      <c r="E386" s="2638"/>
      <c r="F386" s="2638"/>
      <c r="G386" s="2638"/>
      <c r="H386" s="2638"/>
      <c r="I386" s="2638"/>
      <c r="J386" s="2638"/>
      <c r="K386" s="2638"/>
      <c r="L386" s="41"/>
      <c r="M386" s="60"/>
      <c r="N386" s="60"/>
      <c r="O386" s="3335" t="s">
        <v>79</v>
      </c>
    </row>
    <row r="387" spans="1:16">
      <c r="A387" s="3386"/>
      <c r="B387" s="531" t="s">
        <v>10</v>
      </c>
      <c r="C387" s="426"/>
      <c r="D387" s="1800">
        <f>+D388+D391</f>
        <v>17624366</v>
      </c>
      <c r="E387" s="1800">
        <f t="shared" ref="E387" si="239">+E388+E391</f>
        <v>395660</v>
      </c>
      <c r="F387" s="1801">
        <f t="shared" ref="F387:H387" si="240">+F388+F391</f>
        <v>0</v>
      </c>
      <c r="G387" s="1800">
        <f t="shared" si="240"/>
        <v>0</v>
      </c>
      <c r="H387" s="1800">
        <f t="shared" si="240"/>
        <v>17228706</v>
      </c>
      <c r="I387" s="1800"/>
      <c r="J387" s="1800"/>
      <c r="K387" s="1800"/>
      <c r="L387" s="1800"/>
      <c r="M387" s="1802">
        <f>+M388+M391</f>
        <v>17228706</v>
      </c>
      <c r="N387" s="1802">
        <f>+N388+N391</f>
        <v>17228706</v>
      </c>
      <c r="O387" s="3331"/>
    </row>
    <row r="388" spans="1:16">
      <c r="A388" s="3386"/>
      <c r="B388" s="508" t="s">
        <v>23</v>
      </c>
      <c r="C388" s="3344" t="s">
        <v>77</v>
      </c>
      <c r="D388" s="1803">
        <f>+D389+D390</f>
        <v>10805666</v>
      </c>
      <c r="E388" s="1803">
        <f t="shared" ref="E388" si="241">+E389+E390</f>
        <v>395660</v>
      </c>
      <c r="F388" s="1804">
        <v>0</v>
      </c>
      <c r="G388" s="1803">
        <f>+G389+G390</f>
        <v>0</v>
      </c>
      <c r="H388" s="1803">
        <f>+H389+H390</f>
        <v>10410006</v>
      </c>
      <c r="I388" s="1803"/>
      <c r="J388" s="1803"/>
      <c r="K388" s="1803"/>
      <c r="L388" s="1803"/>
      <c r="M388" s="515">
        <f>+M389</f>
        <v>10410006</v>
      </c>
      <c r="N388" s="515">
        <f>+N389</f>
        <v>10410006</v>
      </c>
      <c r="O388" s="3331"/>
    </row>
    <row r="389" spans="1:16">
      <c r="A389" s="3386"/>
      <c r="B389" s="802" t="s">
        <v>12</v>
      </c>
      <c r="C389" s="3504"/>
      <c r="D389" s="773">
        <f>E389+F389+G389+H389+I389+J389+K389+L389</f>
        <v>10748663</v>
      </c>
      <c r="E389" s="788">
        <v>338657</v>
      </c>
      <c r="F389" s="1343">
        <v>0</v>
      </c>
      <c r="G389" s="1818">
        <f>1887021+23820-1309191-151650-375000-75000</f>
        <v>0</v>
      </c>
      <c r="H389" s="1818">
        <f>601650+4147356+375000+5286000</f>
        <v>10410006</v>
      </c>
      <c r="I389" s="1818"/>
      <c r="J389" s="1818"/>
      <c r="K389" s="1818"/>
      <c r="L389" s="1818"/>
      <c r="M389" s="796">
        <f>SUM(F389:K389)</f>
        <v>10410006</v>
      </c>
      <c r="N389" s="796">
        <f>SUM(G389:L389)</f>
        <v>10410006</v>
      </c>
      <c r="O389" s="3331"/>
    </row>
    <row r="390" spans="1:16" ht="12" customHeight="1">
      <c r="A390" s="3386"/>
      <c r="B390" s="802" t="s">
        <v>15</v>
      </c>
      <c r="C390" s="3504"/>
      <c r="D390" s="773">
        <f>E390+F390+G390+H390+I390+J390+K390+L390</f>
        <v>57003</v>
      </c>
      <c r="E390" s="788">
        <v>57003</v>
      </c>
      <c r="F390" s="1343">
        <v>0</v>
      </c>
      <c r="G390" s="1343">
        <v>0</v>
      </c>
      <c r="H390" s="1343"/>
      <c r="I390" s="1343"/>
      <c r="J390" s="1343"/>
      <c r="K390" s="1343"/>
      <c r="L390" s="1343"/>
      <c r="M390" s="796">
        <f>SUM(F390:K390)</f>
        <v>0</v>
      </c>
      <c r="N390" s="796">
        <f>SUM(G390:L390)</f>
        <v>0</v>
      </c>
      <c r="O390" s="3331"/>
    </row>
    <row r="391" spans="1:16">
      <c r="A391" s="3386"/>
      <c r="B391" s="798" t="s">
        <v>18</v>
      </c>
      <c r="C391" s="3504"/>
      <c r="D391" s="516">
        <f>+D392</f>
        <v>6818700</v>
      </c>
      <c r="E391" s="516">
        <f t="shared" ref="E391:H391" si="242">+E392</f>
        <v>0</v>
      </c>
      <c r="F391" s="1804">
        <v>0</v>
      </c>
      <c r="G391" s="516">
        <f t="shared" si="242"/>
        <v>0</v>
      </c>
      <c r="H391" s="516">
        <f t="shared" si="242"/>
        <v>6818700</v>
      </c>
      <c r="I391" s="516"/>
      <c r="J391" s="516"/>
      <c r="K391" s="516"/>
      <c r="L391" s="516"/>
      <c r="M391" s="515">
        <f>+M392</f>
        <v>6818700</v>
      </c>
      <c r="N391" s="515">
        <f>+N392</f>
        <v>6818700</v>
      </c>
      <c r="O391" s="3331"/>
    </row>
    <row r="392" spans="1:16" ht="12" customHeight="1">
      <c r="A392" s="3386"/>
      <c r="B392" s="657" t="s">
        <v>20</v>
      </c>
      <c r="C392" s="3505"/>
      <c r="D392" s="773">
        <f>E392+F392+G392+H392+I392+J392+K392+L392</f>
        <v>6818700</v>
      </c>
      <c r="E392" s="788">
        <v>0</v>
      </c>
      <c r="F392" s="1343">
        <v>0</v>
      </c>
      <c r="G392" s="1818">
        <f>6034979+76180-2701809-859350-2125000-425000</f>
        <v>0</v>
      </c>
      <c r="H392" s="1818">
        <f>3409350+859350+2125000+425000</f>
        <v>6818700</v>
      </c>
      <c r="I392" s="1818"/>
      <c r="J392" s="1818"/>
      <c r="K392" s="1818"/>
      <c r="L392" s="1818"/>
      <c r="M392" s="796">
        <f>SUM(F392:K392)</f>
        <v>6818700</v>
      </c>
      <c r="N392" s="796">
        <f>SUM(G392:L392)</f>
        <v>6818700</v>
      </c>
      <c r="O392" s="3336"/>
      <c r="P392" s="2291"/>
    </row>
    <row r="393" spans="1:16" ht="11.25" customHeight="1">
      <c r="A393" s="3394"/>
      <c r="B393" s="531" t="s">
        <v>21</v>
      </c>
      <c r="C393" s="426"/>
      <c r="D393" s="573">
        <f>+D394+D396</f>
        <v>6875703</v>
      </c>
      <c r="E393" s="573">
        <f t="shared" ref="E393" si="243">+E394+E396</f>
        <v>57003</v>
      </c>
      <c r="F393" s="602">
        <f t="shared" ref="F393:I393" si="244">+F394+F396</f>
        <v>0</v>
      </c>
      <c r="G393" s="573">
        <f t="shared" si="244"/>
        <v>0</v>
      </c>
      <c r="H393" s="573">
        <f t="shared" si="244"/>
        <v>4091220</v>
      </c>
      <c r="I393" s="573">
        <f t="shared" si="244"/>
        <v>2727480</v>
      </c>
      <c r="J393" s="573"/>
      <c r="K393" s="573"/>
      <c r="L393" s="573"/>
      <c r="M393" s="3389" t="s">
        <v>22</v>
      </c>
      <c r="N393" s="3389" t="s">
        <v>22</v>
      </c>
      <c r="O393" s="3390" t="s">
        <v>94</v>
      </c>
    </row>
    <row r="394" spans="1:16">
      <c r="A394" s="3394"/>
      <c r="B394" s="798" t="s">
        <v>23</v>
      </c>
      <c r="C394" s="3507" t="s">
        <v>77</v>
      </c>
      <c r="D394" s="1803">
        <f>+D395</f>
        <v>57003</v>
      </c>
      <c r="E394" s="1803">
        <f t="shared" ref="E394" si="245">+E395</f>
        <v>57003</v>
      </c>
      <c r="F394" s="1804">
        <v>0</v>
      </c>
      <c r="G394" s="1804">
        <v>0</v>
      </c>
      <c r="H394" s="1804">
        <v>0</v>
      </c>
      <c r="I394" s="1804">
        <v>0</v>
      </c>
      <c r="J394" s="1804"/>
      <c r="K394" s="1804"/>
      <c r="L394" s="1804"/>
      <c r="M394" s="3322"/>
      <c r="N394" s="3322"/>
      <c r="O394" s="3309"/>
    </row>
    <row r="395" spans="1:16">
      <c r="A395" s="3394"/>
      <c r="B395" s="657" t="s">
        <v>15</v>
      </c>
      <c r="C395" s="3508"/>
      <c r="D395" s="773">
        <f>E395+F395+G395+H395+I395+J395+K395+L395</f>
        <v>57003</v>
      </c>
      <c r="E395" s="788">
        <v>57003</v>
      </c>
      <c r="F395" s="1343">
        <v>0</v>
      </c>
      <c r="G395" s="1343">
        <v>0</v>
      </c>
      <c r="H395" s="1343">
        <v>0</v>
      </c>
      <c r="I395" s="1343">
        <v>0</v>
      </c>
      <c r="J395" s="1343"/>
      <c r="K395" s="1343"/>
      <c r="L395" s="1343"/>
      <c r="M395" s="3322"/>
      <c r="N395" s="3322"/>
      <c r="O395" s="3309"/>
    </row>
    <row r="396" spans="1:16" s="3183" customFormat="1" ht="12.75" customHeight="1">
      <c r="A396" s="3394"/>
      <c r="B396" s="798" t="s">
        <v>18</v>
      </c>
      <c r="C396" s="3508"/>
      <c r="D396" s="714">
        <f>+D397</f>
        <v>6818700</v>
      </c>
      <c r="E396" s="2719">
        <f t="shared" ref="E396:I396" si="246">+E397</f>
        <v>0</v>
      </c>
      <c r="F396" s="1804">
        <v>0</v>
      </c>
      <c r="G396" s="1843">
        <f t="shared" si="246"/>
        <v>0</v>
      </c>
      <c r="H396" s="1843">
        <f t="shared" si="246"/>
        <v>4091220</v>
      </c>
      <c r="I396" s="1843">
        <f t="shared" si="246"/>
        <v>2727480</v>
      </c>
      <c r="J396" s="714"/>
      <c r="K396" s="714"/>
      <c r="L396" s="714"/>
      <c r="M396" s="3322"/>
      <c r="N396" s="3322"/>
      <c r="O396" s="3309"/>
    </row>
    <row r="397" spans="1:16" ht="12" customHeight="1" thickBot="1">
      <c r="A397" s="3395"/>
      <c r="B397" s="663" t="s">
        <v>20</v>
      </c>
      <c r="C397" s="3509"/>
      <c r="D397" s="1666">
        <f>E397+F397+G397+H397+I397+J397+K397+L397</f>
        <v>6818700</v>
      </c>
      <c r="E397" s="1666">
        <v>0</v>
      </c>
      <c r="F397" s="2720">
        <v>0</v>
      </c>
      <c r="G397" s="1586">
        <f>2555629+1141538-2197167-1500000</f>
        <v>0</v>
      </c>
      <c r="H397" s="1586">
        <f>2413992+2904708-1227480</f>
        <v>4091220</v>
      </c>
      <c r="I397" s="1586">
        <v>2727480</v>
      </c>
      <c r="J397" s="1586"/>
      <c r="K397" s="1586"/>
      <c r="L397" s="1586"/>
      <c r="M397" s="3323"/>
      <c r="N397" s="3323"/>
      <c r="O397" s="3310"/>
    </row>
    <row r="398" spans="1:16" ht="24.75" hidden="1" customHeight="1">
      <c r="A398" s="3385" t="s">
        <v>92</v>
      </c>
      <c r="B398" s="263"/>
      <c r="C398" s="56" t="s">
        <v>74</v>
      </c>
      <c r="D398" s="123"/>
      <c r="E398" s="513"/>
      <c r="F398" s="42"/>
      <c r="G398" s="42"/>
      <c r="H398" s="226"/>
      <c r="I398" s="41"/>
      <c r="J398" s="226"/>
      <c r="K398" s="226"/>
      <c r="L398" s="226"/>
      <c r="M398" s="60"/>
      <c r="N398" s="60"/>
      <c r="O398" s="3335" t="s">
        <v>79</v>
      </c>
      <c r="P398" s="2287" t="s">
        <v>299</v>
      </c>
    </row>
    <row r="399" spans="1:16" hidden="1">
      <c r="A399" s="3386"/>
      <c r="B399" s="2073" t="s">
        <v>10</v>
      </c>
      <c r="C399" s="1284"/>
      <c r="D399" s="1800">
        <f>+D400+D402</f>
        <v>0</v>
      </c>
      <c r="E399" s="1800">
        <f t="shared" ref="E399" si="247">+E400+E402</f>
        <v>0</v>
      </c>
      <c r="F399" s="1800">
        <f t="shared" ref="F399:H399" si="248">+F400+F402</f>
        <v>0</v>
      </c>
      <c r="G399" s="1800">
        <f t="shared" si="248"/>
        <v>0</v>
      </c>
      <c r="H399" s="1800">
        <f t="shared" si="248"/>
        <v>0</v>
      </c>
      <c r="I399" s="1800"/>
      <c r="J399" s="1800"/>
      <c r="K399" s="1800"/>
      <c r="L399" s="1800"/>
      <c r="M399" s="1802">
        <f>+M400+M402</f>
        <v>0</v>
      </c>
      <c r="N399" s="1802">
        <f>+N400+N402</f>
        <v>0</v>
      </c>
      <c r="O399" s="3331"/>
    </row>
    <row r="400" spans="1:16" hidden="1">
      <c r="A400" s="3386"/>
      <c r="B400" s="2111" t="s">
        <v>23</v>
      </c>
      <c r="C400" s="3344" t="s">
        <v>77</v>
      </c>
      <c r="D400" s="1803">
        <f>+D401</f>
        <v>0</v>
      </c>
      <c r="E400" s="1803">
        <f t="shared" ref="E400:H400" si="249">+E401</f>
        <v>0</v>
      </c>
      <c r="F400" s="1803">
        <f t="shared" si="249"/>
        <v>0</v>
      </c>
      <c r="G400" s="1803">
        <f t="shared" si="249"/>
        <v>0</v>
      </c>
      <c r="H400" s="1803">
        <f t="shared" si="249"/>
        <v>0</v>
      </c>
      <c r="I400" s="1803"/>
      <c r="J400" s="1803"/>
      <c r="K400" s="1803"/>
      <c r="L400" s="1803"/>
      <c r="M400" s="515">
        <f>+M401</f>
        <v>0</v>
      </c>
      <c r="N400" s="515">
        <f>+N401</f>
        <v>0</v>
      </c>
      <c r="O400" s="3331"/>
    </row>
    <row r="401" spans="1:16" hidden="1">
      <c r="A401" s="3386"/>
      <c r="B401" s="2112" t="s">
        <v>12</v>
      </c>
      <c r="C401" s="3504"/>
      <c r="D401" s="773"/>
      <c r="E401" s="788"/>
      <c r="F401" s="1818"/>
      <c r="G401" s="1818">
        <f>1854503+17167-1310168-561502</f>
        <v>0</v>
      </c>
      <c r="H401" s="1818">
        <f>1550169-1550169</f>
        <v>0</v>
      </c>
      <c r="I401" s="1818"/>
      <c r="J401" s="1818"/>
      <c r="K401" s="1818"/>
      <c r="L401" s="1818"/>
      <c r="M401" s="796">
        <f>SUM(F401:K401)</f>
        <v>0</v>
      </c>
      <c r="N401" s="796">
        <f>SUM(G401:L401)</f>
        <v>0</v>
      </c>
      <c r="O401" s="3331"/>
    </row>
    <row r="402" spans="1:16" hidden="1">
      <c r="A402" s="3386"/>
      <c r="B402" s="2113" t="s">
        <v>18</v>
      </c>
      <c r="C402" s="3504"/>
      <c r="D402" s="516">
        <f>+D403</f>
        <v>0</v>
      </c>
      <c r="E402" s="516">
        <f t="shared" ref="E402:H402" si="250">+E403</f>
        <v>0</v>
      </c>
      <c r="F402" s="516">
        <f t="shared" si="250"/>
        <v>0</v>
      </c>
      <c r="G402" s="516">
        <f t="shared" si="250"/>
        <v>0</v>
      </c>
      <c r="H402" s="516">
        <f t="shared" si="250"/>
        <v>0</v>
      </c>
      <c r="I402" s="516"/>
      <c r="J402" s="516"/>
      <c r="K402" s="516"/>
      <c r="L402" s="516"/>
      <c r="M402" s="515">
        <f>+M403</f>
        <v>0</v>
      </c>
      <c r="N402" s="515">
        <f>+N403</f>
        <v>0</v>
      </c>
      <c r="O402" s="3331"/>
    </row>
    <row r="403" spans="1:16" hidden="1">
      <c r="A403" s="3386"/>
      <c r="B403" s="657" t="s">
        <v>20</v>
      </c>
      <c r="C403" s="3505"/>
      <c r="D403" s="773">
        <f>E403+F403+G403+H403+I403+J403+K403+L403</f>
        <v>0</v>
      </c>
      <c r="E403" s="788">
        <f>4205-4205</f>
        <v>0</v>
      </c>
      <c r="F403" s="1818">
        <f>5928372+953820+1843-6884035</f>
        <v>0</v>
      </c>
      <c r="G403" s="1818">
        <f>6124035-4286825-1837210</f>
        <v>0</v>
      </c>
      <c r="H403" s="1818">
        <f>5046825-5046825</f>
        <v>0</v>
      </c>
      <c r="I403" s="1818"/>
      <c r="J403" s="1818"/>
      <c r="K403" s="1818"/>
      <c r="L403" s="1818"/>
      <c r="M403" s="796">
        <f>SUM(F403:K403)</f>
        <v>0</v>
      </c>
      <c r="N403" s="796">
        <f>SUM(G403:L403)</f>
        <v>0</v>
      </c>
      <c r="O403" s="3336"/>
      <c r="P403" s="2291"/>
    </row>
    <row r="404" spans="1:16" hidden="1">
      <c r="A404" s="3394"/>
      <c r="B404" s="2073" t="s">
        <v>21</v>
      </c>
      <c r="C404" s="1284"/>
      <c r="D404" s="573">
        <f>+D405</f>
        <v>0</v>
      </c>
      <c r="E404" s="573">
        <f t="shared" ref="E404:I405" si="251">+E405</f>
        <v>0</v>
      </c>
      <c r="F404" s="573">
        <f t="shared" si="251"/>
        <v>0</v>
      </c>
      <c r="G404" s="573">
        <f t="shared" si="251"/>
        <v>0</v>
      </c>
      <c r="H404" s="573">
        <f t="shared" si="251"/>
        <v>0</v>
      </c>
      <c r="I404" s="573">
        <f t="shared" si="251"/>
        <v>0</v>
      </c>
      <c r="J404" s="573"/>
      <c r="K404" s="573"/>
      <c r="L404" s="573"/>
      <c r="M404" s="3389" t="s">
        <v>22</v>
      </c>
      <c r="N404" s="3389" t="s">
        <v>22</v>
      </c>
      <c r="O404" s="3390" t="s">
        <v>94</v>
      </c>
    </row>
    <row r="405" spans="1:16" s="3183" customFormat="1" ht="12.75" hidden="1" customHeight="1">
      <c r="A405" s="3394"/>
      <c r="B405" s="2113" t="s">
        <v>18</v>
      </c>
      <c r="C405" s="3344" t="s">
        <v>77</v>
      </c>
      <c r="D405" s="714">
        <f>+D406</f>
        <v>0</v>
      </c>
      <c r="E405" s="1843">
        <f t="shared" si="251"/>
        <v>0</v>
      </c>
      <c r="F405" s="1843">
        <f t="shared" si="251"/>
        <v>0</v>
      </c>
      <c r="G405" s="1843">
        <f t="shared" si="251"/>
        <v>0</v>
      </c>
      <c r="H405" s="1843">
        <f t="shared" si="251"/>
        <v>0</v>
      </c>
      <c r="I405" s="1843">
        <f t="shared" si="251"/>
        <v>0</v>
      </c>
      <c r="J405" s="714"/>
      <c r="K405" s="714"/>
      <c r="L405" s="714"/>
      <c r="M405" s="3322"/>
      <c r="N405" s="3322"/>
      <c r="O405" s="3309"/>
    </row>
    <row r="406" spans="1:16" ht="13.5" hidden="1" thickBot="1">
      <c r="A406" s="3395"/>
      <c r="B406" s="663" t="s">
        <v>20</v>
      </c>
      <c r="C406" s="3353"/>
      <c r="D406" s="1955">
        <f>E406+F406+G406+H406+I406+J406+K406+L406</f>
        <v>0</v>
      </c>
      <c r="E406" s="1955">
        <v>0</v>
      </c>
      <c r="F406" s="1586">
        <f>3909880-3909880</f>
        <v>0</v>
      </c>
      <c r="G406" s="1586">
        <f>2978360+931520-3909880</f>
        <v>0</v>
      </c>
      <c r="H406" s="1586">
        <f>2218360+760000-2978360</f>
        <v>0</v>
      </c>
      <c r="I406" s="1586">
        <f>3909880-3909880</f>
        <v>0</v>
      </c>
      <c r="J406" s="1586"/>
      <c r="K406" s="1586"/>
      <c r="L406" s="1586"/>
      <c r="M406" s="3323"/>
      <c r="N406" s="3323"/>
      <c r="O406" s="3310"/>
    </row>
    <row r="407" spans="1:16" ht="22.5" hidden="1" customHeight="1">
      <c r="A407" s="3385" t="s">
        <v>96</v>
      </c>
      <c r="B407" s="263" t="s">
        <v>616</v>
      </c>
      <c r="C407" s="56" t="s">
        <v>74</v>
      </c>
      <c r="D407" s="123"/>
      <c r="E407" s="513"/>
      <c r="F407" s="42"/>
      <c r="G407" s="42"/>
      <c r="H407" s="226"/>
      <c r="I407" s="41"/>
      <c r="J407" s="226"/>
      <c r="K407" s="226"/>
      <c r="L407" s="226"/>
      <c r="M407" s="60"/>
      <c r="N407" s="60"/>
      <c r="O407" s="3335" t="s">
        <v>79</v>
      </c>
      <c r="P407" s="2287" t="s">
        <v>299</v>
      </c>
    </row>
    <row r="408" spans="1:16" ht="12" hidden="1" customHeight="1">
      <c r="A408" s="3386"/>
      <c r="B408" s="531" t="s">
        <v>10</v>
      </c>
      <c r="C408" s="1308"/>
      <c r="D408" s="1309">
        <f>+D409+D411</f>
        <v>0</v>
      </c>
      <c r="E408" s="1309">
        <f t="shared" ref="E408" si="252">+E409+E411</f>
        <v>0</v>
      </c>
      <c r="F408" s="1309">
        <f t="shared" ref="F408:G408" si="253">+F409+F411</f>
        <v>0</v>
      </c>
      <c r="G408" s="1309">
        <f t="shared" si="253"/>
        <v>0</v>
      </c>
      <c r="H408" s="1309"/>
      <c r="I408" s="1309"/>
      <c r="J408" s="1309"/>
      <c r="K408" s="1309"/>
      <c r="L408" s="1309"/>
      <c r="M408" s="1286">
        <f>+M409+M411</f>
        <v>0</v>
      </c>
      <c r="N408" s="1286">
        <f>+N409+N411</f>
        <v>0</v>
      </c>
      <c r="O408" s="3331"/>
    </row>
    <row r="409" spans="1:16" hidden="1">
      <c r="A409" s="3386"/>
      <c r="B409" s="508" t="s">
        <v>23</v>
      </c>
      <c r="C409" s="3344" t="s">
        <v>77</v>
      </c>
      <c r="D409" s="1310">
        <f>+D410</f>
        <v>0</v>
      </c>
      <c r="E409" s="1310">
        <f t="shared" ref="E409:G409" si="254">+E410</f>
        <v>0</v>
      </c>
      <c r="F409" s="1310">
        <f t="shared" si="254"/>
        <v>0</v>
      </c>
      <c r="G409" s="1310">
        <f t="shared" si="254"/>
        <v>0</v>
      </c>
      <c r="H409" s="1310"/>
      <c r="I409" s="1310"/>
      <c r="J409" s="1310"/>
      <c r="K409" s="1310"/>
      <c r="L409" s="1310"/>
      <c r="M409" s="1289">
        <f>+M410</f>
        <v>0</v>
      </c>
      <c r="N409" s="1289">
        <f>+N410</f>
        <v>0</v>
      </c>
      <c r="O409" s="3331"/>
    </row>
    <row r="410" spans="1:16" hidden="1">
      <c r="A410" s="3386"/>
      <c r="B410" s="802" t="s">
        <v>12</v>
      </c>
      <c r="C410" s="3504"/>
      <c r="D410" s="773">
        <f>E410+F410+G410+H410+I410+J410+K410+L410</f>
        <v>0</v>
      </c>
      <c r="E410" s="1262">
        <v>0</v>
      </c>
      <c r="F410" s="1300">
        <v>0</v>
      </c>
      <c r="G410" s="1300">
        <f>938336-938336</f>
        <v>0</v>
      </c>
      <c r="H410" s="1300"/>
      <c r="I410" s="1300"/>
      <c r="J410" s="1300"/>
      <c r="K410" s="1300"/>
      <c r="L410" s="1300"/>
      <c r="M410" s="1302">
        <f>SUM(F410:K410)</f>
        <v>0</v>
      </c>
      <c r="N410" s="1302">
        <f>SUM(G410:L410)</f>
        <v>0</v>
      </c>
      <c r="O410" s="3331"/>
    </row>
    <row r="411" spans="1:16" hidden="1">
      <c r="A411" s="3386"/>
      <c r="B411" s="798" t="s">
        <v>18</v>
      </c>
      <c r="C411" s="3504"/>
      <c r="D411" s="1288">
        <f>+D412</f>
        <v>0</v>
      </c>
      <c r="E411" s="1288">
        <f t="shared" ref="E411:G411" si="255">+E412</f>
        <v>0</v>
      </c>
      <c r="F411" s="1288">
        <f t="shared" si="255"/>
        <v>0</v>
      </c>
      <c r="G411" s="1288">
        <f t="shared" si="255"/>
        <v>0</v>
      </c>
      <c r="H411" s="1288"/>
      <c r="I411" s="1288"/>
      <c r="J411" s="1288"/>
      <c r="K411" s="1288"/>
      <c r="L411" s="1288"/>
      <c r="M411" s="1289">
        <f>+M412</f>
        <v>0</v>
      </c>
      <c r="N411" s="1289">
        <f>+N412</f>
        <v>0</v>
      </c>
      <c r="O411" s="3331"/>
    </row>
    <row r="412" spans="1:16" hidden="1">
      <c r="A412" s="3386"/>
      <c r="B412" s="657" t="s">
        <v>231</v>
      </c>
      <c r="C412" s="3505"/>
      <c r="D412" s="773">
        <f>E412+F412+G412+H412+I412+J412+K412+L412</f>
        <v>0</v>
      </c>
      <c r="E412" s="1262">
        <v>0</v>
      </c>
      <c r="F412" s="1300">
        <v>0</v>
      </c>
      <c r="G412" s="1300">
        <f>3019942-3019942</f>
        <v>0</v>
      </c>
      <c r="H412" s="1300"/>
      <c r="I412" s="1300"/>
      <c r="J412" s="1300"/>
      <c r="K412" s="1300"/>
      <c r="L412" s="1300"/>
      <c r="M412" s="1302">
        <f>SUM(F412:K412)</f>
        <v>0</v>
      </c>
      <c r="N412" s="1302">
        <f>SUM(G412:L412)</f>
        <v>0</v>
      </c>
      <c r="O412" s="3336"/>
      <c r="P412" s="2291"/>
    </row>
    <row r="413" spans="1:16" hidden="1">
      <c r="A413" s="3394"/>
      <c r="B413" s="531" t="s">
        <v>21</v>
      </c>
      <c r="C413" s="1308"/>
      <c r="D413" s="1285">
        <f>+D414</f>
        <v>0</v>
      </c>
      <c r="E413" s="1285">
        <f t="shared" ref="E413:H414" si="256">+E414</f>
        <v>0</v>
      </c>
      <c r="F413" s="1285">
        <f t="shared" si="256"/>
        <v>0</v>
      </c>
      <c r="G413" s="1285">
        <f t="shared" si="256"/>
        <v>0</v>
      </c>
      <c r="H413" s="1285">
        <f t="shared" si="256"/>
        <v>0</v>
      </c>
      <c r="I413" s="1285"/>
      <c r="J413" s="1285"/>
      <c r="K413" s="1285"/>
      <c r="L413" s="1285"/>
      <c r="M413" s="3389" t="s">
        <v>22</v>
      </c>
      <c r="N413" s="3389" t="s">
        <v>22</v>
      </c>
      <c r="O413" s="3390" t="s">
        <v>94</v>
      </c>
    </row>
    <row r="414" spans="1:16" s="3183" customFormat="1" ht="12.75" hidden="1" customHeight="1">
      <c r="A414" s="3394"/>
      <c r="B414" s="798" t="s">
        <v>18</v>
      </c>
      <c r="C414" s="3344" t="s">
        <v>77</v>
      </c>
      <c r="D414" s="1306">
        <f>+D415</f>
        <v>0</v>
      </c>
      <c r="E414" s="1313">
        <f t="shared" si="256"/>
        <v>0</v>
      </c>
      <c r="F414" s="1313">
        <f t="shared" si="256"/>
        <v>0</v>
      </c>
      <c r="G414" s="1313">
        <f t="shared" si="256"/>
        <v>0</v>
      </c>
      <c r="H414" s="1313">
        <f t="shared" si="256"/>
        <v>0</v>
      </c>
      <c r="I414" s="1306"/>
      <c r="J414" s="1306"/>
      <c r="K414" s="1306"/>
      <c r="L414" s="1306"/>
      <c r="M414" s="3322"/>
      <c r="N414" s="3322"/>
      <c r="O414" s="3309"/>
    </row>
    <row r="415" spans="1:16" ht="12" hidden="1" customHeight="1" thickBot="1">
      <c r="A415" s="3395"/>
      <c r="B415" s="663" t="s">
        <v>19</v>
      </c>
      <c r="C415" s="3353"/>
      <c r="D415" s="767">
        <f>E415+F415+G415+H415+I415+J415+K415+L415</f>
        <v>0</v>
      </c>
      <c r="E415" s="767">
        <v>0</v>
      </c>
      <c r="F415" s="408">
        <f>2334228-2334228</f>
        <v>0</v>
      </c>
      <c r="G415" s="408">
        <f>1025310+1308918-2334228</f>
        <v>0</v>
      </c>
      <c r="H415" s="408">
        <v>0</v>
      </c>
      <c r="I415" s="408"/>
      <c r="J415" s="408"/>
      <c r="K415" s="408"/>
      <c r="L415" s="408"/>
      <c r="M415" s="3323"/>
      <c r="N415" s="3323"/>
      <c r="O415" s="3310"/>
    </row>
    <row r="416" spans="1:16" ht="23.25" customHeight="1" thickBot="1">
      <c r="A416" s="3392" t="s">
        <v>287</v>
      </c>
      <c r="B416" s="263" t="s">
        <v>666</v>
      </c>
      <c r="C416" s="56" t="s">
        <v>74</v>
      </c>
      <c r="D416" s="2639"/>
      <c r="E416" s="2637"/>
      <c r="F416" s="2638"/>
      <c r="G416" s="2638"/>
      <c r="H416" s="2638"/>
      <c r="I416" s="2638"/>
      <c r="J416" s="2638"/>
      <c r="K416" s="2638"/>
      <c r="L416" s="41"/>
      <c r="M416" s="60"/>
      <c r="N416" s="60"/>
      <c r="O416" s="3335" t="s">
        <v>79</v>
      </c>
      <c r="P416" s="2287" t="s">
        <v>299</v>
      </c>
    </row>
    <row r="417" spans="1:16" ht="13.5" thickBot="1">
      <c r="A417" s="3392"/>
      <c r="B417" s="21" t="s">
        <v>10</v>
      </c>
      <c r="C417" s="22"/>
      <c r="D417" s="2229">
        <f>+D418+D420</f>
        <v>11037981</v>
      </c>
      <c r="E417" s="2230">
        <f t="shared" ref="E417:F417" si="257">+E418+E420</f>
        <v>0</v>
      </c>
      <c r="F417" s="2230">
        <f t="shared" si="257"/>
        <v>0</v>
      </c>
      <c r="G417" s="2229">
        <f>+G418+G420</f>
        <v>0</v>
      </c>
      <c r="H417" s="2229">
        <f>+H418+H420</f>
        <v>6622789</v>
      </c>
      <c r="I417" s="2229">
        <f>+I418+I420</f>
        <v>4415192</v>
      </c>
      <c r="J417" s="2229"/>
      <c r="K417" s="2229"/>
      <c r="L417" s="1800"/>
      <c r="M417" s="514">
        <f>+M418+M420</f>
        <v>11037981</v>
      </c>
      <c r="N417" s="514">
        <f>+N418+N420</f>
        <v>11037981</v>
      </c>
      <c r="O417" s="3331"/>
    </row>
    <row r="418" spans="1:16" ht="13.5" customHeight="1" thickBot="1">
      <c r="A418" s="3392"/>
      <c r="B418" s="166" t="s">
        <v>23</v>
      </c>
      <c r="C418" s="3519" t="s">
        <v>77</v>
      </c>
      <c r="D418" s="2231">
        <f>+D419</f>
        <v>5773368</v>
      </c>
      <c r="E418" s="2232">
        <f t="shared" ref="E418:I418" si="258">+E419</f>
        <v>0</v>
      </c>
      <c r="F418" s="2232">
        <f t="shared" si="258"/>
        <v>0</v>
      </c>
      <c r="G418" s="2231">
        <f t="shared" si="258"/>
        <v>0</v>
      </c>
      <c r="H418" s="2231">
        <f t="shared" si="258"/>
        <v>3311394</v>
      </c>
      <c r="I418" s="2231">
        <f t="shared" si="258"/>
        <v>2461974</v>
      </c>
      <c r="J418" s="2231"/>
      <c r="K418" s="2231"/>
      <c r="L418" s="1803"/>
      <c r="M418" s="515">
        <f>+M419</f>
        <v>5773368</v>
      </c>
      <c r="N418" s="515">
        <f>+N419</f>
        <v>5773368</v>
      </c>
      <c r="O418" s="3331"/>
    </row>
    <row r="419" spans="1:16" ht="13.5" thickBot="1">
      <c r="A419" s="3392"/>
      <c r="B419" s="370" t="s">
        <v>12</v>
      </c>
      <c r="C419" s="3504"/>
      <c r="D419" s="235">
        <f>E419+F419+G419+H419+I419+J419+K419+L419</f>
        <v>5773368</v>
      </c>
      <c r="E419" s="2233">
        <v>0</v>
      </c>
      <c r="F419" s="2233">
        <v>0</v>
      </c>
      <c r="G419" s="2234">
        <f>621874-435312-186562</f>
        <v>0</v>
      </c>
      <c r="H419" s="2234">
        <f>1058866+787322+1465206</f>
        <v>3311394</v>
      </c>
      <c r="I419" s="2234">
        <v>2461974</v>
      </c>
      <c r="J419" s="2234"/>
      <c r="K419" s="2234"/>
      <c r="L419" s="1818"/>
      <c r="M419" s="796">
        <f>SUM(F419:K419)</f>
        <v>5773368</v>
      </c>
      <c r="N419" s="796">
        <f>SUM(G419:L419)</f>
        <v>5773368</v>
      </c>
      <c r="O419" s="3331"/>
    </row>
    <row r="420" spans="1:16" ht="13.5" thickBot="1">
      <c r="A420" s="3392"/>
      <c r="B420" s="392" t="s">
        <v>18</v>
      </c>
      <c r="C420" s="3504"/>
      <c r="D420" s="2235">
        <f>+D421</f>
        <v>5264613</v>
      </c>
      <c r="E420" s="2236">
        <f t="shared" ref="E420:I420" si="259">+E421</f>
        <v>0</v>
      </c>
      <c r="F420" s="2236">
        <f t="shared" si="259"/>
        <v>0</v>
      </c>
      <c r="G420" s="2235">
        <f t="shared" si="259"/>
        <v>0</v>
      </c>
      <c r="H420" s="2235">
        <f t="shared" si="259"/>
        <v>3311395</v>
      </c>
      <c r="I420" s="2235">
        <f t="shared" si="259"/>
        <v>1953218</v>
      </c>
      <c r="J420" s="2235"/>
      <c r="K420" s="2235"/>
      <c r="L420" s="516"/>
      <c r="M420" s="515">
        <f>+M421</f>
        <v>5264613</v>
      </c>
      <c r="N420" s="515">
        <f>+N421</f>
        <v>5264613</v>
      </c>
      <c r="O420" s="3331"/>
    </row>
    <row r="421" spans="1:16" ht="11.25" customHeight="1" thickBot="1">
      <c r="A421" s="3392"/>
      <c r="B421" s="2237" t="s">
        <v>20</v>
      </c>
      <c r="C421" s="3505"/>
      <c r="D421" s="235">
        <f>E421+F421+G421+H421+I421+J421+K421+L421</f>
        <v>5264613</v>
      </c>
      <c r="E421" s="2233">
        <v>0</v>
      </c>
      <c r="F421" s="2233">
        <v>0</v>
      </c>
      <c r="G421" s="2234">
        <f>1988846-1392192-596654</f>
        <v>0</v>
      </c>
      <c r="H421" s="2234">
        <f>3386414+2522163-2597182</f>
        <v>3311395</v>
      </c>
      <c r="I421" s="2234">
        <v>1953218</v>
      </c>
      <c r="J421" s="2234"/>
      <c r="K421" s="2234"/>
      <c r="L421" s="1818"/>
      <c r="M421" s="796">
        <f>SUM(F421:K421)</f>
        <v>5264613</v>
      </c>
      <c r="N421" s="796">
        <f>SUM(G421:L421)</f>
        <v>5264613</v>
      </c>
      <c r="O421" s="3336"/>
      <c r="P421" s="2291"/>
    </row>
    <row r="422" spans="1:16" ht="13.5" thickBot="1">
      <c r="A422" s="3393"/>
      <c r="B422" s="21" t="s">
        <v>21</v>
      </c>
      <c r="C422" s="22"/>
      <c r="D422" s="2238">
        <f>+D423</f>
        <v>5264613</v>
      </c>
      <c r="E422" s="2239">
        <f t="shared" ref="E422:J423" si="260">+E423</f>
        <v>0</v>
      </c>
      <c r="F422" s="2239">
        <f t="shared" si="260"/>
        <v>0</v>
      </c>
      <c r="G422" s="2238">
        <f t="shared" si="260"/>
        <v>0</v>
      </c>
      <c r="H422" s="2238">
        <f t="shared" si="260"/>
        <v>1052923</v>
      </c>
      <c r="I422" s="2238">
        <f t="shared" si="260"/>
        <v>3158768</v>
      </c>
      <c r="J422" s="2238">
        <f t="shared" si="260"/>
        <v>1052922</v>
      </c>
      <c r="K422" s="2238"/>
      <c r="L422" s="573"/>
      <c r="M422" s="3518" t="s">
        <v>22</v>
      </c>
      <c r="N422" s="3513" t="s">
        <v>22</v>
      </c>
      <c r="O422" s="3498" t="s">
        <v>94</v>
      </c>
    </row>
    <row r="423" spans="1:16" s="3183" customFormat="1" ht="13.5" thickBot="1">
      <c r="A423" s="3393"/>
      <c r="B423" s="392" t="s">
        <v>18</v>
      </c>
      <c r="C423" s="3499" t="s">
        <v>77</v>
      </c>
      <c r="D423" s="2240">
        <f>+D424</f>
        <v>5264613</v>
      </c>
      <c r="E423" s="2241">
        <f t="shared" si="260"/>
        <v>0</v>
      </c>
      <c r="F423" s="2241">
        <f t="shared" si="260"/>
        <v>0</v>
      </c>
      <c r="G423" s="2242">
        <f t="shared" si="260"/>
        <v>0</v>
      </c>
      <c r="H423" s="2242">
        <f t="shared" si="260"/>
        <v>1052923</v>
      </c>
      <c r="I423" s="2242">
        <f t="shared" si="260"/>
        <v>3158768</v>
      </c>
      <c r="J423" s="2242">
        <f t="shared" si="260"/>
        <v>1052922</v>
      </c>
      <c r="K423" s="2240"/>
      <c r="L423" s="714"/>
      <c r="M423" s="3416"/>
      <c r="N423" s="3514"/>
      <c r="O423" s="3413"/>
    </row>
    <row r="424" spans="1:16" ht="12" customHeight="1" thickBot="1">
      <c r="A424" s="3393"/>
      <c r="B424" s="53" t="s">
        <v>20</v>
      </c>
      <c r="C424" s="3500"/>
      <c r="D424" s="1955">
        <f>E424+F424+G424+H424+I424+J424+K424+L424</f>
        <v>5264613</v>
      </c>
      <c r="E424" s="1587">
        <v>0</v>
      </c>
      <c r="F424" s="1587">
        <v>0</v>
      </c>
      <c r="G424" s="1586">
        <v>0</v>
      </c>
      <c r="H424" s="1586">
        <f>3657763-2604840</f>
        <v>1052923</v>
      </c>
      <c r="I424" s="1586">
        <f>1717497+1129971+311300</f>
        <v>3158768</v>
      </c>
      <c r="J424" s="1586">
        <v>1052922</v>
      </c>
      <c r="K424" s="1586"/>
      <c r="L424" s="1586"/>
      <c r="M424" s="3417"/>
      <c r="N424" s="3514"/>
      <c r="O424" s="3413"/>
    </row>
    <row r="425" spans="1:16" ht="24.75" thickBot="1">
      <c r="A425" s="3392" t="s">
        <v>217</v>
      </c>
      <c r="B425" s="263" t="s">
        <v>667</v>
      </c>
      <c r="C425" s="56" t="s">
        <v>74</v>
      </c>
      <c r="D425" s="2639"/>
      <c r="E425" s="2637"/>
      <c r="F425" s="2637"/>
      <c r="G425" s="2638"/>
      <c r="H425" s="2638"/>
      <c r="I425" s="2638"/>
      <c r="J425" s="2638"/>
      <c r="K425" s="2638"/>
      <c r="L425" s="41"/>
      <c r="M425" s="60"/>
      <c r="N425" s="60"/>
      <c r="O425" s="3496" t="s">
        <v>79</v>
      </c>
      <c r="P425" s="2287" t="s">
        <v>299</v>
      </c>
    </row>
    <row r="426" spans="1:16" ht="10.5" customHeight="1" thickBot="1">
      <c r="A426" s="3392"/>
      <c r="B426" s="531" t="s">
        <v>10</v>
      </c>
      <c r="C426" s="1284"/>
      <c r="D426" s="1309">
        <f>+D427+D429</f>
        <v>9147981</v>
      </c>
      <c r="E426" s="1309">
        <f t="shared" ref="E426" si="261">+E427+E429</f>
        <v>0</v>
      </c>
      <c r="F426" s="1314">
        <f t="shared" ref="F426:I426" si="262">+F427+F429</f>
        <v>0</v>
      </c>
      <c r="G426" s="1309">
        <f t="shared" si="262"/>
        <v>0</v>
      </c>
      <c r="H426" s="1309">
        <f t="shared" si="262"/>
        <v>5488789</v>
      </c>
      <c r="I426" s="1309">
        <f t="shared" si="262"/>
        <v>3659192</v>
      </c>
      <c r="J426" s="1309"/>
      <c r="K426" s="1309"/>
      <c r="L426" s="1309"/>
      <c r="M426" s="1346">
        <f>+M427+M429</f>
        <v>9147981</v>
      </c>
      <c r="N426" s="1346">
        <f>+N427+N429</f>
        <v>9147981</v>
      </c>
      <c r="O426" s="3496"/>
    </row>
    <row r="427" spans="1:16" ht="13.5" thickBot="1">
      <c r="A427" s="3392"/>
      <c r="B427" s="508" t="s">
        <v>23</v>
      </c>
      <c r="C427" s="3351" t="s">
        <v>77</v>
      </c>
      <c r="D427" s="1310">
        <f>+D428</f>
        <v>4825749</v>
      </c>
      <c r="E427" s="1310">
        <f t="shared" ref="E427:I427" si="263">+E428</f>
        <v>0</v>
      </c>
      <c r="F427" s="1312">
        <f t="shared" si="263"/>
        <v>0</v>
      </c>
      <c r="G427" s="1310">
        <f t="shared" si="263"/>
        <v>0</v>
      </c>
      <c r="H427" s="1310">
        <f t="shared" si="263"/>
        <v>2744394</v>
      </c>
      <c r="I427" s="1310">
        <f t="shared" si="263"/>
        <v>2081355</v>
      </c>
      <c r="J427" s="1310"/>
      <c r="K427" s="1310"/>
      <c r="L427" s="1310"/>
      <c r="M427" s="1289">
        <f>+M428</f>
        <v>4825749</v>
      </c>
      <c r="N427" s="1289">
        <f>+N428</f>
        <v>4825749</v>
      </c>
      <c r="O427" s="3496"/>
    </row>
    <row r="428" spans="1:16" ht="11.25" customHeight="1" thickBot="1">
      <c r="A428" s="3392"/>
      <c r="B428" s="802" t="s">
        <v>12</v>
      </c>
      <c r="C428" s="3504"/>
      <c r="D428" s="1216">
        <f>E428+F428+G428+H428+I428+J428+K428+L428</f>
        <v>4825749</v>
      </c>
      <c r="E428" s="1300">
        <f>47545-47545</f>
        <v>0</v>
      </c>
      <c r="F428" s="1245">
        <v>0</v>
      </c>
      <c r="G428" s="1300">
        <f>455300-318710-136590</f>
        <v>0</v>
      </c>
      <c r="H428" s="1300">
        <f>775241+670720+1298433</f>
        <v>2744394</v>
      </c>
      <c r="I428" s="1300">
        <v>2081355</v>
      </c>
      <c r="J428" s="1300"/>
      <c r="K428" s="1300"/>
      <c r="L428" s="1300"/>
      <c r="M428" s="1302">
        <f>SUM(F428:K428)</f>
        <v>4825749</v>
      </c>
      <c r="N428" s="1302">
        <f>SUM(G428:L428)</f>
        <v>4825749</v>
      </c>
      <c r="O428" s="3496"/>
    </row>
    <row r="429" spans="1:16" ht="13.5" thickBot="1">
      <c r="A429" s="3392"/>
      <c r="B429" s="798" t="s">
        <v>18</v>
      </c>
      <c r="C429" s="3504"/>
      <c r="D429" s="1288">
        <f>+D430</f>
        <v>4322232</v>
      </c>
      <c r="E429" s="1288">
        <f t="shared" ref="E429:I429" si="264">+E430</f>
        <v>0</v>
      </c>
      <c r="F429" s="1578">
        <f t="shared" si="264"/>
        <v>0</v>
      </c>
      <c r="G429" s="1288">
        <f t="shared" si="264"/>
        <v>0</v>
      </c>
      <c r="H429" s="1288">
        <f t="shared" si="264"/>
        <v>2744395</v>
      </c>
      <c r="I429" s="1288">
        <f t="shared" si="264"/>
        <v>1577837</v>
      </c>
      <c r="J429" s="1288"/>
      <c r="K429" s="1288"/>
      <c r="L429" s="1288"/>
      <c r="M429" s="1289">
        <f>+M430</f>
        <v>4322232</v>
      </c>
      <c r="N429" s="1289">
        <f>+N430</f>
        <v>4322232</v>
      </c>
      <c r="O429" s="3496"/>
    </row>
    <row r="430" spans="1:16" ht="13.5" thickBot="1">
      <c r="A430" s="3392"/>
      <c r="B430" s="1579" t="s">
        <v>20</v>
      </c>
      <c r="C430" s="3505"/>
      <c r="D430" s="1216">
        <f>E430+F430+G430+H430+I430+J430+K430+L430</f>
        <v>4322232</v>
      </c>
      <c r="E430" s="1262">
        <v>0</v>
      </c>
      <c r="F430" s="1245">
        <v>0</v>
      </c>
      <c r="G430" s="1300">
        <f>1456120-1019284-436836</f>
        <v>0</v>
      </c>
      <c r="H430" s="1300">
        <f>2479339+2149255-1884199</f>
        <v>2744395</v>
      </c>
      <c r="I430" s="1300">
        <v>1577837</v>
      </c>
      <c r="J430" s="1300"/>
      <c r="K430" s="1300"/>
      <c r="L430" s="1300"/>
      <c r="M430" s="1302">
        <f>SUM(F430:K430)</f>
        <v>4322232</v>
      </c>
      <c r="N430" s="1302">
        <f>SUM(G430:L430)</f>
        <v>4322232</v>
      </c>
      <c r="O430" s="3497"/>
      <c r="P430" s="2291"/>
    </row>
    <row r="431" spans="1:16" ht="12" customHeight="1" thickBot="1">
      <c r="A431" s="3393"/>
      <c r="B431" s="531" t="s">
        <v>21</v>
      </c>
      <c r="C431" s="1284"/>
      <c r="D431" s="1285">
        <f>+D432</f>
        <v>4322232</v>
      </c>
      <c r="E431" s="1285">
        <f t="shared" ref="E431:J432" si="265">+E432</f>
        <v>0</v>
      </c>
      <c r="F431" s="1580">
        <f t="shared" si="265"/>
        <v>0</v>
      </c>
      <c r="G431" s="1285">
        <f t="shared" si="265"/>
        <v>0</v>
      </c>
      <c r="H431" s="1285">
        <f t="shared" si="265"/>
        <v>864447</v>
      </c>
      <c r="I431" s="1285">
        <f t="shared" si="265"/>
        <v>2593339</v>
      </c>
      <c r="J431" s="1285">
        <f t="shared" si="265"/>
        <v>864446</v>
      </c>
      <c r="K431" s="1285"/>
      <c r="L431" s="1285"/>
      <c r="M431" s="3321" t="s">
        <v>22</v>
      </c>
      <c r="N431" s="3321" t="s">
        <v>22</v>
      </c>
      <c r="O431" s="3308" t="s">
        <v>94</v>
      </c>
    </row>
    <row r="432" spans="1:16" s="3183" customFormat="1" ht="12.75" customHeight="1" thickBot="1">
      <c r="A432" s="3393"/>
      <c r="B432" s="798" t="s">
        <v>18</v>
      </c>
      <c r="C432" s="3351" t="s">
        <v>77</v>
      </c>
      <c r="D432" s="1306">
        <f>+D433</f>
        <v>4322232</v>
      </c>
      <c r="E432" s="1313">
        <f t="shared" si="265"/>
        <v>0</v>
      </c>
      <c r="F432" s="1841">
        <f t="shared" si="265"/>
        <v>0</v>
      </c>
      <c r="G432" s="1313">
        <f t="shared" si="265"/>
        <v>0</v>
      </c>
      <c r="H432" s="1313">
        <f t="shared" si="265"/>
        <v>864447</v>
      </c>
      <c r="I432" s="1313">
        <f t="shared" si="265"/>
        <v>2593339</v>
      </c>
      <c r="J432" s="1313">
        <f t="shared" si="265"/>
        <v>864446</v>
      </c>
      <c r="K432" s="1306"/>
      <c r="L432" s="1306"/>
      <c r="M432" s="3322"/>
      <c r="N432" s="3322"/>
      <c r="O432" s="3309"/>
    </row>
    <row r="433" spans="1:16" ht="12" customHeight="1" thickBot="1">
      <c r="A433" s="3393"/>
      <c r="B433" s="663" t="s">
        <v>20</v>
      </c>
      <c r="C433" s="3353"/>
      <c r="D433" s="1382">
        <f>E433+F433+G433+H433+I433+J433+K433+L433</f>
        <v>4322232</v>
      </c>
      <c r="E433" s="1382">
        <v>0</v>
      </c>
      <c r="F433" s="1587">
        <v>0</v>
      </c>
      <c r="G433" s="1586">
        <v>0</v>
      </c>
      <c r="H433" s="1586">
        <f>2671398-1806951</f>
        <v>864447</v>
      </c>
      <c r="I433" s="1586">
        <f>1264061+1129971+199307</f>
        <v>2593339</v>
      </c>
      <c r="J433" s="1586">
        <v>864446</v>
      </c>
      <c r="K433" s="1586"/>
      <c r="L433" s="1586"/>
      <c r="M433" s="3323"/>
      <c r="N433" s="3323"/>
      <c r="O433" s="3310"/>
    </row>
    <row r="434" spans="1:16" ht="27.75" customHeight="1">
      <c r="A434" s="3528" t="s">
        <v>218</v>
      </c>
      <c r="B434" s="263" t="s">
        <v>668</v>
      </c>
      <c r="C434" s="56" t="s">
        <v>101</v>
      </c>
      <c r="D434" s="367"/>
      <c r="E434" s="2637"/>
      <c r="F434" s="2638"/>
      <c r="G434" s="2638"/>
      <c r="H434" s="2638"/>
      <c r="I434" s="2638"/>
      <c r="J434" s="2638"/>
      <c r="K434" s="2638"/>
      <c r="L434" s="41"/>
      <c r="M434" s="60"/>
      <c r="N434" s="60"/>
      <c r="O434" s="3335" t="s">
        <v>302</v>
      </c>
    </row>
    <row r="435" spans="1:16" ht="15.75" customHeight="1">
      <c r="A435" s="3529"/>
      <c r="B435" s="531" t="s">
        <v>10</v>
      </c>
      <c r="C435" s="426"/>
      <c r="D435" s="1800">
        <f>+D436+D441</f>
        <v>454666</v>
      </c>
      <c r="E435" s="1800">
        <f t="shared" ref="E435" si="266">+E436+E441</f>
        <v>48374</v>
      </c>
      <c r="F435" s="1800">
        <f>+F436+F441</f>
        <v>130976</v>
      </c>
      <c r="G435" s="1800">
        <f>+G436+G441</f>
        <v>167936</v>
      </c>
      <c r="H435" s="1800">
        <f>+H436+H441</f>
        <v>107380</v>
      </c>
      <c r="I435" s="1801">
        <v>0</v>
      </c>
      <c r="J435" s="1801">
        <v>0</v>
      </c>
      <c r="K435" s="1801">
        <v>0</v>
      </c>
      <c r="L435" s="1801">
        <v>0</v>
      </c>
      <c r="M435" s="1802">
        <f>+M436+M441</f>
        <v>406292</v>
      </c>
      <c r="N435" s="1802">
        <f>+N436+N441</f>
        <v>275316</v>
      </c>
      <c r="O435" s="3331"/>
    </row>
    <row r="436" spans="1:16" ht="12.75" customHeight="1">
      <c r="A436" s="3529"/>
      <c r="B436" s="508" t="s">
        <v>23</v>
      </c>
      <c r="C436" s="3344" t="s">
        <v>463</v>
      </c>
      <c r="D436" s="1803">
        <f>+D437</f>
        <v>70277</v>
      </c>
      <c r="E436" s="1803">
        <f t="shared" ref="E436" si="267">+E437</f>
        <v>7548</v>
      </c>
      <c r="F436" s="1803">
        <f>+F437</f>
        <v>19763</v>
      </c>
      <c r="G436" s="1803">
        <f>+G437</f>
        <v>25755</v>
      </c>
      <c r="H436" s="1803">
        <f>+H437</f>
        <v>17211</v>
      </c>
      <c r="I436" s="1804">
        <v>0</v>
      </c>
      <c r="J436" s="1804">
        <v>0</v>
      </c>
      <c r="K436" s="1804">
        <v>0</v>
      </c>
      <c r="L436" s="1804">
        <v>0</v>
      </c>
      <c r="M436" s="515">
        <f>M437</f>
        <v>62729</v>
      </c>
      <c r="N436" s="515">
        <f>N437</f>
        <v>42966</v>
      </c>
      <c r="O436" s="3331"/>
    </row>
    <row r="437" spans="1:16" ht="12.75" customHeight="1">
      <c r="A437" s="3529"/>
      <c r="B437" s="802" t="s">
        <v>12</v>
      </c>
      <c r="C437" s="3504"/>
      <c r="D437" s="773">
        <f>E437+F437+G437+H437+I437+J437+K437+L437</f>
        <v>70277</v>
      </c>
      <c r="E437" s="788">
        <f>+E439+E440</f>
        <v>7548</v>
      </c>
      <c r="F437" s="1818">
        <f>+F439+F440</f>
        <v>19763</v>
      </c>
      <c r="G437" s="1818">
        <f>+G439+G440</f>
        <v>25755</v>
      </c>
      <c r="H437" s="1818">
        <f>+H439+H440</f>
        <v>17211</v>
      </c>
      <c r="I437" s="1805">
        <v>0</v>
      </c>
      <c r="J437" s="1805">
        <v>0</v>
      </c>
      <c r="K437" s="1805">
        <v>0</v>
      </c>
      <c r="L437" s="1805">
        <v>0</v>
      </c>
      <c r="M437" s="796">
        <f>SUM(F437:L437)</f>
        <v>62729</v>
      </c>
      <c r="N437" s="796">
        <f>SUM(G437:L437)</f>
        <v>42966</v>
      </c>
      <c r="O437" s="3331"/>
    </row>
    <row r="438" spans="1:16" ht="12.75" hidden="1" customHeight="1">
      <c r="A438" s="3529"/>
      <c r="B438" s="802" t="s">
        <v>141</v>
      </c>
      <c r="C438" s="3504"/>
      <c r="D438" s="773"/>
      <c r="E438" s="541"/>
      <c r="F438" s="1818"/>
      <c r="G438" s="1818"/>
      <c r="H438" s="1818"/>
      <c r="I438" s="1805"/>
      <c r="J438" s="1805"/>
      <c r="K438" s="1805"/>
      <c r="L438" s="1805"/>
      <c r="M438" s="796"/>
      <c r="N438" s="796"/>
      <c r="O438" s="3331"/>
    </row>
    <row r="439" spans="1:16" ht="18" hidden="1" customHeight="1">
      <c r="A439" s="3529"/>
      <c r="B439" s="802" t="s">
        <v>102</v>
      </c>
      <c r="C439" s="3504"/>
      <c r="D439" s="773">
        <f>SUM(E439:H439)</f>
        <v>54138</v>
      </c>
      <c r="E439" s="1818">
        <v>3466</v>
      </c>
      <c r="F439" s="1818">
        <f>35747+1841-2300-20219</f>
        <v>15069</v>
      </c>
      <c r="G439" s="1818">
        <f>12993+600-951+20219-12550</f>
        <v>20311</v>
      </c>
      <c r="H439" s="1818">
        <f>2242+500+12550</f>
        <v>15292</v>
      </c>
      <c r="I439" s="1805"/>
      <c r="J439" s="1805"/>
      <c r="K439" s="1805"/>
      <c r="L439" s="1805"/>
      <c r="M439" s="796">
        <f>SUM(E439:G439)</f>
        <v>38846</v>
      </c>
      <c r="N439" s="796">
        <f>SUM(G439:H439)</f>
        <v>35603</v>
      </c>
      <c r="O439" s="3331"/>
    </row>
    <row r="440" spans="1:16" ht="18" hidden="1" customHeight="1">
      <c r="A440" s="3529"/>
      <c r="B440" s="802" t="s">
        <v>288</v>
      </c>
      <c r="C440" s="3504"/>
      <c r="D440" s="773">
        <f>SUM(E440:H440)</f>
        <v>16139</v>
      </c>
      <c r="E440" s="1818">
        <f>3291+791</f>
        <v>4082</v>
      </c>
      <c r="F440" s="1818">
        <f>4259+28+585-178</f>
        <v>4694</v>
      </c>
      <c r="G440" s="1818">
        <f>4315+951+178</f>
        <v>5444</v>
      </c>
      <c r="H440" s="1818">
        <f>995+924</f>
        <v>1919</v>
      </c>
      <c r="I440" s="1805"/>
      <c r="J440" s="1805"/>
      <c r="K440" s="1805"/>
      <c r="L440" s="1805"/>
      <c r="M440" s="796">
        <f>SUM(E440:G440)</f>
        <v>14220</v>
      </c>
      <c r="N440" s="796">
        <f>SUM(G440:H440)</f>
        <v>7363</v>
      </c>
      <c r="O440" s="3331"/>
    </row>
    <row r="441" spans="1:16" ht="12.75" customHeight="1">
      <c r="A441" s="3529"/>
      <c r="B441" s="798" t="s">
        <v>18</v>
      </c>
      <c r="C441" s="3504"/>
      <c r="D441" s="516">
        <f>+D442</f>
        <v>384389</v>
      </c>
      <c r="E441" s="516">
        <f t="shared" ref="E441" si="268">+E442</f>
        <v>40826</v>
      </c>
      <c r="F441" s="516">
        <f>+F442</f>
        <v>111213</v>
      </c>
      <c r="G441" s="516">
        <f>+G442</f>
        <v>142181</v>
      </c>
      <c r="H441" s="516">
        <f>+H442</f>
        <v>90169</v>
      </c>
      <c r="I441" s="799">
        <v>0</v>
      </c>
      <c r="J441" s="799">
        <v>0</v>
      </c>
      <c r="K441" s="799">
        <v>0</v>
      </c>
      <c r="L441" s="799">
        <v>0</v>
      </c>
      <c r="M441" s="515">
        <f>+M442</f>
        <v>343563</v>
      </c>
      <c r="N441" s="515">
        <f>+N442</f>
        <v>232350</v>
      </c>
      <c r="O441" s="3331"/>
    </row>
    <row r="442" spans="1:16" ht="12.75" customHeight="1">
      <c r="A442" s="3529"/>
      <c r="B442" s="2112" t="s">
        <v>20</v>
      </c>
      <c r="C442" s="3505"/>
      <c r="D442" s="773">
        <f>E442+F442+G442+H442+I442+J442+K442+L442</f>
        <v>384389</v>
      </c>
      <c r="E442" s="788">
        <f>+E444+E445</f>
        <v>40826</v>
      </c>
      <c r="F442" s="1818">
        <f>+F444+F445</f>
        <v>111213</v>
      </c>
      <c r="G442" s="1818">
        <f>+G444+G445</f>
        <v>142181</v>
      </c>
      <c r="H442" s="1818">
        <f>+H444+H445</f>
        <v>90169</v>
      </c>
      <c r="I442" s="1805">
        <v>0</v>
      </c>
      <c r="J442" s="1805">
        <v>0</v>
      </c>
      <c r="K442" s="1805">
        <v>0</v>
      </c>
      <c r="L442" s="1805">
        <v>0</v>
      </c>
      <c r="M442" s="796">
        <f>SUM(F442:L442)</f>
        <v>343563</v>
      </c>
      <c r="N442" s="796">
        <f>SUM(G442:L442)</f>
        <v>232350</v>
      </c>
      <c r="O442" s="3336"/>
    </row>
    <row r="443" spans="1:16" ht="12.75" hidden="1" customHeight="1">
      <c r="A443" s="3529"/>
      <c r="B443" s="1848" t="s">
        <v>141</v>
      </c>
      <c r="C443" s="2939"/>
      <c r="D443" s="773"/>
      <c r="E443" s="541"/>
      <c r="F443" s="1818"/>
      <c r="G443" s="1818"/>
      <c r="H443" s="1818"/>
      <c r="I443" s="1805"/>
      <c r="J443" s="1805"/>
      <c r="K443" s="1805"/>
      <c r="L443" s="1805"/>
      <c r="M443" s="3199"/>
      <c r="N443" s="3199"/>
      <c r="O443" s="3200"/>
    </row>
    <row r="444" spans="1:16" ht="21" hidden="1" customHeight="1">
      <c r="A444" s="3529"/>
      <c r="B444" s="802" t="s">
        <v>102</v>
      </c>
      <c r="C444" s="1844"/>
      <c r="D444" s="773">
        <f>+F444+G444+H444+E444</f>
        <v>292933</v>
      </c>
      <c r="E444" s="1818">
        <v>17695</v>
      </c>
      <c r="F444" s="1818">
        <f>202561+4760-13035-109673</f>
        <v>84613</v>
      </c>
      <c r="G444" s="1818">
        <f>73627-5379+109673-66586</f>
        <v>111335</v>
      </c>
      <c r="H444" s="1818">
        <f>12704+66586</f>
        <v>79290</v>
      </c>
      <c r="I444" s="1805"/>
      <c r="J444" s="1805"/>
      <c r="K444" s="1805"/>
      <c r="L444" s="1805"/>
      <c r="M444" s="796">
        <f>SUM(E444:G444)</f>
        <v>213643</v>
      </c>
      <c r="N444" s="796">
        <f>SUM(G444:H444)</f>
        <v>190625</v>
      </c>
      <c r="O444" s="3200"/>
    </row>
    <row r="445" spans="1:16" ht="14.25" hidden="1" customHeight="1">
      <c r="A445" s="3529"/>
      <c r="B445" s="802" t="s">
        <v>288</v>
      </c>
      <c r="C445" s="1844"/>
      <c r="D445" s="773">
        <f>+F445+G445+H445+E445</f>
        <v>91456</v>
      </c>
      <c r="E445" s="1818">
        <f>18646+4485</f>
        <v>23131</v>
      </c>
      <c r="F445" s="1818">
        <f>24139+163+3315-1017</f>
        <v>26600</v>
      </c>
      <c r="G445" s="1818">
        <f>24450+5379+1017</f>
        <v>30846</v>
      </c>
      <c r="H445" s="1818">
        <f>5644+5235</f>
        <v>10879</v>
      </c>
      <c r="I445" s="1805"/>
      <c r="J445" s="1805"/>
      <c r="K445" s="1805"/>
      <c r="L445" s="1805"/>
      <c r="M445" s="796">
        <f>SUM(E445:G445)</f>
        <v>80577</v>
      </c>
      <c r="N445" s="796">
        <f>SUM(G445:H445)</f>
        <v>41725</v>
      </c>
      <c r="O445" s="3200"/>
    </row>
    <row r="446" spans="1:16" ht="15.75" customHeight="1">
      <c r="A446" s="3529"/>
      <c r="B446" s="531" t="s">
        <v>21</v>
      </c>
      <c r="C446" s="426"/>
      <c r="D446" s="573">
        <f>SUM(E446:L446)</f>
        <v>384389</v>
      </c>
      <c r="E446" s="573">
        <v>0</v>
      </c>
      <c r="F446" s="573">
        <f t="shared" ref="F446:I447" si="269">+F447</f>
        <v>45734</v>
      </c>
      <c r="G446" s="573">
        <f t="shared" si="269"/>
        <v>129745</v>
      </c>
      <c r="H446" s="573">
        <f t="shared" si="269"/>
        <v>208910</v>
      </c>
      <c r="I446" s="602">
        <f t="shared" si="269"/>
        <v>0</v>
      </c>
      <c r="J446" s="602">
        <v>0</v>
      </c>
      <c r="K446" s="602">
        <v>0</v>
      </c>
      <c r="L446" s="602">
        <v>0</v>
      </c>
      <c r="M446" s="3389" t="s">
        <v>22</v>
      </c>
      <c r="N446" s="3389" t="s">
        <v>22</v>
      </c>
      <c r="O446" s="3200"/>
    </row>
    <row r="447" spans="1:16" ht="12.75" customHeight="1">
      <c r="A447" s="3529"/>
      <c r="B447" s="798" t="s">
        <v>18</v>
      </c>
      <c r="C447" s="3344" t="s">
        <v>103</v>
      </c>
      <c r="D447" s="714">
        <f>+D448</f>
        <v>384389</v>
      </c>
      <c r="E447" s="714">
        <v>0</v>
      </c>
      <c r="F447" s="1843">
        <f t="shared" si="269"/>
        <v>45734</v>
      </c>
      <c r="G447" s="1843">
        <f t="shared" si="269"/>
        <v>129745</v>
      </c>
      <c r="H447" s="1843">
        <f t="shared" si="269"/>
        <v>208910</v>
      </c>
      <c r="I447" s="1845">
        <f t="shared" si="269"/>
        <v>0</v>
      </c>
      <c r="J447" s="546">
        <v>0</v>
      </c>
      <c r="K447" s="546">
        <v>0</v>
      </c>
      <c r="L447" s="546">
        <v>0</v>
      </c>
      <c r="M447" s="3322"/>
      <c r="N447" s="3322"/>
      <c r="O447" s="2932" t="s">
        <v>102</v>
      </c>
    </row>
    <row r="448" spans="1:16" ht="12" customHeight="1" thickBot="1">
      <c r="A448" s="3530"/>
      <c r="B448" s="663" t="s">
        <v>20</v>
      </c>
      <c r="C448" s="3353"/>
      <c r="D448" s="1666">
        <f>E448+F448+G448+H448+I448+J448+K448+L448</f>
        <v>384389</v>
      </c>
      <c r="E448" s="1666">
        <v>0</v>
      </c>
      <c r="F448" s="1586">
        <f>20632+7848+17417-163</f>
        <v>45734</v>
      </c>
      <c r="G448" s="1586">
        <f>133982+66898+38178-74283-35030</f>
        <v>129745</v>
      </c>
      <c r="H448" s="1586">
        <f>229775-109440-20901+74446+35030</f>
        <v>208910</v>
      </c>
      <c r="I448" s="1587">
        <f>34694-34694</f>
        <v>0</v>
      </c>
      <c r="J448" s="1587">
        <v>0</v>
      </c>
      <c r="K448" s="1587">
        <v>0</v>
      </c>
      <c r="L448" s="1587">
        <v>0</v>
      </c>
      <c r="M448" s="3323"/>
      <c r="N448" s="3323"/>
      <c r="O448" s="3201"/>
      <c r="P448" s="2291">
        <f>D448-D442</f>
        <v>0</v>
      </c>
    </row>
    <row r="449" spans="1:16" ht="27.75" customHeight="1">
      <c r="A449" s="2573"/>
      <c r="B449" s="263" t="s">
        <v>669</v>
      </c>
      <c r="C449" s="56" t="s">
        <v>101</v>
      </c>
      <c r="D449" s="2639"/>
      <c r="E449" s="2637"/>
      <c r="F449" s="2638"/>
      <c r="G449" s="2638"/>
      <c r="H449" s="2638"/>
      <c r="I449" s="2638"/>
      <c r="J449" s="2638"/>
      <c r="K449" s="2638"/>
      <c r="L449" s="41"/>
      <c r="M449" s="60"/>
      <c r="N449" s="60"/>
      <c r="O449" s="2932"/>
    </row>
    <row r="450" spans="1:16" ht="15.75" customHeight="1">
      <c r="A450" s="2573"/>
      <c r="B450" s="531" t="s">
        <v>10</v>
      </c>
      <c r="C450" s="601"/>
      <c r="D450" s="1800">
        <f>+F450+G450+H450+I450</f>
        <v>489921</v>
      </c>
      <c r="E450" s="1800">
        <f>+E451+E456</f>
        <v>0</v>
      </c>
      <c r="F450" s="1800">
        <f>+F451+F456</f>
        <v>19734</v>
      </c>
      <c r="G450" s="1800">
        <f t="shared" ref="G450:I450" si="270">+G451+G456</f>
        <v>220024</v>
      </c>
      <c r="H450" s="1800">
        <f t="shared" si="270"/>
        <v>167991</v>
      </c>
      <c r="I450" s="1800">
        <f t="shared" si="270"/>
        <v>82172</v>
      </c>
      <c r="J450" s="1801">
        <v>0</v>
      </c>
      <c r="K450" s="1801">
        <v>0</v>
      </c>
      <c r="L450" s="1801">
        <v>0</v>
      </c>
      <c r="M450" s="1222">
        <f>+M451+M456</f>
        <v>489921</v>
      </c>
      <c r="N450" s="1222">
        <f>+N451+N456</f>
        <v>470187</v>
      </c>
      <c r="O450" s="2932"/>
    </row>
    <row r="451" spans="1:16" ht="12.75" customHeight="1">
      <c r="A451" s="2573"/>
      <c r="B451" s="508" t="s">
        <v>23</v>
      </c>
      <c r="C451" s="3351" t="s">
        <v>463</v>
      </c>
      <c r="D451" s="1310">
        <f t="shared" ref="D451:D455" si="271">+F451+G451+H451+I451</f>
        <v>75188</v>
      </c>
      <c r="E451" s="1310">
        <f>+E452</f>
        <v>0</v>
      </c>
      <c r="F451" s="1310">
        <f>+F452</f>
        <v>2988</v>
      </c>
      <c r="G451" s="1310">
        <f t="shared" ref="G451:I451" si="272">+G452</f>
        <v>33825</v>
      </c>
      <c r="H451" s="1310">
        <f t="shared" si="272"/>
        <v>25709</v>
      </c>
      <c r="I451" s="1310">
        <f t="shared" si="272"/>
        <v>12666</v>
      </c>
      <c r="J451" s="1312">
        <v>0</v>
      </c>
      <c r="K451" s="1312">
        <v>0</v>
      </c>
      <c r="L451" s="1312">
        <v>0</v>
      </c>
      <c r="M451" s="1289">
        <f>+M452</f>
        <v>75188</v>
      </c>
      <c r="N451" s="1289">
        <f>+N452</f>
        <v>72200</v>
      </c>
      <c r="O451" s="2932"/>
    </row>
    <row r="452" spans="1:16" ht="12.75" customHeight="1">
      <c r="A452" s="2573" t="s">
        <v>277</v>
      </c>
      <c r="B452" s="802" t="s">
        <v>12</v>
      </c>
      <c r="C452" s="3504"/>
      <c r="D452" s="773">
        <f>E452+F452+G452+H452+I452+J452+K452+L452</f>
        <v>75188</v>
      </c>
      <c r="E452" s="1262">
        <v>0</v>
      </c>
      <c r="F452" s="1300">
        <f>+F453</f>
        <v>2988</v>
      </c>
      <c r="G452" s="1300">
        <f t="shared" ref="G452:I452" si="273">+G453</f>
        <v>33825</v>
      </c>
      <c r="H452" s="1300">
        <f t="shared" si="273"/>
        <v>25709</v>
      </c>
      <c r="I452" s="1300">
        <f t="shared" si="273"/>
        <v>12666</v>
      </c>
      <c r="J452" s="1245">
        <v>0</v>
      </c>
      <c r="K452" s="1245">
        <v>0</v>
      </c>
      <c r="L452" s="1245">
        <v>0</v>
      </c>
      <c r="M452" s="1302">
        <f>SUM(F452:K452)</f>
        <v>75188</v>
      </c>
      <c r="N452" s="1302">
        <f>SUM(G452:L452)</f>
        <v>72200</v>
      </c>
      <c r="O452" s="2932" t="s">
        <v>302</v>
      </c>
    </row>
    <row r="453" spans="1:16" ht="12.75" hidden="1" customHeight="1">
      <c r="A453" s="2573"/>
      <c r="B453" s="802" t="s">
        <v>141</v>
      </c>
      <c r="C453" s="3504"/>
      <c r="D453" s="1300">
        <f t="shared" si="271"/>
        <v>75188</v>
      </c>
      <c r="E453" s="1842">
        <v>0</v>
      </c>
      <c r="F453" s="1300">
        <f>+F454+F455</f>
        <v>2988</v>
      </c>
      <c r="G453" s="1300">
        <f t="shared" ref="G453:I453" si="274">+G454+G455</f>
        <v>33825</v>
      </c>
      <c r="H453" s="1300">
        <f t="shared" si="274"/>
        <v>25709</v>
      </c>
      <c r="I453" s="1300">
        <f t="shared" si="274"/>
        <v>12666</v>
      </c>
      <c r="J453" s="1245">
        <v>0</v>
      </c>
      <c r="K453" s="1245">
        <v>0</v>
      </c>
      <c r="L453" s="1245">
        <v>0</v>
      </c>
      <c r="M453" s="1302">
        <f t="shared" ref="M453:M455" si="275">+H453+G453+F453+E453</f>
        <v>62522</v>
      </c>
      <c r="N453" s="1302">
        <f>G453+H453+I453</f>
        <v>72200</v>
      </c>
      <c r="O453" s="2932"/>
    </row>
    <row r="454" spans="1:16" ht="12.75" hidden="1" customHeight="1">
      <c r="A454" s="2573"/>
      <c r="B454" s="802" t="s">
        <v>102</v>
      </c>
      <c r="C454" s="3504"/>
      <c r="D454" s="1300">
        <f t="shared" si="271"/>
        <v>61857</v>
      </c>
      <c r="E454" s="1842">
        <v>0</v>
      </c>
      <c r="F454" s="1300">
        <f>10714-1427-8380</f>
        <v>907</v>
      </c>
      <c r="G454" s="1300">
        <f>21623-548+8380</f>
        <v>29455</v>
      </c>
      <c r="H454" s="1300">
        <f>21679-604</f>
        <v>21075</v>
      </c>
      <c r="I454" s="1300">
        <f>10713-293</f>
        <v>10420</v>
      </c>
      <c r="J454" s="1245">
        <v>0</v>
      </c>
      <c r="K454" s="1245">
        <v>0</v>
      </c>
      <c r="L454" s="1245">
        <v>0</v>
      </c>
      <c r="M454" s="1302">
        <f t="shared" si="275"/>
        <v>51437</v>
      </c>
      <c r="N454" s="1302">
        <f>G454+H454+I454</f>
        <v>60950</v>
      </c>
      <c r="O454" s="2932"/>
    </row>
    <row r="455" spans="1:16" ht="12.75" hidden="1" customHeight="1">
      <c r="A455" s="2573"/>
      <c r="B455" s="802" t="s">
        <v>288</v>
      </c>
      <c r="C455" s="3504"/>
      <c r="D455" s="1300">
        <f t="shared" si="271"/>
        <v>13331</v>
      </c>
      <c r="E455" s="1842">
        <v>0</v>
      </c>
      <c r="F455" s="1300">
        <f>1959+294-172</f>
        <v>2081</v>
      </c>
      <c r="G455" s="1300">
        <f>3650+548+172</f>
        <v>4370</v>
      </c>
      <c r="H455" s="1300">
        <f>4030+604</f>
        <v>4634</v>
      </c>
      <c r="I455" s="1300">
        <f>1953+293</f>
        <v>2246</v>
      </c>
      <c r="J455" s="1245">
        <v>0</v>
      </c>
      <c r="K455" s="1245">
        <v>0</v>
      </c>
      <c r="L455" s="1245">
        <v>0</v>
      </c>
      <c r="M455" s="1302">
        <f t="shared" si="275"/>
        <v>11085</v>
      </c>
      <c r="N455" s="1302">
        <f>G455+H455+I455</f>
        <v>11250</v>
      </c>
      <c r="O455" s="2932"/>
    </row>
    <row r="456" spans="1:16" ht="12.75" customHeight="1">
      <c r="A456" s="2573"/>
      <c r="B456" s="798" t="s">
        <v>18</v>
      </c>
      <c r="C456" s="3504"/>
      <c r="D456" s="1288">
        <f>+E456+F456+G456+H456+I456+J456+K456+L456</f>
        <v>414733</v>
      </c>
      <c r="E456" s="1288">
        <f>+E457</f>
        <v>0</v>
      </c>
      <c r="F456" s="1288">
        <f>+F457</f>
        <v>16746</v>
      </c>
      <c r="G456" s="1288">
        <f t="shared" ref="G456:I456" si="276">+G457</f>
        <v>186199</v>
      </c>
      <c r="H456" s="1288">
        <f t="shared" si="276"/>
        <v>142282</v>
      </c>
      <c r="I456" s="1288">
        <f t="shared" si="276"/>
        <v>69506</v>
      </c>
      <c r="J456" s="1578">
        <v>0</v>
      </c>
      <c r="K456" s="1578">
        <v>0</v>
      </c>
      <c r="L456" s="1578">
        <v>0</v>
      </c>
      <c r="M456" s="1289">
        <f>+M457</f>
        <v>414733</v>
      </c>
      <c r="N456" s="1289">
        <f>+N457</f>
        <v>397987</v>
      </c>
      <c r="O456" s="2932"/>
    </row>
    <row r="457" spans="1:16" ht="12.75" customHeight="1">
      <c r="A457" s="2573"/>
      <c r="B457" s="2112" t="s">
        <v>20</v>
      </c>
      <c r="C457" s="3505"/>
      <c r="D457" s="773">
        <f>E457+F457+G457+H457+I457+J457+K457+L457</f>
        <v>414733</v>
      </c>
      <c r="E457" s="1262">
        <v>0</v>
      </c>
      <c r="F457" s="1300">
        <f>+F458</f>
        <v>16746</v>
      </c>
      <c r="G457" s="1300">
        <f t="shared" ref="G457:I457" si="277">+G458</f>
        <v>186199</v>
      </c>
      <c r="H457" s="1300">
        <f t="shared" si="277"/>
        <v>142282</v>
      </c>
      <c r="I457" s="1300">
        <f t="shared" si="277"/>
        <v>69506</v>
      </c>
      <c r="J457" s="1245">
        <v>0</v>
      </c>
      <c r="K457" s="1245">
        <v>0</v>
      </c>
      <c r="L457" s="1245">
        <v>0</v>
      </c>
      <c r="M457" s="1302">
        <f>SUM(F457:K457)</f>
        <v>414733</v>
      </c>
      <c r="N457" s="1302">
        <f>SUM(G457:L457)</f>
        <v>397987</v>
      </c>
      <c r="O457" s="2940"/>
      <c r="P457" s="2291">
        <f>+F454+F459</f>
        <v>5859</v>
      </c>
    </row>
    <row r="458" spans="1:16" ht="12.75" hidden="1" customHeight="1">
      <c r="A458" s="2573"/>
      <c r="B458" s="1848" t="s">
        <v>141</v>
      </c>
      <c r="C458" s="2939"/>
      <c r="D458" s="773">
        <f t="shared" ref="D458:D460" si="278">E458+F458+G458+H458+I458+J458+K458+L458</f>
        <v>414733</v>
      </c>
      <c r="E458" s="1842">
        <v>0</v>
      </c>
      <c r="F458" s="1300">
        <f>+F459+F460</f>
        <v>16746</v>
      </c>
      <c r="G458" s="1300">
        <f>+G459+G460</f>
        <v>186199</v>
      </c>
      <c r="H458" s="1300">
        <f>+H459+H460</f>
        <v>142282</v>
      </c>
      <c r="I458" s="1300">
        <f>+I459+I460</f>
        <v>69506</v>
      </c>
      <c r="J458" s="1245">
        <v>0</v>
      </c>
      <c r="K458" s="1245">
        <v>0</v>
      </c>
      <c r="L458" s="1245">
        <v>0</v>
      </c>
      <c r="M458" s="1300">
        <f t="shared" ref="M458:N460" si="279">+H458+G458+F458+E458</f>
        <v>345227</v>
      </c>
      <c r="N458" s="1300">
        <f t="shared" si="279"/>
        <v>414733</v>
      </c>
      <c r="O458" s="2932"/>
    </row>
    <row r="459" spans="1:16" ht="12.75" hidden="1" customHeight="1">
      <c r="A459" s="2573"/>
      <c r="B459" s="802" t="s">
        <v>102</v>
      </c>
      <c r="C459" s="1844"/>
      <c r="D459" s="773">
        <f t="shared" si="278"/>
        <v>339192</v>
      </c>
      <c r="E459" s="1842">
        <v>0</v>
      </c>
      <c r="F459" s="1300">
        <f>58446-8085-45409</f>
        <v>4952</v>
      </c>
      <c r="G459" s="1300">
        <f>119128-3103+45409</f>
        <v>161434</v>
      </c>
      <c r="H459" s="1300">
        <f>119450-3425</f>
        <v>116025</v>
      </c>
      <c r="I459" s="1300">
        <f>58441-1660</f>
        <v>56781</v>
      </c>
      <c r="J459" s="1245">
        <v>0</v>
      </c>
      <c r="K459" s="1245">
        <v>0</v>
      </c>
      <c r="L459" s="1245">
        <v>0</v>
      </c>
      <c r="M459" s="1300">
        <f t="shared" si="279"/>
        <v>282411</v>
      </c>
      <c r="N459" s="1300">
        <f t="shared" si="279"/>
        <v>339192</v>
      </c>
      <c r="O459" s="2932"/>
    </row>
    <row r="460" spans="1:16" ht="12" hidden="1" customHeight="1">
      <c r="A460" s="2573"/>
      <c r="B460" s="802" t="s">
        <v>288</v>
      </c>
      <c r="C460" s="1844"/>
      <c r="D460" s="773">
        <f t="shared" si="278"/>
        <v>75541</v>
      </c>
      <c r="E460" s="1842">
        <v>0</v>
      </c>
      <c r="F460" s="1300">
        <f>11101+1665-972</f>
        <v>11794</v>
      </c>
      <c r="G460" s="1300">
        <f>20690+3103+972</f>
        <v>24765</v>
      </c>
      <c r="H460" s="1300">
        <f>22832+3425</f>
        <v>26257</v>
      </c>
      <c r="I460" s="1300">
        <f>11065+1660</f>
        <v>12725</v>
      </c>
      <c r="J460" s="1245">
        <v>0</v>
      </c>
      <c r="K460" s="1245">
        <v>0</v>
      </c>
      <c r="L460" s="1245">
        <v>0</v>
      </c>
      <c r="M460" s="1300">
        <f t="shared" si="279"/>
        <v>62816</v>
      </c>
      <c r="N460" s="1300">
        <f t="shared" si="279"/>
        <v>75541</v>
      </c>
      <c r="O460" s="2932"/>
    </row>
    <row r="461" spans="1:16" ht="15.75" customHeight="1">
      <c r="A461" s="2573"/>
      <c r="B461" s="531" t="s">
        <v>21</v>
      </c>
      <c r="C461" s="1284"/>
      <c r="D461" s="1285">
        <f>+D462</f>
        <v>414733</v>
      </c>
      <c r="E461" s="1285">
        <f>+E462</f>
        <v>0</v>
      </c>
      <c r="F461" s="1580">
        <v>0</v>
      </c>
      <c r="G461" s="1285">
        <f>+G462</f>
        <v>94329</v>
      </c>
      <c r="H461" s="1285">
        <f t="shared" ref="H461:I461" si="280">+H462</f>
        <v>167900</v>
      </c>
      <c r="I461" s="1285">
        <f t="shared" si="280"/>
        <v>152504</v>
      </c>
      <c r="J461" s="1580">
        <v>0</v>
      </c>
      <c r="K461" s="1580">
        <v>0</v>
      </c>
      <c r="L461" s="1580">
        <v>0</v>
      </c>
      <c r="M461" s="3321" t="s">
        <v>22</v>
      </c>
      <c r="N461" s="3321" t="s">
        <v>22</v>
      </c>
      <c r="O461" s="2932"/>
    </row>
    <row r="462" spans="1:16" ht="12.75" customHeight="1">
      <c r="A462" s="2573"/>
      <c r="B462" s="798" t="s">
        <v>18</v>
      </c>
      <c r="C462" s="3351" t="s">
        <v>462</v>
      </c>
      <c r="D462" s="1306">
        <f>+D463</f>
        <v>414733</v>
      </c>
      <c r="E462" s="1313">
        <f>+E463</f>
        <v>0</v>
      </c>
      <c r="F462" s="1841">
        <v>0</v>
      </c>
      <c r="G462" s="1313">
        <f>+G463</f>
        <v>94329</v>
      </c>
      <c r="H462" s="1313">
        <f t="shared" ref="H462:I462" si="281">+H463</f>
        <v>167900</v>
      </c>
      <c r="I462" s="1313">
        <f t="shared" si="281"/>
        <v>152504</v>
      </c>
      <c r="J462" s="1581">
        <v>0</v>
      </c>
      <c r="K462" s="1581">
        <v>0</v>
      </c>
      <c r="L462" s="1581">
        <v>0</v>
      </c>
      <c r="M462" s="3322"/>
      <c r="N462" s="3322"/>
      <c r="O462" s="2932" t="s">
        <v>102</v>
      </c>
    </row>
    <row r="463" spans="1:16" ht="12.75" customHeight="1" thickBot="1">
      <c r="A463" s="2574"/>
      <c r="B463" s="663" t="s">
        <v>20</v>
      </c>
      <c r="C463" s="3353"/>
      <c r="D463" s="1570">
        <f>E463+F463+G463+H463+I463+J463+K463+L463</f>
        <v>414733</v>
      </c>
      <c r="E463" s="1570">
        <v>0</v>
      </c>
      <c r="F463" s="1587">
        <v>0</v>
      </c>
      <c r="G463" s="1846">
        <f>127804-6420-27055</f>
        <v>94329</v>
      </c>
      <c r="H463" s="1846">
        <f>140845+27055</f>
        <v>167900</v>
      </c>
      <c r="I463" s="1847">
        <v>152504</v>
      </c>
      <c r="J463" s="1587">
        <v>0</v>
      </c>
      <c r="K463" s="1587">
        <v>0</v>
      </c>
      <c r="L463" s="1587">
        <v>0</v>
      </c>
      <c r="M463" s="3323"/>
      <c r="N463" s="3323"/>
      <c r="O463" s="2933"/>
    </row>
    <row r="464" spans="1:16" ht="26.25" hidden="1" customHeight="1">
      <c r="A464" s="3327" t="s">
        <v>262</v>
      </c>
      <c r="B464" s="124" t="s">
        <v>95</v>
      </c>
      <c r="C464" s="715"/>
      <c r="D464" s="716"/>
      <c r="E464" s="718"/>
      <c r="F464" s="718"/>
      <c r="G464" s="718"/>
      <c r="H464" s="718"/>
      <c r="I464" s="718"/>
      <c r="J464" s="718"/>
      <c r="K464" s="718"/>
      <c r="L464" s="718"/>
      <c r="M464" s="719"/>
      <c r="N464" s="719"/>
      <c r="O464" s="3520"/>
    </row>
    <row r="465" spans="1:17" ht="12" hidden="1" customHeight="1">
      <c r="A465" s="3328"/>
      <c r="B465" s="21" t="s">
        <v>10</v>
      </c>
      <c r="C465" s="22"/>
      <c r="D465" s="125">
        <f>+D466+D470</f>
        <v>0</v>
      </c>
      <c r="E465" s="125">
        <f>+E466+E470</f>
        <v>0</v>
      </c>
      <c r="F465" s="125">
        <f t="shared" ref="F465:G465" si="282">+F466+F470</f>
        <v>0</v>
      </c>
      <c r="G465" s="125">
        <f t="shared" si="282"/>
        <v>0</v>
      </c>
      <c r="H465" s="125">
        <f t="shared" ref="H465:N465" si="283">+H466+H470</f>
        <v>0</v>
      </c>
      <c r="I465" s="125">
        <f t="shared" si="283"/>
        <v>0</v>
      </c>
      <c r="J465" s="125">
        <f t="shared" si="283"/>
        <v>0</v>
      </c>
      <c r="K465" s="125">
        <f t="shared" si="283"/>
        <v>0</v>
      </c>
      <c r="L465" s="125">
        <f t="shared" si="283"/>
        <v>0</v>
      </c>
      <c r="M465" s="30">
        <f t="shared" ref="M465" si="284">+M466+M470</f>
        <v>0</v>
      </c>
      <c r="N465" s="30">
        <f t="shared" si="283"/>
        <v>0</v>
      </c>
      <c r="O465" s="3521"/>
      <c r="P465" s="2291" t="e">
        <f>+#REF!+#REF!</f>
        <v>#REF!</v>
      </c>
      <c r="Q465" s="2291"/>
    </row>
    <row r="466" spans="1:17" s="678" customFormat="1" ht="12" hidden="1" customHeight="1">
      <c r="A466" s="3328"/>
      <c r="B466" s="720" t="s">
        <v>11</v>
      </c>
      <c r="C466" s="721"/>
      <c r="D466" s="117">
        <f>+D467+D468+D469</f>
        <v>0</v>
      </c>
      <c r="E466" s="117">
        <f>+E467+E468+E469</f>
        <v>0</v>
      </c>
      <c r="F466" s="117">
        <f t="shared" ref="F466:G466" si="285">+F467+F468+F469</f>
        <v>0</v>
      </c>
      <c r="G466" s="117">
        <f t="shared" si="285"/>
        <v>0</v>
      </c>
      <c r="H466" s="117">
        <f t="shared" ref="H466:N466" si="286">+H467+H468+H469</f>
        <v>0</v>
      </c>
      <c r="I466" s="117">
        <f t="shared" si="286"/>
        <v>0</v>
      </c>
      <c r="J466" s="117">
        <f t="shared" si="286"/>
        <v>0</v>
      </c>
      <c r="K466" s="117">
        <f t="shared" si="286"/>
        <v>0</v>
      </c>
      <c r="L466" s="117">
        <f t="shared" si="286"/>
        <v>0</v>
      </c>
      <c r="M466" s="32">
        <f t="shared" ref="M466" si="287">+M467+M468+M469</f>
        <v>0</v>
      </c>
      <c r="N466" s="32">
        <f t="shared" si="286"/>
        <v>0</v>
      </c>
      <c r="O466" s="3521"/>
      <c r="Q466" s="2291"/>
    </row>
    <row r="467" spans="1:17" ht="12" hidden="1" customHeight="1">
      <c r="A467" s="3328"/>
      <c r="B467" s="722" t="s">
        <v>12</v>
      </c>
      <c r="C467" s="723"/>
      <c r="D467" s="33">
        <f>+D483+D501</f>
        <v>0</v>
      </c>
      <c r="E467" s="33">
        <f>+E483+E501</f>
        <v>0</v>
      </c>
      <c r="F467" s="33">
        <f t="shared" ref="F467:G467" si="288">+F483+F501</f>
        <v>0</v>
      </c>
      <c r="G467" s="33">
        <f t="shared" si="288"/>
        <v>0</v>
      </c>
      <c r="H467" s="33">
        <f>+H483+H501</f>
        <v>0</v>
      </c>
      <c r="I467" s="33">
        <f>+I483+I501</f>
        <v>0</v>
      </c>
      <c r="J467" s="33">
        <f>+J483+J501</f>
        <v>0</v>
      </c>
      <c r="K467" s="33">
        <f>+K483+K501</f>
        <v>0</v>
      </c>
      <c r="L467" s="33">
        <f>+L483+L501</f>
        <v>0</v>
      </c>
      <c r="M467" s="34">
        <f t="shared" ref="M467:N469" si="289">SUM(E467:H467)</f>
        <v>0</v>
      </c>
      <c r="N467" s="34">
        <f t="shared" si="289"/>
        <v>0</v>
      </c>
      <c r="O467" s="3521"/>
      <c r="P467" s="2291"/>
      <c r="Q467" s="2291"/>
    </row>
    <row r="468" spans="1:17" ht="12" hidden="1" customHeight="1">
      <c r="A468" s="3328"/>
      <c r="B468" s="690" t="s">
        <v>70</v>
      </c>
      <c r="C468" s="691"/>
      <c r="D468" s="33">
        <f>+D484</f>
        <v>0</v>
      </c>
      <c r="E468" s="33">
        <f>+E484</f>
        <v>0</v>
      </c>
      <c r="F468" s="33">
        <f t="shared" ref="F468:G469" si="290">+F484</f>
        <v>0</v>
      </c>
      <c r="G468" s="33">
        <f t="shared" si="290"/>
        <v>0</v>
      </c>
      <c r="H468" s="33">
        <f t="shared" ref="H468:L469" si="291">+H484</f>
        <v>0</v>
      </c>
      <c r="I468" s="33">
        <f t="shared" si="291"/>
        <v>0</v>
      </c>
      <c r="J468" s="33">
        <f t="shared" si="291"/>
        <v>0</v>
      </c>
      <c r="K468" s="33">
        <f t="shared" si="291"/>
        <v>0</v>
      </c>
      <c r="L468" s="33">
        <f t="shared" si="291"/>
        <v>0</v>
      </c>
      <c r="M468" s="34">
        <f t="shared" si="289"/>
        <v>0</v>
      </c>
      <c r="N468" s="34">
        <f t="shared" si="289"/>
        <v>0</v>
      </c>
      <c r="O468" s="3521"/>
      <c r="Q468" s="2291"/>
    </row>
    <row r="469" spans="1:17" ht="12" hidden="1" customHeight="1">
      <c r="A469" s="3328"/>
      <c r="B469" s="724" t="s">
        <v>50</v>
      </c>
      <c r="C469" s="725"/>
      <c r="D469" s="33">
        <f>+D485</f>
        <v>0</v>
      </c>
      <c r="E469" s="33">
        <f>+E485</f>
        <v>0</v>
      </c>
      <c r="F469" s="33">
        <f t="shared" si="290"/>
        <v>0</v>
      </c>
      <c r="G469" s="33">
        <f t="shared" si="290"/>
        <v>0</v>
      </c>
      <c r="H469" s="33">
        <f t="shared" si="291"/>
        <v>0</v>
      </c>
      <c r="I469" s="33">
        <f t="shared" si="291"/>
        <v>0</v>
      </c>
      <c r="J469" s="33">
        <f t="shared" si="291"/>
        <v>0</v>
      </c>
      <c r="K469" s="33">
        <f t="shared" si="291"/>
        <v>0</v>
      </c>
      <c r="L469" s="33">
        <f t="shared" si="291"/>
        <v>0</v>
      </c>
      <c r="M469" s="34">
        <f t="shared" si="289"/>
        <v>0</v>
      </c>
      <c r="N469" s="34">
        <f t="shared" si="289"/>
        <v>0</v>
      </c>
      <c r="O469" s="3521"/>
      <c r="P469" s="2291"/>
      <c r="Q469" s="2291"/>
    </row>
    <row r="470" spans="1:17" s="727" customFormat="1" ht="12" hidden="1" customHeight="1">
      <c r="A470" s="3328"/>
      <c r="B470" s="693" t="s">
        <v>18</v>
      </c>
      <c r="C470" s="726"/>
      <c r="D470" s="31">
        <f>+D471+D472</f>
        <v>0</v>
      </c>
      <c r="E470" s="31">
        <f>+E471+E472</f>
        <v>0</v>
      </c>
      <c r="F470" s="31">
        <f t="shared" ref="F470:G470" si="292">+F471+F472</f>
        <v>0</v>
      </c>
      <c r="G470" s="31">
        <f t="shared" si="292"/>
        <v>0</v>
      </c>
      <c r="H470" s="31">
        <f t="shared" ref="H470:N470" si="293">+H471+H472</f>
        <v>0</v>
      </c>
      <c r="I470" s="31">
        <f t="shared" si="293"/>
        <v>0</v>
      </c>
      <c r="J470" s="31">
        <f t="shared" si="293"/>
        <v>0</v>
      </c>
      <c r="K470" s="31">
        <f t="shared" si="293"/>
        <v>0</v>
      </c>
      <c r="L470" s="31">
        <f t="shared" si="293"/>
        <v>0</v>
      </c>
      <c r="M470" s="126">
        <f t="shared" ref="M470" si="294">+M471+M472</f>
        <v>0</v>
      </c>
      <c r="N470" s="126">
        <f t="shared" si="293"/>
        <v>0</v>
      </c>
      <c r="O470" s="3521"/>
      <c r="P470" s="677"/>
      <c r="Q470" s="677"/>
    </row>
    <row r="471" spans="1:17" ht="12" hidden="1" customHeight="1">
      <c r="A471" s="3328"/>
      <c r="B471" s="694" t="s">
        <v>20</v>
      </c>
      <c r="C471" s="725"/>
      <c r="D471" s="33">
        <f>+D487+D503</f>
        <v>0</v>
      </c>
      <c r="E471" s="33">
        <f>+E487+E503</f>
        <v>0</v>
      </c>
      <c r="F471" s="33">
        <f t="shared" ref="F471:G471" si="295">+F487+F503</f>
        <v>0</v>
      </c>
      <c r="G471" s="33">
        <f t="shared" si="295"/>
        <v>0</v>
      </c>
      <c r="H471" s="33">
        <f>+H487+H503</f>
        <v>0</v>
      </c>
      <c r="I471" s="33">
        <f>+I487+I503</f>
        <v>0</v>
      </c>
      <c r="J471" s="33">
        <f>+J487+J503</f>
        <v>0</v>
      </c>
      <c r="K471" s="33">
        <f>+K487+K503</f>
        <v>0</v>
      </c>
      <c r="L471" s="33">
        <f>+L487+L503</f>
        <v>0</v>
      </c>
      <c r="M471" s="34">
        <f>SUM(E471:H471)</f>
        <v>0</v>
      </c>
      <c r="N471" s="34">
        <f>SUM(F471:I471)</f>
        <v>0</v>
      </c>
      <c r="O471" s="3521"/>
      <c r="P471" s="2291"/>
      <c r="Q471" s="2291"/>
    </row>
    <row r="472" spans="1:17" ht="12" hidden="1" customHeight="1">
      <c r="A472" s="3328"/>
      <c r="B472" s="694" t="s">
        <v>71</v>
      </c>
      <c r="C472" s="725"/>
      <c r="D472" s="33">
        <f>+D488</f>
        <v>0</v>
      </c>
      <c r="E472" s="33">
        <f>+E488</f>
        <v>0</v>
      </c>
      <c r="F472" s="33">
        <f t="shared" ref="F472:G472" si="296">+F488</f>
        <v>0</v>
      </c>
      <c r="G472" s="33">
        <f t="shared" si="296"/>
        <v>0</v>
      </c>
      <c r="H472" s="33">
        <f>+H488</f>
        <v>0</v>
      </c>
      <c r="I472" s="33">
        <f>+I488</f>
        <v>0</v>
      </c>
      <c r="J472" s="33">
        <f>+J488</f>
        <v>0</v>
      </c>
      <c r="K472" s="33">
        <f>+K488</f>
        <v>0</v>
      </c>
      <c r="L472" s="33">
        <f>+L488</f>
        <v>0</v>
      </c>
      <c r="M472" s="34">
        <f>SUM(E472:H472)</f>
        <v>0</v>
      </c>
      <c r="N472" s="34">
        <f>SUM(F472:I472)</f>
        <v>0</v>
      </c>
      <c r="O472" s="3521"/>
      <c r="P472" s="2291"/>
      <c r="Q472" s="2291"/>
    </row>
    <row r="473" spans="1:17" ht="12" hidden="1" customHeight="1">
      <c r="A473" s="3328"/>
      <c r="B473" s="21" t="s">
        <v>21</v>
      </c>
      <c r="C473" s="22"/>
      <c r="D473" s="192">
        <f>+D474+D477</f>
        <v>0</v>
      </c>
      <c r="E473" s="192">
        <f>+E474+E477</f>
        <v>0</v>
      </c>
      <c r="F473" s="192">
        <f t="shared" ref="F473:G473" si="297">+F474+F477</f>
        <v>0</v>
      </c>
      <c r="G473" s="192">
        <f t="shared" si="297"/>
        <v>0</v>
      </c>
      <c r="H473" s="192">
        <f>+H474+H477</f>
        <v>0</v>
      </c>
      <c r="I473" s="192">
        <f>+I474+I477</f>
        <v>0</v>
      </c>
      <c r="J473" s="192">
        <f>+J474+J477</f>
        <v>0</v>
      </c>
      <c r="K473" s="192">
        <f>+K474+K477</f>
        <v>0</v>
      </c>
      <c r="L473" s="192">
        <f>+L474+L477</f>
        <v>0</v>
      </c>
      <c r="M473" s="3512" t="s">
        <v>22</v>
      </c>
      <c r="N473" s="3512" t="s">
        <v>22</v>
      </c>
      <c r="O473" s="3521"/>
    </row>
    <row r="474" spans="1:17" ht="12" hidden="1" customHeight="1">
      <c r="A474" s="3328"/>
      <c r="B474" s="728" t="s">
        <v>23</v>
      </c>
      <c r="C474" s="729"/>
      <c r="D474" s="117">
        <f>+D475+D476</f>
        <v>0</v>
      </c>
      <c r="E474" s="117">
        <f>+E475+E476</f>
        <v>0</v>
      </c>
      <c r="F474" s="117">
        <f t="shared" ref="F474:G474" si="298">+F475+F476</f>
        <v>0</v>
      </c>
      <c r="G474" s="117">
        <f t="shared" si="298"/>
        <v>0</v>
      </c>
      <c r="H474" s="117">
        <f>+H475+H476</f>
        <v>0</v>
      </c>
      <c r="I474" s="117">
        <f>+I475+I476</f>
        <v>0</v>
      </c>
      <c r="J474" s="117">
        <f>+J475+J476</f>
        <v>0</v>
      </c>
      <c r="K474" s="117">
        <f>+K475+K476</f>
        <v>0</v>
      </c>
      <c r="L474" s="117">
        <f>+L475+L476</f>
        <v>0</v>
      </c>
      <c r="M474" s="3322"/>
      <c r="N474" s="3322"/>
      <c r="O474" s="3521"/>
      <c r="P474" s="2291"/>
    </row>
    <row r="475" spans="1:17" ht="12" hidden="1" customHeight="1">
      <c r="A475" s="3328"/>
      <c r="B475" s="249" t="s">
        <v>70</v>
      </c>
      <c r="C475" s="725"/>
      <c r="D475" s="33">
        <f>+D491</f>
        <v>0</v>
      </c>
      <c r="E475" s="33">
        <f>+E491</f>
        <v>0</v>
      </c>
      <c r="F475" s="33">
        <f t="shared" ref="F475:L475" si="299">+F491</f>
        <v>0</v>
      </c>
      <c r="G475" s="33">
        <f t="shared" si="299"/>
        <v>0</v>
      </c>
      <c r="H475" s="33">
        <f t="shared" si="299"/>
        <v>0</v>
      </c>
      <c r="I475" s="33">
        <f t="shared" si="299"/>
        <v>0</v>
      </c>
      <c r="J475" s="33">
        <f t="shared" si="299"/>
        <v>0</v>
      </c>
      <c r="K475" s="33">
        <f t="shared" si="299"/>
        <v>0</v>
      </c>
      <c r="L475" s="33">
        <f t="shared" si="299"/>
        <v>0</v>
      </c>
      <c r="M475" s="3322"/>
      <c r="N475" s="3322"/>
      <c r="O475" s="3521"/>
    </row>
    <row r="476" spans="1:17" ht="12" hidden="1" customHeight="1">
      <c r="A476" s="3328"/>
      <c r="B476" s="730" t="s">
        <v>50</v>
      </c>
      <c r="C476" s="127"/>
      <c r="D476" s="33">
        <f>+D493</f>
        <v>0</v>
      </c>
      <c r="E476" s="33">
        <f>+E493</f>
        <v>0</v>
      </c>
      <c r="F476" s="33">
        <f t="shared" ref="F476:L476" si="300">+F493</f>
        <v>0</v>
      </c>
      <c r="G476" s="33">
        <f t="shared" si="300"/>
        <v>0</v>
      </c>
      <c r="H476" s="33">
        <f t="shared" si="300"/>
        <v>0</v>
      </c>
      <c r="I476" s="33">
        <f t="shared" si="300"/>
        <v>0</v>
      </c>
      <c r="J476" s="33">
        <f t="shared" si="300"/>
        <v>0</v>
      </c>
      <c r="K476" s="33">
        <f t="shared" si="300"/>
        <v>0</v>
      </c>
      <c r="L476" s="33">
        <f t="shared" si="300"/>
        <v>0</v>
      </c>
      <c r="M476" s="3322"/>
      <c r="N476" s="3322"/>
      <c r="O476" s="3521"/>
    </row>
    <row r="477" spans="1:17" s="727" customFormat="1" ht="12" hidden="1" customHeight="1">
      <c r="A477" s="3328"/>
      <c r="B477" s="731" t="s">
        <v>18</v>
      </c>
      <c r="C477" s="726"/>
      <c r="D477" s="128">
        <f>+D478+D479</f>
        <v>0</v>
      </c>
      <c r="E477" s="128">
        <f>+E478+E479</f>
        <v>0</v>
      </c>
      <c r="F477" s="128">
        <f t="shared" ref="F477:G477" si="301">+F478+F479</f>
        <v>0</v>
      </c>
      <c r="G477" s="128">
        <f t="shared" si="301"/>
        <v>0</v>
      </c>
      <c r="H477" s="128">
        <f>+H478+H479</f>
        <v>0</v>
      </c>
      <c r="I477" s="128">
        <f>+I478+I479</f>
        <v>0</v>
      </c>
      <c r="J477" s="128">
        <f>+J478+J479</f>
        <v>0</v>
      </c>
      <c r="K477" s="128">
        <f>+K478+K479</f>
        <v>0</v>
      </c>
      <c r="L477" s="128">
        <f>+L478+L479</f>
        <v>0</v>
      </c>
      <c r="M477" s="3322"/>
      <c r="N477" s="3322"/>
      <c r="O477" s="3521"/>
    </row>
    <row r="478" spans="1:17" ht="12" hidden="1" customHeight="1">
      <c r="A478" s="3328"/>
      <c r="B478" s="732" t="s">
        <v>20</v>
      </c>
      <c r="C478" s="725"/>
      <c r="D478" s="33">
        <f>+D496+D506</f>
        <v>0</v>
      </c>
      <c r="E478" s="33">
        <f>+E496+E506</f>
        <v>0</v>
      </c>
      <c r="F478" s="33">
        <f t="shared" ref="F478:G478" si="302">+F496+F506</f>
        <v>0</v>
      </c>
      <c r="G478" s="33">
        <f t="shared" si="302"/>
        <v>0</v>
      </c>
      <c r="H478" s="33">
        <f>+H496+H506</f>
        <v>0</v>
      </c>
      <c r="I478" s="33">
        <f>+I496+I506</f>
        <v>0</v>
      </c>
      <c r="J478" s="33">
        <f>+J496+J506</f>
        <v>0</v>
      </c>
      <c r="K478" s="33">
        <f>+K496+K506</f>
        <v>0</v>
      </c>
      <c r="L478" s="33">
        <f>+L496+L506</f>
        <v>0</v>
      </c>
      <c r="M478" s="3322"/>
      <c r="N478" s="3322"/>
      <c r="O478" s="3521"/>
    </row>
    <row r="479" spans="1:17" ht="12" hidden="1" customHeight="1" thickBot="1">
      <c r="A479" s="3329"/>
      <c r="B479" s="733" t="s">
        <v>71</v>
      </c>
      <c r="C479" s="710"/>
      <c r="D479" s="119">
        <f>+D497</f>
        <v>0</v>
      </c>
      <c r="E479" s="119">
        <f>+E497</f>
        <v>0</v>
      </c>
      <c r="F479" s="119">
        <f t="shared" ref="F479:G479" si="303">+F497</f>
        <v>0</v>
      </c>
      <c r="G479" s="119">
        <f t="shared" si="303"/>
        <v>0</v>
      </c>
      <c r="H479" s="238">
        <f>+H497</f>
        <v>0</v>
      </c>
      <c r="I479" s="239">
        <f>+I497</f>
        <v>0</v>
      </c>
      <c r="J479" s="239">
        <f>+J497</f>
        <v>0</v>
      </c>
      <c r="K479" s="239">
        <f>+K497</f>
        <v>0</v>
      </c>
      <c r="L479" s="239">
        <f>+L497</f>
        <v>0</v>
      </c>
      <c r="M479" s="3323"/>
      <c r="N479" s="3323"/>
      <c r="O479" s="734"/>
    </row>
    <row r="480" spans="1:17" hidden="1">
      <c r="A480" s="3385"/>
      <c r="B480" s="517"/>
      <c r="C480" s="56" t="s">
        <v>74</v>
      </c>
      <c r="D480" s="98"/>
      <c r="E480" s="100"/>
      <c r="F480" s="99"/>
      <c r="G480" s="518"/>
      <c r="H480" s="518"/>
      <c r="I480" s="518"/>
      <c r="J480" s="518"/>
      <c r="K480" s="518"/>
      <c r="L480" s="518"/>
      <c r="M480" s="43"/>
      <c r="N480" s="43"/>
      <c r="O480" s="3335" t="s">
        <v>97</v>
      </c>
    </row>
    <row r="481" spans="1:16" ht="15" hidden="1" customHeight="1">
      <c r="A481" s="3386"/>
      <c r="B481" s="21" t="s">
        <v>10</v>
      </c>
      <c r="C481" s="22"/>
      <c r="D481" s="101">
        <f t="shared" ref="D481:I481" si="304">+D482+D486</f>
        <v>0</v>
      </c>
      <c r="E481" s="101">
        <f t="shared" si="304"/>
        <v>0</v>
      </c>
      <c r="F481" s="101">
        <f t="shared" si="304"/>
        <v>0</v>
      </c>
      <c r="G481" s="101">
        <f t="shared" si="304"/>
        <v>0</v>
      </c>
      <c r="H481" s="101">
        <f t="shared" si="304"/>
        <v>0</v>
      </c>
      <c r="I481" s="101">
        <f t="shared" si="304"/>
        <v>0</v>
      </c>
      <c r="J481" s="101"/>
      <c r="K481" s="101"/>
      <c r="L481" s="101"/>
      <c r="M481" s="30">
        <f>+M482+M486</f>
        <v>0</v>
      </c>
      <c r="N481" s="30">
        <f>+N482+N486</f>
        <v>0</v>
      </c>
      <c r="O481" s="3331"/>
      <c r="P481" s="2291" t="e">
        <f>+#REF!+#REF!</f>
        <v>#REF!</v>
      </c>
    </row>
    <row r="482" spans="1:16" hidden="1">
      <c r="A482" s="3386"/>
      <c r="B482" s="166" t="s">
        <v>23</v>
      </c>
      <c r="C482" s="3346" t="s">
        <v>91</v>
      </c>
      <c r="D482" s="102">
        <f t="shared" ref="D482:I482" si="305">+D483+D484+D485</f>
        <v>0</v>
      </c>
      <c r="E482" s="103">
        <f t="shared" si="305"/>
        <v>0</v>
      </c>
      <c r="F482" s="102">
        <f t="shared" si="305"/>
        <v>0</v>
      </c>
      <c r="G482" s="102">
        <f t="shared" si="305"/>
        <v>0</v>
      </c>
      <c r="H482" s="102">
        <f t="shared" si="305"/>
        <v>0</v>
      </c>
      <c r="I482" s="102">
        <f t="shared" si="305"/>
        <v>0</v>
      </c>
      <c r="J482" s="104"/>
      <c r="K482" s="104"/>
      <c r="L482" s="104"/>
      <c r="M482" s="77">
        <f>+M483+M484+M485</f>
        <v>0</v>
      </c>
      <c r="N482" s="77">
        <f>+N483+N484+N485</f>
        <v>0</v>
      </c>
      <c r="O482" s="3331"/>
    </row>
    <row r="483" spans="1:16" ht="11.25" hidden="1" customHeight="1">
      <c r="A483" s="3386"/>
      <c r="B483" s="376" t="s">
        <v>12</v>
      </c>
      <c r="C483" s="3347"/>
      <c r="D483" s="235">
        <f t="shared" ref="D483:D488" si="306">E483+F483+G483+H483+I483+J483+K483+L483</f>
        <v>0</v>
      </c>
      <c r="E483" s="265"/>
      <c r="F483" s="519">
        <v>0</v>
      </c>
      <c r="G483" s="519">
        <v>0</v>
      </c>
      <c r="H483" s="519">
        <v>0</v>
      </c>
      <c r="I483" s="519">
        <v>0</v>
      </c>
      <c r="J483" s="520"/>
      <c r="K483" s="520"/>
      <c r="L483" s="520"/>
      <c r="M483" s="34">
        <f t="shared" ref="M483:N485" si="307">SUM(E483:H483)</f>
        <v>0</v>
      </c>
      <c r="N483" s="34">
        <f t="shared" si="307"/>
        <v>0</v>
      </c>
      <c r="O483" s="3331"/>
      <c r="P483" s="2291"/>
    </row>
    <row r="484" spans="1:16" hidden="1">
      <c r="A484" s="3386"/>
      <c r="B484" s="129" t="s">
        <v>70</v>
      </c>
      <c r="C484" s="3347"/>
      <c r="D484" s="235">
        <f t="shared" si="306"/>
        <v>0</v>
      </c>
      <c r="E484" s="265"/>
      <c r="F484" s="130">
        <v>0</v>
      </c>
      <c r="G484" s="130">
        <v>0</v>
      </c>
      <c r="H484" s="130">
        <v>0</v>
      </c>
      <c r="I484" s="130">
        <v>0</v>
      </c>
      <c r="J484" s="108"/>
      <c r="K484" s="108"/>
      <c r="L484" s="108"/>
      <c r="M484" s="34">
        <f t="shared" si="307"/>
        <v>0</v>
      </c>
      <c r="N484" s="34">
        <f t="shared" si="307"/>
        <v>0</v>
      </c>
      <c r="O484" s="3331"/>
    </row>
    <row r="485" spans="1:16" ht="12" hidden="1" customHeight="1">
      <c r="A485" s="3386"/>
      <c r="B485" s="477" t="s">
        <v>98</v>
      </c>
      <c r="C485" s="3504"/>
      <c r="D485" s="235">
        <f t="shared" si="306"/>
        <v>0</v>
      </c>
      <c r="E485" s="265"/>
      <c r="F485" s="519">
        <v>0</v>
      </c>
      <c r="G485" s="519">
        <v>0</v>
      </c>
      <c r="H485" s="519">
        <v>0</v>
      </c>
      <c r="I485" s="519">
        <v>0</v>
      </c>
      <c r="J485" s="520"/>
      <c r="K485" s="520"/>
      <c r="L485" s="520"/>
      <c r="M485" s="34">
        <f t="shared" si="307"/>
        <v>0</v>
      </c>
      <c r="N485" s="34">
        <f t="shared" si="307"/>
        <v>0</v>
      </c>
      <c r="O485" s="3331"/>
    </row>
    <row r="486" spans="1:16" s="727" customFormat="1" hidden="1">
      <c r="A486" s="3386"/>
      <c r="B486" s="392" t="s">
        <v>18</v>
      </c>
      <c r="C486" s="521"/>
      <c r="D486" s="47">
        <f>+D487+D488</f>
        <v>0</v>
      </c>
      <c r="E486" s="522">
        <f t="shared" ref="E486:N486" si="308">+E487+E488</f>
        <v>0</v>
      </c>
      <c r="F486" s="522">
        <f t="shared" si="308"/>
        <v>0</v>
      </c>
      <c r="G486" s="522">
        <f t="shared" si="308"/>
        <v>0</v>
      </c>
      <c r="H486" s="522">
        <f t="shared" si="308"/>
        <v>0</v>
      </c>
      <c r="I486" s="522">
        <f t="shared" si="308"/>
        <v>0</v>
      </c>
      <c r="J486" s="522"/>
      <c r="K486" s="522"/>
      <c r="L486" s="522"/>
      <c r="M486" s="77">
        <f t="shared" ref="M486" si="309">+M487+M488</f>
        <v>0</v>
      </c>
      <c r="N486" s="77">
        <f t="shared" si="308"/>
        <v>0</v>
      </c>
      <c r="O486" s="3331"/>
    </row>
    <row r="487" spans="1:16" hidden="1">
      <c r="A487" s="3386"/>
      <c r="B487" s="700" t="s">
        <v>20</v>
      </c>
      <c r="C487" s="2938"/>
      <c r="D487" s="235">
        <f t="shared" si="306"/>
        <v>0</v>
      </c>
      <c r="E487" s="265"/>
      <c r="F487" s="520">
        <v>0</v>
      </c>
      <c r="G487" s="520">
        <v>0</v>
      </c>
      <c r="H487" s="520">
        <v>0</v>
      </c>
      <c r="I487" s="520">
        <v>0</v>
      </c>
      <c r="J487" s="520"/>
      <c r="K487" s="520"/>
      <c r="L487" s="520"/>
      <c r="M487" s="34">
        <f>SUM(E487:H487)</f>
        <v>0</v>
      </c>
      <c r="N487" s="34">
        <f>SUM(F487:I487)</f>
        <v>0</v>
      </c>
      <c r="O487" s="3331"/>
    </row>
    <row r="488" spans="1:16" ht="12" hidden="1" customHeight="1">
      <c r="A488" s="3386"/>
      <c r="B488" s="700" t="s">
        <v>71</v>
      </c>
      <c r="C488" s="2938"/>
      <c r="D488" s="235">
        <f t="shared" si="306"/>
        <v>0</v>
      </c>
      <c r="E488" s="265"/>
      <c r="F488" s="520">
        <v>0</v>
      </c>
      <c r="G488" s="520">
        <v>0</v>
      </c>
      <c r="H488" s="520">
        <v>0</v>
      </c>
      <c r="I488" s="520">
        <v>0</v>
      </c>
      <c r="J488" s="520"/>
      <c r="K488" s="520"/>
      <c r="L488" s="520"/>
      <c r="M488" s="34">
        <f>SUM(E488:H488)</f>
        <v>0</v>
      </c>
      <c r="N488" s="34">
        <f>SUM(F488:I488)</f>
        <v>0</v>
      </c>
      <c r="O488" s="3331"/>
    </row>
    <row r="489" spans="1:16" ht="14.25" hidden="1" customHeight="1">
      <c r="A489" s="3386"/>
      <c r="B489" s="21" t="s">
        <v>21</v>
      </c>
      <c r="C489" s="22"/>
      <c r="D489" s="192">
        <f t="shared" ref="D489:I489" si="310">+D490+D494</f>
        <v>0</v>
      </c>
      <c r="E489" s="192">
        <f t="shared" si="310"/>
        <v>0</v>
      </c>
      <c r="F489" s="192">
        <f t="shared" si="310"/>
        <v>0</v>
      </c>
      <c r="G489" s="192">
        <f t="shared" si="310"/>
        <v>0</v>
      </c>
      <c r="H489" s="192">
        <f t="shared" si="310"/>
        <v>0</v>
      </c>
      <c r="I489" s="192">
        <f t="shared" si="310"/>
        <v>0</v>
      </c>
      <c r="J489" s="192"/>
      <c r="K489" s="192"/>
      <c r="L489" s="192"/>
      <c r="M489" s="3512" t="s">
        <v>22</v>
      </c>
      <c r="N489" s="3512" t="s">
        <v>22</v>
      </c>
      <c r="O489" s="3331"/>
      <c r="P489" s="2291"/>
    </row>
    <row r="490" spans="1:16" s="735" customFormat="1" ht="12.75" hidden="1" customHeight="1">
      <c r="A490" s="3386"/>
      <c r="B490" s="166" t="s">
        <v>23</v>
      </c>
      <c r="C490" s="3346" t="s">
        <v>91</v>
      </c>
      <c r="D490" s="615">
        <f>+D491+D492+D493</f>
        <v>0</v>
      </c>
      <c r="E490" s="615">
        <f>SUM(E491:E493)</f>
        <v>0</v>
      </c>
      <c r="F490" s="615">
        <f>+F491+F493</f>
        <v>0</v>
      </c>
      <c r="G490" s="615">
        <f>+G491+G493</f>
        <v>0</v>
      </c>
      <c r="H490" s="615">
        <f>+H491+H493</f>
        <v>0</v>
      </c>
      <c r="I490" s="615">
        <f>+I491+I493</f>
        <v>0</v>
      </c>
      <c r="J490" s="615"/>
      <c r="K490" s="615"/>
      <c r="L490" s="615"/>
      <c r="M490" s="3322"/>
      <c r="N490" s="3322"/>
      <c r="O490" s="3331"/>
    </row>
    <row r="491" spans="1:16" s="3183" customFormat="1" hidden="1">
      <c r="A491" s="3386"/>
      <c r="B491" s="129" t="s">
        <v>99</v>
      </c>
      <c r="C491" s="3347"/>
      <c r="D491" s="235">
        <f t="shared" ref="D491:D493" si="311">E491+F491+G491+H491+I491+J491+K491+L491</f>
        <v>0</v>
      </c>
      <c r="E491" s="265"/>
      <c r="F491" s="736">
        <v>0</v>
      </c>
      <c r="G491" s="736">
        <v>0</v>
      </c>
      <c r="H491" s="736">
        <v>0</v>
      </c>
      <c r="I491" s="736">
        <v>0</v>
      </c>
      <c r="J491" s="736"/>
      <c r="K491" s="736"/>
      <c r="L491" s="736"/>
      <c r="M491" s="3322"/>
      <c r="N491" s="3322"/>
      <c r="O491" s="3331"/>
      <c r="P491" s="3186">
        <v>-14575000</v>
      </c>
    </row>
    <row r="492" spans="1:16" s="3183" customFormat="1" ht="10.5" hidden="1" customHeight="1">
      <c r="A492" s="3386"/>
      <c r="B492" s="737" t="s">
        <v>100</v>
      </c>
      <c r="C492" s="3347"/>
      <c r="D492" s="235">
        <f t="shared" si="311"/>
        <v>0</v>
      </c>
      <c r="E492" s="265"/>
      <c r="F492" s="736"/>
      <c r="G492" s="736"/>
      <c r="H492" s="736"/>
      <c r="I492" s="736"/>
      <c r="J492" s="736"/>
      <c r="K492" s="736"/>
      <c r="L492" s="736"/>
      <c r="M492" s="3322"/>
      <c r="N492" s="3322"/>
      <c r="O492" s="3331"/>
    </row>
    <row r="493" spans="1:16" s="3183" customFormat="1" hidden="1">
      <c r="A493" s="3386"/>
      <c r="B493" s="477" t="s">
        <v>98</v>
      </c>
      <c r="C493" s="3347"/>
      <c r="D493" s="235">
        <f t="shared" si="311"/>
        <v>0</v>
      </c>
      <c r="E493" s="265"/>
      <c r="F493" s="519">
        <v>0</v>
      </c>
      <c r="G493" s="519">
        <v>0</v>
      </c>
      <c r="H493" s="519">
        <v>0</v>
      </c>
      <c r="I493" s="519">
        <v>0</v>
      </c>
      <c r="J493" s="519"/>
      <c r="K493" s="519"/>
      <c r="L493" s="519"/>
      <c r="M493" s="3322"/>
      <c r="N493" s="3322"/>
      <c r="O493" s="3331"/>
      <c r="P493" s="3186"/>
    </row>
    <row r="494" spans="1:16" s="735" customFormat="1" hidden="1">
      <c r="A494" s="3386"/>
      <c r="B494" s="738" t="s">
        <v>18</v>
      </c>
      <c r="C494" s="3347"/>
      <c r="D494" s="50">
        <f>+D495+D496+D497</f>
        <v>0</v>
      </c>
      <c r="E494" s="617"/>
      <c r="F494" s="617">
        <f>+F496</f>
        <v>0</v>
      </c>
      <c r="G494" s="617">
        <f>+G496</f>
        <v>0</v>
      </c>
      <c r="H494" s="617">
        <f>+H496</f>
        <v>0</v>
      </c>
      <c r="I494" s="617">
        <f>+I496</f>
        <v>0</v>
      </c>
      <c r="J494" s="617"/>
      <c r="K494" s="617"/>
      <c r="L494" s="617"/>
      <c r="M494" s="3322"/>
      <c r="N494" s="3322"/>
      <c r="O494" s="3331"/>
    </row>
    <row r="495" spans="1:16" s="735" customFormat="1" ht="10.5" hidden="1" customHeight="1">
      <c r="A495" s="3386"/>
      <c r="B495" s="737" t="s">
        <v>100</v>
      </c>
      <c r="C495" s="3347"/>
      <c r="D495" s="235">
        <f t="shared" ref="D495:D497" si="312">E495+F495+G495+H495+I495+J495+K495+L495</f>
        <v>0</v>
      </c>
      <c r="E495" s="1211"/>
      <c r="F495" s="739"/>
      <c r="G495" s="739"/>
      <c r="H495" s="739"/>
      <c r="I495" s="739"/>
      <c r="J495" s="739"/>
      <c r="K495" s="739"/>
      <c r="L495" s="739"/>
      <c r="M495" s="3322"/>
      <c r="N495" s="3322"/>
      <c r="O495" s="3331"/>
    </row>
    <row r="496" spans="1:16" s="3183" customFormat="1" hidden="1">
      <c r="A496" s="3386"/>
      <c r="B496" s="376" t="s">
        <v>20</v>
      </c>
      <c r="C496" s="3347"/>
      <c r="D496" s="235">
        <f t="shared" si="312"/>
        <v>0</v>
      </c>
      <c r="E496" s="265"/>
      <c r="F496" s="523">
        <v>0</v>
      </c>
      <c r="G496" s="523">
        <v>0</v>
      </c>
      <c r="H496" s="523">
        <v>0</v>
      </c>
      <c r="I496" s="523">
        <v>0</v>
      </c>
      <c r="J496" s="523"/>
      <c r="K496" s="523"/>
      <c r="L496" s="523"/>
      <c r="M496" s="3322"/>
      <c r="N496" s="3322"/>
      <c r="O496" s="3331"/>
      <c r="P496" s="3186"/>
    </row>
    <row r="497" spans="1:19" s="3183" customFormat="1" ht="11.25" hidden="1" customHeight="1" thickBot="1">
      <c r="A497" s="3387"/>
      <c r="B497" s="74" t="s">
        <v>71</v>
      </c>
      <c r="C497" s="3391"/>
      <c r="D497" s="235">
        <f t="shared" si="312"/>
        <v>0</v>
      </c>
      <c r="E497" s="54"/>
      <c r="F497" s="524">
        <v>0</v>
      </c>
      <c r="G497" s="524">
        <v>0</v>
      </c>
      <c r="H497" s="525">
        <v>0</v>
      </c>
      <c r="I497" s="172">
        <v>0</v>
      </c>
      <c r="J497" s="172"/>
      <c r="K497" s="172"/>
      <c r="L497" s="172"/>
      <c r="M497" s="3323"/>
      <c r="N497" s="3323"/>
      <c r="O497" s="2933"/>
    </row>
    <row r="498" spans="1:19" hidden="1">
      <c r="A498" s="3385"/>
      <c r="B498" s="263"/>
      <c r="C498" s="56" t="s">
        <v>101</v>
      </c>
      <c r="D498" s="701"/>
      <c r="E498" s="92"/>
      <c r="F498" s="93"/>
      <c r="G498" s="93"/>
      <c r="H498" s="93"/>
      <c r="I498" s="93"/>
      <c r="J498" s="93"/>
      <c r="K498" s="93"/>
      <c r="L498" s="93"/>
      <c r="M498" s="43"/>
      <c r="N498" s="43"/>
      <c r="O498" s="3317" t="s">
        <v>94</v>
      </c>
      <c r="S498" s="3184"/>
    </row>
    <row r="499" spans="1:19" ht="14.25" hidden="1" customHeight="1">
      <c r="A499" s="3386"/>
      <c r="B499" s="21" t="s">
        <v>10</v>
      </c>
      <c r="C499" s="22"/>
      <c r="D499" s="61">
        <f t="shared" ref="D499" si="313">+D500+D502</f>
        <v>0</v>
      </c>
      <c r="E499" s="61">
        <f>+E500+E502</f>
        <v>0</v>
      </c>
      <c r="F499" s="61"/>
      <c r="G499" s="61"/>
      <c r="H499" s="62"/>
      <c r="I499" s="61"/>
      <c r="J499" s="61"/>
      <c r="K499" s="61"/>
      <c r="L499" s="61"/>
      <c r="M499" s="63">
        <f>+M500+M502</f>
        <v>0</v>
      </c>
      <c r="N499" s="63">
        <f>+N500+N502</f>
        <v>0</v>
      </c>
      <c r="O499" s="3318"/>
      <c r="P499" s="2291" t="e">
        <f>+#REF!+#REF!+F499+G499</f>
        <v>#REF!</v>
      </c>
      <c r="Q499" s="2291"/>
      <c r="R499" s="2291"/>
      <c r="S499" s="2291"/>
    </row>
    <row r="500" spans="1:19" ht="14.25" hidden="1" customHeight="1">
      <c r="A500" s="3386"/>
      <c r="B500" s="166" t="s">
        <v>23</v>
      </c>
      <c r="C500" s="3346" t="s">
        <v>91</v>
      </c>
      <c r="D500" s="64">
        <f>+D501</f>
        <v>0</v>
      </c>
      <c r="E500" s="64">
        <f t="shared" ref="E500" si="314">+E501</f>
        <v>0</v>
      </c>
      <c r="F500" s="64"/>
      <c r="G500" s="64"/>
      <c r="H500" s="94"/>
      <c r="I500" s="64"/>
      <c r="J500" s="64"/>
      <c r="K500" s="64"/>
      <c r="L500" s="64"/>
      <c r="M500" s="77">
        <f>+M501</f>
        <v>0</v>
      </c>
      <c r="N500" s="77">
        <f>+N501</f>
        <v>0</v>
      </c>
      <c r="O500" s="3318"/>
      <c r="P500" s="2291"/>
    </row>
    <row r="501" spans="1:19" hidden="1">
      <c r="A501" s="3386"/>
      <c r="B501" s="370" t="s">
        <v>12</v>
      </c>
      <c r="C501" s="3352"/>
      <c r="D501" s="235">
        <f t="shared" ref="D501" si="315">E501+F501+G501+H501+I501+J501+K501+L501</f>
        <v>0</v>
      </c>
      <c r="E501" s="265"/>
      <c r="F501" s="46"/>
      <c r="G501" s="46"/>
      <c r="H501" s="45"/>
      <c r="I501" s="46"/>
      <c r="J501" s="46"/>
      <c r="K501" s="46"/>
      <c r="L501" s="46"/>
      <c r="M501" s="34">
        <f>SUM(E501:H501)</f>
        <v>0</v>
      </c>
      <c r="N501" s="34">
        <f>SUM(F501:I501)</f>
        <v>0</v>
      </c>
      <c r="O501" s="3318"/>
    </row>
    <row r="502" spans="1:19" ht="14.25" hidden="1" customHeight="1">
      <c r="A502" s="3386"/>
      <c r="B502" s="392" t="s">
        <v>18</v>
      </c>
      <c r="C502" s="3352"/>
      <c r="D502" s="47">
        <f>+D503</f>
        <v>0</v>
      </c>
      <c r="E502" s="47">
        <f t="shared" ref="E502" si="316">+E503</f>
        <v>0</v>
      </c>
      <c r="F502" s="47"/>
      <c r="G502" s="47"/>
      <c r="H502" s="48"/>
      <c r="I502" s="47"/>
      <c r="J502" s="47"/>
      <c r="K502" s="47"/>
      <c r="L502" s="47"/>
      <c r="M502" s="77">
        <f>+M503</f>
        <v>0</v>
      </c>
      <c r="N502" s="77">
        <f>+N503</f>
        <v>0</v>
      </c>
      <c r="O502" s="3318"/>
    </row>
    <row r="503" spans="1:19" hidden="1">
      <c r="A503" s="3386"/>
      <c r="B503" s="703" t="s">
        <v>20</v>
      </c>
      <c r="C503" s="3352"/>
      <c r="D503" s="235">
        <f t="shared" ref="D503" si="317">E503+F503+G503+H503+I503+J503+K503+L503</f>
        <v>0</v>
      </c>
      <c r="E503" s="265"/>
      <c r="F503" s="46"/>
      <c r="G503" s="46"/>
      <c r="H503" s="45"/>
      <c r="I503" s="46"/>
      <c r="J503" s="46"/>
      <c r="K503" s="46"/>
      <c r="L503" s="46"/>
      <c r="M503" s="34">
        <f>SUM(E503:H503)</f>
        <v>0</v>
      </c>
      <c r="N503" s="34">
        <f>SUM(F503:I503)</f>
        <v>0</v>
      </c>
      <c r="O503" s="3318"/>
    </row>
    <row r="504" spans="1:19" ht="14.25" hidden="1" customHeight="1">
      <c r="A504" s="3394"/>
      <c r="B504" s="21" t="s">
        <v>21</v>
      </c>
      <c r="C504" s="22"/>
      <c r="D504" s="192">
        <f>+D505</f>
        <v>0</v>
      </c>
      <c r="E504" s="192">
        <f t="shared" ref="E504" si="318">+E505</f>
        <v>0</v>
      </c>
      <c r="F504" s="192"/>
      <c r="G504" s="192"/>
      <c r="H504" s="193"/>
      <c r="I504" s="192"/>
      <c r="J504" s="192"/>
      <c r="K504" s="192"/>
      <c r="L504" s="192"/>
      <c r="M504" s="3365" t="s">
        <v>22</v>
      </c>
      <c r="N504" s="3365" t="s">
        <v>22</v>
      </c>
      <c r="O504" s="3349"/>
      <c r="P504" s="2291"/>
    </row>
    <row r="505" spans="1:19" s="3183" customFormat="1" ht="14.25" hidden="1" customHeight="1">
      <c r="A505" s="3394"/>
      <c r="B505" s="392" t="s">
        <v>18</v>
      </c>
      <c r="C505" s="3346" t="s">
        <v>91</v>
      </c>
      <c r="D505" s="615">
        <f>+D506</f>
        <v>0</v>
      </c>
      <c r="E505" s="615"/>
      <c r="F505" s="615"/>
      <c r="G505" s="615"/>
      <c r="H505" s="617"/>
      <c r="I505" s="615"/>
      <c r="J505" s="615"/>
      <c r="K505" s="615"/>
      <c r="L505" s="615"/>
      <c r="M505" s="3366"/>
      <c r="N505" s="3366"/>
      <c r="O505" s="3349"/>
    </row>
    <row r="506" spans="1:19" s="3183" customFormat="1" ht="14.25" hidden="1" customHeight="1" thickBot="1">
      <c r="A506" s="3395"/>
      <c r="B506" s="53" t="s">
        <v>20</v>
      </c>
      <c r="C506" s="3353"/>
      <c r="D506" s="235">
        <f t="shared" ref="D506" si="319">E506+F506+G506+H506+I506+J506+K506+L506</f>
        <v>0</v>
      </c>
      <c r="E506" s="702"/>
      <c r="F506" s="407"/>
      <c r="G506" s="407"/>
      <c r="H506" s="407"/>
      <c r="I506" s="407"/>
      <c r="J506" s="407"/>
      <c r="K506" s="407"/>
      <c r="L506" s="407"/>
      <c r="M506" s="3367"/>
      <c r="N506" s="3367"/>
      <c r="O506" s="3350"/>
    </row>
    <row r="507" spans="1:19" ht="27.75" hidden="1" customHeight="1">
      <c r="A507" s="3371" t="s">
        <v>263</v>
      </c>
      <c r="B507" s="201" t="s">
        <v>227</v>
      </c>
      <c r="C507" s="740"/>
      <c r="D507" s="717"/>
      <c r="E507" s="718"/>
      <c r="F507" s="718"/>
      <c r="G507" s="718"/>
      <c r="H507" s="718"/>
      <c r="I507" s="718"/>
      <c r="J507" s="718"/>
      <c r="K507" s="718"/>
      <c r="L507" s="718"/>
      <c r="M507" s="281"/>
      <c r="N507" s="281"/>
      <c r="O507" s="3399"/>
    </row>
    <row r="508" spans="1:19" ht="14.25" hidden="1" customHeight="1">
      <c r="A508" s="3372"/>
      <c r="B508" s="21" t="s">
        <v>10</v>
      </c>
      <c r="C508" s="132"/>
      <c r="D508" s="125">
        <f>+D509+D511</f>
        <v>0</v>
      </c>
      <c r="E508" s="125">
        <f t="shared" ref="E508:N508" si="320">+E509+E511</f>
        <v>0</v>
      </c>
      <c r="F508" s="125">
        <f t="shared" si="320"/>
        <v>0</v>
      </c>
      <c r="G508" s="125">
        <f t="shared" si="320"/>
        <v>0</v>
      </c>
      <c r="H508" s="125">
        <f t="shared" si="320"/>
        <v>0</v>
      </c>
      <c r="I508" s="125">
        <f t="shared" si="320"/>
        <v>0</v>
      </c>
      <c r="J508" s="125">
        <f t="shared" si="320"/>
        <v>0</v>
      </c>
      <c r="K508" s="125">
        <f t="shared" si="320"/>
        <v>0</v>
      </c>
      <c r="L508" s="125">
        <f t="shared" si="320"/>
        <v>0</v>
      </c>
      <c r="M508" s="63">
        <f t="shared" ref="M508" si="321">+M509+M511</f>
        <v>0</v>
      </c>
      <c r="N508" s="63">
        <f t="shared" si="320"/>
        <v>0</v>
      </c>
      <c r="O508" s="3400"/>
      <c r="P508" s="2291" t="e">
        <f>+#REF!+#REF!+F508+G508</f>
        <v>#REF!</v>
      </c>
    </row>
    <row r="509" spans="1:19" ht="13.5" hidden="1" customHeight="1">
      <c r="A509" s="3372"/>
      <c r="B509" s="741" t="s">
        <v>23</v>
      </c>
      <c r="C509" s="133"/>
      <c r="D509" s="117">
        <f>+D510</f>
        <v>0</v>
      </c>
      <c r="E509" s="117">
        <f t="shared" ref="E509:N509" si="322">+E510</f>
        <v>0</v>
      </c>
      <c r="F509" s="117">
        <f t="shared" si="322"/>
        <v>0</v>
      </c>
      <c r="G509" s="117">
        <f t="shared" si="322"/>
        <v>0</v>
      </c>
      <c r="H509" s="117">
        <f t="shared" si="322"/>
        <v>0</v>
      </c>
      <c r="I509" s="117">
        <f t="shared" si="322"/>
        <v>0</v>
      </c>
      <c r="J509" s="117">
        <f t="shared" si="322"/>
        <v>0</v>
      </c>
      <c r="K509" s="117">
        <f t="shared" si="322"/>
        <v>0</v>
      </c>
      <c r="L509" s="117">
        <f t="shared" si="322"/>
        <v>0</v>
      </c>
      <c r="M509" s="65">
        <f t="shared" si="322"/>
        <v>0</v>
      </c>
      <c r="N509" s="65">
        <f t="shared" si="322"/>
        <v>0</v>
      </c>
      <c r="O509" s="3400"/>
    </row>
    <row r="510" spans="1:19" hidden="1">
      <c r="A510" s="3372"/>
      <c r="B510" s="248" t="s">
        <v>12</v>
      </c>
      <c r="C510" s="134"/>
      <c r="D510" s="33">
        <f>+D519</f>
        <v>0</v>
      </c>
      <c r="E510" s="33">
        <f>+E519</f>
        <v>0</v>
      </c>
      <c r="F510" s="33">
        <f t="shared" ref="F510:I510" si="323">+F519</f>
        <v>0</v>
      </c>
      <c r="G510" s="33">
        <f t="shared" si="323"/>
        <v>0</v>
      </c>
      <c r="H510" s="33">
        <f t="shared" si="323"/>
        <v>0</v>
      </c>
      <c r="I510" s="33">
        <f t="shared" si="323"/>
        <v>0</v>
      </c>
      <c r="J510" s="33">
        <f>+J519</f>
        <v>0</v>
      </c>
      <c r="K510" s="33">
        <f>+K519</f>
        <v>0</v>
      </c>
      <c r="L510" s="33">
        <f>+L519</f>
        <v>0</v>
      </c>
      <c r="M510" s="34">
        <f>SUM(E510:H510)</f>
        <v>0</v>
      </c>
      <c r="N510" s="34">
        <f>SUM(F510:I510)</f>
        <v>0</v>
      </c>
      <c r="O510" s="3400"/>
    </row>
    <row r="511" spans="1:19" ht="14.25" hidden="1" customHeight="1">
      <c r="A511" s="3372"/>
      <c r="B511" s="742" t="s">
        <v>18</v>
      </c>
      <c r="C511" s="135"/>
      <c r="D511" s="31">
        <f>+D512</f>
        <v>0</v>
      </c>
      <c r="E511" s="31">
        <f t="shared" ref="E511:N511" si="324">+E512</f>
        <v>0</v>
      </c>
      <c r="F511" s="31">
        <f t="shared" si="324"/>
        <v>0</v>
      </c>
      <c r="G511" s="31">
        <f t="shared" si="324"/>
        <v>0</v>
      </c>
      <c r="H511" s="31">
        <f t="shared" si="324"/>
        <v>0</v>
      </c>
      <c r="I511" s="31">
        <f t="shared" si="324"/>
        <v>0</v>
      </c>
      <c r="J511" s="31">
        <f t="shared" si="324"/>
        <v>0</v>
      </c>
      <c r="K511" s="31">
        <f t="shared" si="324"/>
        <v>0</v>
      </c>
      <c r="L511" s="31">
        <f t="shared" si="324"/>
        <v>0</v>
      </c>
      <c r="M511" s="65">
        <f t="shared" si="324"/>
        <v>0</v>
      </c>
      <c r="N511" s="65">
        <f t="shared" si="324"/>
        <v>0</v>
      </c>
      <c r="O511" s="3400"/>
    </row>
    <row r="512" spans="1:19" ht="11.25" hidden="1" customHeight="1">
      <c r="A512" s="3372"/>
      <c r="B512" s="249" t="s">
        <v>19</v>
      </c>
      <c r="C512" s="134"/>
      <c r="D512" s="33">
        <f>+D521</f>
        <v>0</v>
      </c>
      <c r="E512" s="33">
        <f t="shared" ref="E512:I512" si="325">+E521</f>
        <v>0</v>
      </c>
      <c r="F512" s="33">
        <f t="shared" si="325"/>
        <v>0</v>
      </c>
      <c r="G512" s="33">
        <f t="shared" si="325"/>
        <v>0</v>
      </c>
      <c r="H512" s="33">
        <f t="shared" si="325"/>
        <v>0</v>
      </c>
      <c r="I512" s="33">
        <f t="shared" si="325"/>
        <v>0</v>
      </c>
      <c r="J512" s="33">
        <f>+J521</f>
        <v>0</v>
      </c>
      <c r="K512" s="33">
        <f>+K521</f>
        <v>0</v>
      </c>
      <c r="L512" s="33">
        <f>+L521</f>
        <v>0</v>
      </c>
      <c r="M512" s="34">
        <f>SUM(E512:H512)</f>
        <v>0</v>
      </c>
      <c r="N512" s="34">
        <f>SUM(F512:I512)</f>
        <v>0</v>
      </c>
      <c r="O512" s="3400"/>
    </row>
    <row r="513" spans="1:19" ht="13.5" hidden="1" customHeight="1">
      <c r="A513" s="3372"/>
      <c r="B513" s="21" t="s">
        <v>21</v>
      </c>
      <c r="C513" s="132"/>
      <c r="D513" s="125">
        <f>+D514</f>
        <v>0</v>
      </c>
      <c r="E513" s="125">
        <f>+E514</f>
        <v>0</v>
      </c>
      <c r="F513" s="125">
        <f t="shared" ref="F513:L514" si="326">+F514</f>
        <v>0</v>
      </c>
      <c r="G513" s="125">
        <f t="shared" si="326"/>
        <v>0</v>
      </c>
      <c r="H513" s="125">
        <f t="shared" si="326"/>
        <v>0</v>
      </c>
      <c r="I513" s="125">
        <f t="shared" si="326"/>
        <v>0</v>
      </c>
      <c r="J513" s="125">
        <f t="shared" si="326"/>
        <v>0</v>
      </c>
      <c r="K513" s="125">
        <f t="shared" si="326"/>
        <v>0</v>
      </c>
      <c r="L513" s="125">
        <f t="shared" si="326"/>
        <v>0</v>
      </c>
      <c r="M513" s="3365" t="s">
        <v>22</v>
      </c>
      <c r="N513" s="3365" t="s">
        <v>22</v>
      </c>
      <c r="O513" s="3400"/>
    </row>
    <row r="514" spans="1:19" ht="12" hidden="1" customHeight="1">
      <c r="A514" s="3372"/>
      <c r="B514" s="743" t="s">
        <v>18</v>
      </c>
      <c r="C514" s="133"/>
      <c r="D514" s="117">
        <f>+D515</f>
        <v>0</v>
      </c>
      <c r="E514" s="117">
        <f>+E515</f>
        <v>0</v>
      </c>
      <c r="F514" s="117">
        <f t="shared" si="326"/>
        <v>0</v>
      </c>
      <c r="G514" s="117">
        <f t="shared" si="326"/>
        <v>0</v>
      </c>
      <c r="H514" s="117">
        <f t="shared" si="326"/>
        <v>0</v>
      </c>
      <c r="I514" s="117">
        <f t="shared" si="326"/>
        <v>0</v>
      </c>
      <c r="J514" s="117">
        <f t="shared" si="326"/>
        <v>0</v>
      </c>
      <c r="K514" s="117">
        <f t="shared" si="326"/>
        <v>0</v>
      </c>
      <c r="L514" s="117">
        <f t="shared" si="326"/>
        <v>0</v>
      </c>
      <c r="M514" s="3366"/>
      <c r="N514" s="3366"/>
      <c r="O514" s="3400"/>
    </row>
    <row r="515" spans="1:19" ht="13.5" hidden="1" customHeight="1" thickBot="1">
      <c r="A515" s="3373"/>
      <c r="B515" s="249" t="s">
        <v>19</v>
      </c>
      <c r="C515" s="134"/>
      <c r="D515" s="33">
        <f>+D524</f>
        <v>0</v>
      </c>
      <c r="E515" s="33">
        <f t="shared" ref="E515:I515" si="327">+E524</f>
        <v>0</v>
      </c>
      <c r="F515" s="33">
        <f t="shared" si="327"/>
        <v>0</v>
      </c>
      <c r="G515" s="33">
        <f t="shared" si="327"/>
        <v>0</v>
      </c>
      <c r="H515" s="238">
        <f t="shared" si="327"/>
        <v>0</v>
      </c>
      <c r="I515" s="239">
        <f t="shared" si="327"/>
        <v>0</v>
      </c>
      <c r="J515" s="239">
        <f>+J524</f>
        <v>0</v>
      </c>
      <c r="K515" s="239">
        <f>+K524</f>
        <v>0</v>
      </c>
      <c r="L515" s="239">
        <f>+L524</f>
        <v>0</v>
      </c>
      <c r="M515" s="3367"/>
      <c r="N515" s="3367"/>
      <c r="O515" s="3401"/>
    </row>
    <row r="516" spans="1:19" hidden="1">
      <c r="A516" s="3385" t="s">
        <v>277</v>
      </c>
      <c r="B516" s="263"/>
      <c r="C516" s="56" t="s">
        <v>101</v>
      </c>
      <c r="D516" s="701"/>
      <c r="E516" s="92"/>
      <c r="F516" s="93"/>
      <c r="G516" s="93"/>
      <c r="H516" s="93"/>
      <c r="I516" s="93"/>
      <c r="J516" s="93"/>
      <c r="K516" s="93"/>
      <c r="L516" s="93"/>
      <c r="M516" s="43"/>
      <c r="N516" s="43"/>
      <c r="O516" s="3317" t="s">
        <v>102</v>
      </c>
      <c r="S516" s="3184"/>
    </row>
    <row r="517" spans="1:19" ht="14.25" hidden="1" customHeight="1">
      <c r="A517" s="3386"/>
      <c r="B517" s="531" t="s">
        <v>10</v>
      </c>
      <c r="C517" s="1284"/>
      <c r="D517" s="1298">
        <f>+D518+D520</f>
        <v>0</v>
      </c>
      <c r="E517" s="1298">
        <f t="shared" ref="E517:N517" si="328">+E518+E520</f>
        <v>0</v>
      </c>
      <c r="F517" s="1576">
        <f t="shared" si="328"/>
        <v>0</v>
      </c>
      <c r="G517" s="1576">
        <f t="shared" si="328"/>
        <v>0</v>
      </c>
      <c r="H517" s="1576">
        <f t="shared" si="328"/>
        <v>0</v>
      </c>
      <c r="I517" s="1576">
        <f t="shared" si="328"/>
        <v>0</v>
      </c>
      <c r="J517" s="1576">
        <f t="shared" si="328"/>
        <v>0</v>
      </c>
      <c r="K517" s="1576">
        <f t="shared" si="328"/>
        <v>0</v>
      </c>
      <c r="L517" s="1576">
        <f t="shared" si="328"/>
        <v>0</v>
      </c>
      <c r="M517" s="1286">
        <f t="shared" ref="M517" si="329">+M518+M520</f>
        <v>0</v>
      </c>
      <c r="N517" s="1286">
        <f t="shared" si="328"/>
        <v>0</v>
      </c>
      <c r="O517" s="3318"/>
      <c r="P517" s="2291" t="e">
        <f>+#REF!+#REF!+F517+G517</f>
        <v>#REF!</v>
      </c>
      <c r="Q517" s="2291"/>
      <c r="R517" s="2291"/>
      <c r="S517" s="2291"/>
    </row>
    <row r="518" spans="1:19" ht="14.25" hidden="1" customHeight="1">
      <c r="A518" s="3386"/>
      <c r="B518" s="508" t="s">
        <v>23</v>
      </c>
      <c r="C518" s="3351" t="s">
        <v>103</v>
      </c>
      <c r="D518" s="1299">
        <f>+D519</f>
        <v>0</v>
      </c>
      <c r="E518" s="1299">
        <f t="shared" ref="E518:N518" si="330">+E519</f>
        <v>0</v>
      </c>
      <c r="F518" s="1577">
        <f t="shared" si="330"/>
        <v>0</v>
      </c>
      <c r="G518" s="1577">
        <f t="shared" si="330"/>
        <v>0</v>
      </c>
      <c r="H518" s="1577">
        <f t="shared" si="330"/>
        <v>0</v>
      </c>
      <c r="I518" s="1577">
        <f t="shared" si="330"/>
        <v>0</v>
      </c>
      <c r="J518" s="1577">
        <f t="shared" si="330"/>
        <v>0</v>
      </c>
      <c r="K518" s="1577">
        <f t="shared" si="330"/>
        <v>0</v>
      </c>
      <c r="L518" s="1577">
        <f t="shared" si="330"/>
        <v>0</v>
      </c>
      <c r="M518" s="1289">
        <f t="shared" si="330"/>
        <v>0</v>
      </c>
      <c r="N518" s="1289">
        <f t="shared" si="330"/>
        <v>0</v>
      </c>
      <c r="O518" s="3318"/>
      <c r="P518" s="2291"/>
    </row>
    <row r="519" spans="1:19" ht="14.25" hidden="1" customHeight="1">
      <c r="A519" s="3386"/>
      <c r="B519" s="802" t="s">
        <v>12</v>
      </c>
      <c r="C519" s="3352"/>
      <c r="D519" s="1216">
        <f t="shared" ref="D519" si="331">E519+F519+G519+H519+I519+J519+K519+L519</f>
        <v>0</v>
      </c>
      <c r="E519" s="1262"/>
      <c r="F519" s="1326">
        <v>0</v>
      </c>
      <c r="G519" s="1326">
        <v>0</v>
      </c>
      <c r="H519" s="1326">
        <v>0</v>
      </c>
      <c r="I519" s="1326">
        <v>0</v>
      </c>
      <c r="J519" s="1326">
        <v>0</v>
      </c>
      <c r="K519" s="1326">
        <v>0</v>
      </c>
      <c r="L519" s="1326">
        <v>0</v>
      </c>
      <c r="M519" s="1302">
        <f>SUM(E519:H519)</f>
        <v>0</v>
      </c>
      <c r="N519" s="1302">
        <f>SUM(F519:I519)</f>
        <v>0</v>
      </c>
      <c r="O519" s="3318"/>
    </row>
    <row r="520" spans="1:19" ht="14.25" hidden="1" customHeight="1">
      <c r="A520" s="3386"/>
      <c r="B520" s="798" t="s">
        <v>18</v>
      </c>
      <c r="C520" s="3352"/>
      <c r="D520" s="1288">
        <f t="shared" ref="D520:N520" si="332">+D521</f>
        <v>0</v>
      </c>
      <c r="E520" s="1288">
        <f t="shared" si="332"/>
        <v>0</v>
      </c>
      <c r="F520" s="1578">
        <f t="shared" si="332"/>
        <v>0</v>
      </c>
      <c r="G520" s="1578">
        <f t="shared" si="332"/>
        <v>0</v>
      </c>
      <c r="H520" s="1578">
        <f t="shared" si="332"/>
        <v>0</v>
      </c>
      <c r="I520" s="1578">
        <f t="shared" si="332"/>
        <v>0</v>
      </c>
      <c r="J520" s="1578">
        <f t="shared" si="332"/>
        <v>0</v>
      </c>
      <c r="K520" s="1578">
        <f t="shared" si="332"/>
        <v>0</v>
      </c>
      <c r="L520" s="1578">
        <f t="shared" si="332"/>
        <v>0</v>
      </c>
      <c r="M520" s="1289">
        <f t="shared" si="332"/>
        <v>0</v>
      </c>
      <c r="N520" s="1289">
        <f t="shared" si="332"/>
        <v>0</v>
      </c>
      <c r="O520" s="3318"/>
    </row>
    <row r="521" spans="1:19" ht="14.25" hidden="1" customHeight="1">
      <c r="A521" s="3386"/>
      <c r="B521" s="1579" t="s">
        <v>19</v>
      </c>
      <c r="C521" s="3352"/>
      <c r="D521" s="1216">
        <f t="shared" ref="D521" si="333">E521+F521+G521+H521+I521+J521+K521+L521</f>
        <v>0</v>
      </c>
      <c r="E521" s="1262">
        <v>0</v>
      </c>
      <c r="F521" s="1326">
        <v>0</v>
      </c>
      <c r="G521" s="1326">
        <v>0</v>
      </c>
      <c r="H521" s="1326">
        <v>0</v>
      </c>
      <c r="I521" s="1326">
        <v>0</v>
      </c>
      <c r="J521" s="1326">
        <v>0</v>
      </c>
      <c r="K521" s="1326">
        <v>0</v>
      </c>
      <c r="L521" s="1326">
        <v>0</v>
      </c>
      <c r="M521" s="1302">
        <f>SUM(E521:H521)</f>
        <v>0</v>
      </c>
      <c r="N521" s="1302">
        <f>SUM(F521:I521)</f>
        <v>0</v>
      </c>
      <c r="O521" s="3318"/>
    </row>
    <row r="522" spans="1:19" ht="14.25" hidden="1" customHeight="1">
      <c r="A522" s="3394"/>
      <c r="B522" s="531" t="s">
        <v>21</v>
      </c>
      <c r="C522" s="1284"/>
      <c r="D522" s="1285">
        <f>+D523</f>
        <v>0</v>
      </c>
      <c r="E522" s="1285">
        <f t="shared" ref="E522:L523" si="334">+E523</f>
        <v>0</v>
      </c>
      <c r="F522" s="1580">
        <f t="shared" si="334"/>
        <v>0</v>
      </c>
      <c r="G522" s="1580">
        <f t="shared" si="334"/>
        <v>0</v>
      </c>
      <c r="H522" s="1580">
        <f t="shared" si="334"/>
        <v>0</v>
      </c>
      <c r="I522" s="1580">
        <f t="shared" si="334"/>
        <v>0</v>
      </c>
      <c r="J522" s="1580">
        <f t="shared" si="334"/>
        <v>0</v>
      </c>
      <c r="K522" s="1580">
        <f t="shared" si="334"/>
        <v>0</v>
      </c>
      <c r="L522" s="1580">
        <f t="shared" si="334"/>
        <v>0</v>
      </c>
      <c r="M522" s="3368" t="s">
        <v>22</v>
      </c>
      <c r="N522" s="3368" t="s">
        <v>22</v>
      </c>
      <c r="O522" s="3349"/>
    </row>
    <row r="523" spans="1:19" s="3183" customFormat="1" ht="14.25" hidden="1" customHeight="1">
      <c r="A523" s="3394"/>
      <c r="B523" s="798" t="s">
        <v>18</v>
      </c>
      <c r="C523" s="3351" t="s">
        <v>104</v>
      </c>
      <c r="D523" s="1306">
        <f>+D524</f>
        <v>0</v>
      </c>
      <c r="E523" s="1313">
        <f t="shared" si="334"/>
        <v>0</v>
      </c>
      <c r="F523" s="1581">
        <f t="shared" si="334"/>
        <v>0</v>
      </c>
      <c r="G523" s="1581">
        <f t="shared" si="334"/>
        <v>0</v>
      </c>
      <c r="H523" s="1581">
        <f t="shared" si="334"/>
        <v>0</v>
      </c>
      <c r="I523" s="1581">
        <f t="shared" si="334"/>
        <v>0</v>
      </c>
      <c r="J523" s="1581">
        <f t="shared" si="334"/>
        <v>0</v>
      </c>
      <c r="K523" s="1581">
        <f t="shared" si="334"/>
        <v>0</v>
      </c>
      <c r="L523" s="1581">
        <f t="shared" si="334"/>
        <v>0</v>
      </c>
      <c r="M523" s="3366"/>
      <c r="N523" s="3366"/>
      <c r="O523" s="3349"/>
    </row>
    <row r="524" spans="1:19" s="3183" customFormat="1" ht="14.25" hidden="1" customHeight="1" thickBot="1">
      <c r="A524" s="3395"/>
      <c r="B524" s="663" t="s">
        <v>19</v>
      </c>
      <c r="C524" s="3353"/>
      <c r="D524" s="1382">
        <f t="shared" ref="D524" si="335">E524+F524+G524+H524+I524+J524+K524+L524</f>
        <v>0</v>
      </c>
      <c r="E524" s="1570">
        <v>0</v>
      </c>
      <c r="F524" s="744">
        <v>0</v>
      </c>
      <c r="G524" s="744">
        <v>0</v>
      </c>
      <c r="H524" s="744">
        <v>0</v>
      </c>
      <c r="I524" s="744">
        <v>0</v>
      </c>
      <c r="J524" s="744">
        <v>0</v>
      </c>
      <c r="K524" s="744">
        <v>0</v>
      </c>
      <c r="L524" s="744">
        <v>0</v>
      </c>
      <c r="M524" s="3367"/>
      <c r="N524" s="3367"/>
      <c r="O524" s="3350"/>
      <c r="P524" s="3186">
        <f>D524-D521</f>
        <v>0</v>
      </c>
    </row>
    <row r="525" spans="1:19" ht="21" customHeight="1" thickBot="1">
      <c r="A525" s="136" t="s">
        <v>105</v>
      </c>
      <c r="B525" s="137"/>
      <c r="C525" s="138"/>
      <c r="D525" s="139"/>
      <c r="E525" s="139"/>
      <c r="F525" s="138"/>
      <c r="G525" s="138"/>
      <c r="H525" s="138"/>
      <c r="I525" s="138"/>
      <c r="J525" s="138"/>
      <c r="K525" s="138"/>
      <c r="L525" s="138"/>
      <c r="M525" s="138"/>
      <c r="N525" s="138"/>
      <c r="O525" s="140"/>
    </row>
    <row r="526" spans="1:19" s="747" customFormat="1" ht="15.75" customHeight="1">
      <c r="A526" s="3374"/>
      <c r="B526" s="211" t="s">
        <v>68</v>
      </c>
      <c r="C526" s="203"/>
      <c r="D526" s="212">
        <f>+D527+D528</f>
        <v>1153757146</v>
      </c>
      <c r="E526" s="212">
        <f t="shared" ref="E526" si="336">+E527+E528</f>
        <v>367194414</v>
      </c>
      <c r="F526" s="212">
        <f t="shared" ref="F526" si="337">+F527+F528</f>
        <v>166997344</v>
      </c>
      <c r="G526" s="212">
        <f t="shared" ref="G526:L526" si="338">+G527+G528</f>
        <v>197003192</v>
      </c>
      <c r="H526" s="212">
        <f t="shared" si="338"/>
        <v>201020429</v>
      </c>
      <c r="I526" s="212">
        <f t="shared" si="338"/>
        <v>178597825</v>
      </c>
      <c r="J526" s="212">
        <f t="shared" si="338"/>
        <v>25145000</v>
      </c>
      <c r="K526" s="212">
        <f t="shared" si="338"/>
        <v>17798942</v>
      </c>
      <c r="L526" s="212">
        <f t="shared" si="338"/>
        <v>0</v>
      </c>
      <c r="M526" s="16">
        <f>+M527+M528</f>
        <v>786562732</v>
      </c>
      <c r="N526" s="16">
        <f>+N527+N528</f>
        <v>619565388</v>
      </c>
      <c r="O526" s="745"/>
      <c r="P526" s="746"/>
    </row>
    <row r="527" spans="1:19" s="747" customFormat="1" ht="11.25" customHeight="1">
      <c r="A527" s="3375"/>
      <c r="B527" s="205" t="s">
        <v>69</v>
      </c>
      <c r="C527" s="377"/>
      <c r="D527" s="207">
        <f t="shared" ref="D527:N527" si="339">D542+D601+D605+D618+D626+D638+D642+D650</f>
        <v>937778675</v>
      </c>
      <c r="E527" s="207">
        <f t="shared" ref="E527" si="340">E542+E601+E605+E618+E626+E638+E642+E650</f>
        <v>328478944</v>
      </c>
      <c r="F527" s="207">
        <f t="shared" si="339"/>
        <v>125586332</v>
      </c>
      <c r="G527" s="207">
        <f t="shared" si="339"/>
        <v>141831422</v>
      </c>
      <c r="H527" s="207">
        <f t="shared" si="339"/>
        <v>155377937</v>
      </c>
      <c r="I527" s="207">
        <f t="shared" si="339"/>
        <v>143560098</v>
      </c>
      <c r="J527" s="207">
        <f t="shared" si="339"/>
        <v>25145000</v>
      </c>
      <c r="K527" s="207">
        <f t="shared" si="339"/>
        <v>17798942</v>
      </c>
      <c r="L527" s="207">
        <f t="shared" si="339"/>
        <v>0</v>
      </c>
      <c r="M527" s="18">
        <f t="shared" ref="M527" si="341">M542+M601+M605+M618+M626+M638+M642+M650</f>
        <v>609299731</v>
      </c>
      <c r="N527" s="18">
        <f t="shared" si="339"/>
        <v>483713399</v>
      </c>
      <c r="O527" s="745"/>
    </row>
    <row r="528" spans="1:19" s="747" customFormat="1" ht="13.5" customHeight="1">
      <c r="A528" s="3375"/>
      <c r="B528" s="664" t="s">
        <v>9</v>
      </c>
      <c r="C528" s="748"/>
      <c r="D528" s="749">
        <f t="shared" ref="D528:N528" si="342">D555+D563+D567+D579+D594+D634+D646+D658+D666+D673</f>
        <v>215978471</v>
      </c>
      <c r="E528" s="749">
        <f t="shared" si="342"/>
        <v>38715470</v>
      </c>
      <c r="F528" s="749">
        <f t="shared" si="342"/>
        <v>41411012</v>
      </c>
      <c r="G528" s="749">
        <f t="shared" si="342"/>
        <v>55171770</v>
      </c>
      <c r="H528" s="749">
        <f t="shared" si="342"/>
        <v>45642492</v>
      </c>
      <c r="I528" s="749">
        <f t="shared" si="342"/>
        <v>35037727</v>
      </c>
      <c r="J528" s="749">
        <f t="shared" si="342"/>
        <v>0</v>
      </c>
      <c r="K528" s="749">
        <f t="shared" si="342"/>
        <v>0</v>
      </c>
      <c r="L528" s="749">
        <f t="shared" si="342"/>
        <v>0</v>
      </c>
      <c r="M528" s="18">
        <f t="shared" si="342"/>
        <v>177263001</v>
      </c>
      <c r="N528" s="18">
        <f t="shared" si="342"/>
        <v>135851989</v>
      </c>
      <c r="O528" s="745"/>
      <c r="P528" s="746"/>
    </row>
    <row r="529" spans="1:17" s="747" customFormat="1" ht="14.25" customHeight="1">
      <c r="A529" s="3375"/>
      <c r="B529" s="28" t="s">
        <v>10</v>
      </c>
      <c r="C529" s="22"/>
      <c r="D529" s="29">
        <f>+D530</f>
        <v>1153757146</v>
      </c>
      <c r="E529" s="29">
        <f t="shared" ref="E529:L530" si="343">+E530</f>
        <v>367194414</v>
      </c>
      <c r="F529" s="29">
        <f t="shared" si="343"/>
        <v>166997344</v>
      </c>
      <c r="G529" s="29">
        <f t="shared" si="343"/>
        <v>197003192</v>
      </c>
      <c r="H529" s="29">
        <f t="shared" si="343"/>
        <v>201020429</v>
      </c>
      <c r="I529" s="29">
        <f t="shared" si="343"/>
        <v>178597825</v>
      </c>
      <c r="J529" s="29">
        <f t="shared" si="343"/>
        <v>25145000</v>
      </c>
      <c r="K529" s="29">
        <f t="shared" si="343"/>
        <v>17798942</v>
      </c>
      <c r="L529" s="29">
        <f t="shared" si="343"/>
        <v>0</v>
      </c>
      <c r="M529" s="30">
        <f>+M530</f>
        <v>786562732</v>
      </c>
      <c r="N529" s="30">
        <f>+N530</f>
        <v>619565388</v>
      </c>
      <c r="O529" s="750"/>
      <c r="P529" s="746">
        <f>N529-N526</f>
        <v>0</v>
      </c>
    </row>
    <row r="530" spans="1:17" s="754" customFormat="1" ht="12">
      <c r="A530" s="3375"/>
      <c r="B530" s="751" t="s">
        <v>23</v>
      </c>
      <c r="C530" s="752"/>
      <c r="D530" s="378">
        <f>SUM(D531:D534)</f>
        <v>1153757146</v>
      </c>
      <c r="E530" s="378">
        <f t="shared" ref="E530" si="344">SUM(E531:E534)</f>
        <v>367194414</v>
      </c>
      <c r="F530" s="378">
        <f t="shared" ref="F530:I530" si="345">SUM(F531:F534)</f>
        <v>166997344</v>
      </c>
      <c r="G530" s="378">
        <f t="shared" si="345"/>
        <v>197003192</v>
      </c>
      <c r="H530" s="378">
        <f t="shared" si="345"/>
        <v>201020429</v>
      </c>
      <c r="I530" s="378">
        <f t="shared" si="345"/>
        <v>178597825</v>
      </c>
      <c r="J530" s="378">
        <f t="shared" si="343"/>
        <v>25145000</v>
      </c>
      <c r="K530" s="378">
        <f t="shared" si="343"/>
        <v>17798942</v>
      </c>
      <c r="L530" s="378">
        <f t="shared" si="343"/>
        <v>0</v>
      </c>
      <c r="M530" s="77">
        <f>SUM(M531:M534)</f>
        <v>786562732</v>
      </c>
      <c r="N530" s="77">
        <f>SUM(N531:N534)</f>
        <v>619565388</v>
      </c>
      <c r="O530" s="2228"/>
      <c r="P530" s="753"/>
    </row>
    <row r="531" spans="1:17" s="747" customFormat="1" thickBot="1">
      <c r="A531" s="3375"/>
      <c r="B531" s="680" t="s">
        <v>12</v>
      </c>
      <c r="C531" s="681"/>
      <c r="D531" s="379">
        <f t="shared" ref="D531:L531" si="346">+D544+D553+D557+D565+D569+D675+D573+D581+D588+D603+D607+D616+D620+D628+D636+D644+D596+D640+D648+D652+D660+D668</f>
        <v>1028633027</v>
      </c>
      <c r="E531" s="379">
        <f t="shared" si="346"/>
        <v>362500650</v>
      </c>
      <c r="F531" s="379">
        <f t="shared" si="346"/>
        <v>129567608</v>
      </c>
      <c r="G531" s="379">
        <f t="shared" si="346"/>
        <v>149960949</v>
      </c>
      <c r="H531" s="379">
        <f t="shared" si="346"/>
        <v>174761943</v>
      </c>
      <c r="I531" s="379">
        <f t="shared" si="346"/>
        <v>168897935</v>
      </c>
      <c r="J531" s="379">
        <f t="shared" si="346"/>
        <v>25145000</v>
      </c>
      <c r="K531" s="379">
        <f t="shared" si="346"/>
        <v>17798942</v>
      </c>
      <c r="L531" s="379">
        <f t="shared" si="346"/>
        <v>0</v>
      </c>
      <c r="M531" s="796">
        <f t="shared" ref="M531:N534" si="347">SUM(F531:K531)</f>
        <v>666132377</v>
      </c>
      <c r="N531" s="796">
        <f t="shared" si="347"/>
        <v>536564769</v>
      </c>
      <c r="O531" s="3380"/>
      <c r="P531" s="746"/>
    </row>
    <row r="532" spans="1:17" s="747" customFormat="1" thickBot="1">
      <c r="A532" s="3375"/>
      <c r="B532" s="680" t="s">
        <v>70</v>
      </c>
      <c r="C532" s="681"/>
      <c r="D532" s="379">
        <f>D621+D629+D653</f>
        <v>49043728</v>
      </c>
      <c r="E532" s="379">
        <f t="shared" ref="E532" si="348">E621+E629+E653</f>
        <v>0</v>
      </c>
      <c r="F532" s="379">
        <f t="shared" ref="F532:L532" si="349">F621+F629+F653</f>
        <v>23425991</v>
      </c>
      <c r="G532" s="379">
        <f t="shared" si="349"/>
        <v>25617737</v>
      </c>
      <c r="H532" s="379">
        <f t="shared" si="349"/>
        <v>0</v>
      </c>
      <c r="I532" s="379">
        <f t="shared" si="349"/>
        <v>0</v>
      </c>
      <c r="J532" s="379">
        <f t="shared" si="349"/>
        <v>0</v>
      </c>
      <c r="K532" s="379">
        <f t="shared" si="349"/>
        <v>0</v>
      </c>
      <c r="L532" s="379">
        <f t="shared" si="349"/>
        <v>0</v>
      </c>
      <c r="M532" s="796">
        <f t="shared" si="347"/>
        <v>49043728</v>
      </c>
      <c r="N532" s="796">
        <f t="shared" si="347"/>
        <v>25617737</v>
      </c>
      <c r="O532" s="3381"/>
      <c r="P532" s="746"/>
    </row>
    <row r="533" spans="1:17" s="747" customFormat="1" thickBot="1">
      <c r="A533" s="3375"/>
      <c r="B533" s="680" t="s">
        <v>15</v>
      </c>
      <c r="C533" s="681"/>
      <c r="D533" s="379">
        <f t="shared" ref="D533:L533" si="350">+D558+D574+D589+D608+D661</f>
        <v>13631190</v>
      </c>
      <c r="E533" s="379">
        <f t="shared" ref="E533" si="351">+E558+E574+E589+E608+E661</f>
        <v>4693764</v>
      </c>
      <c r="F533" s="379">
        <f t="shared" si="350"/>
        <v>4000167</v>
      </c>
      <c r="G533" s="379">
        <f t="shared" si="350"/>
        <v>4937259</v>
      </c>
      <c r="H533" s="379">
        <f t="shared" si="350"/>
        <v>0</v>
      </c>
      <c r="I533" s="379">
        <f t="shared" si="350"/>
        <v>0</v>
      </c>
      <c r="J533" s="379">
        <f t="shared" si="350"/>
        <v>0</v>
      </c>
      <c r="K533" s="379">
        <f t="shared" si="350"/>
        <v>0</v>
      </c>
      <c r="L533" s="379">
        <f t="shared" si="350"/>
        <v>0</v>
      </c>
      <c r="M533" s="796">
        <f t="shared" si="347"/>
        <v>8937426</v>
      </c>
      <c r="N533" s="796">
        <f t="shared" si="347"/>
        <v>4937259</v>
      </c>
      <c r="O533" s="3381"/>
      <c r="P533" s="746">
        <f>D533-D539</f>
        <v>0</v>
      </c>
    </row>
    <row r="534" spans="1:17" s="747" customFormat="1" ht="13.5" customHeight="1" thickBot="1">
      <c r="A534" s="3375"/>
      <c r="B534" s="680" t="s">
        <v>98</v>
      </c>
      <c r="C534" s="681"/>
      <c r="D534" s="379">
        <f>D545</f>
        <v>62449201</v>
      </c>
      <c r="E534" s="379">
        <f t="shared" ref="E534" si="352">E545</f>
        <v>0</v>
      </c>
      <c r="F534" s="379">
        <f t="shared" ref="F534:L534" si="353">F545</f>
        <v>10003578</v>
      </c>
      <c r="G534" s="379">
        <f t="shared" si="353"/>
        <v>16487247</v>
      </c>
      <c r="H534" s="379">
        <f t="shared" si="353"/>
        <v>26258486</v>
      </c>
      <c r="I534" s="379">
        <f t="shared" si="353"/>
        <v>9699890</v>
      </c>
      <c r="J534" s="379">
        <f t="shared" si="353"/>
        <v>0</v>
      </c>
      <c r="K534" s="379">
        <f t="shared" si="353"/>
        <v>0</v>
      </c>
      <c r="L534" s="379">
        <f t="shared" si="353"/>
        <v>0</v>
      </c>
      <c r="M534" s="796">
        <f t="shared" si="347"/>
        <v>62449201</v>
      </c>
      <c r="N534" s="796">
        <f t="shared" si="347"/>
        <v>52445623</v>
      </c>
      <c r="O534" s="3381"/>
      <c r="P534" s="746"/>
    </row>
    <row r="535" spans="1:17" s="747" customFormat="1" ht="13.5" customHeight="1" thickBot="1">
      <c r="A535" s="3375"/>
      <c r="B535" s="80" t="s">
        <v>21</v>
      </c>
      <c r="C535" s="22"/>
      <c r="D535" s="29">
        <f>+D536</f>
        <v>228592156</v>
      </c>
      <c r="E535" s="29">
        <f t="shared" ref="E535:L535" si="354">+E536</f>
        <v>56644776</v>
      </c>
      <c r="F535" s="29">
        <f t="shared" si="354"/>
        <v>49455283</v>
      </c>
      <c r="G535" s="29">
        <f t="shared" si="354"/>
        <v>61010927</v>
      </c>
      <c r="H535" s="29">
        <f t="shared" si="354"/>
        <v>31425585</v>
      </c>
      <c r="I535" s="29">
        <f t="shared" si="354"/>
        <v>30055585</v>
      </c>
      <c r="J535" s="29">
        <f t="shared" si="354"/>
        <v>0</v>
      </c>
      <c r="K535" s="29">
        <f t="shared" si="354"/>
        <v>0</v>
      </c>
      <c r="L535" s="29">
        <f t="shared" si="354"/>
        <v>0</v>
      </c>
      <c r="M535" s="3365" t="s">
        <v>22</v>
      </c>
      <c r="N535" s="3369" t="s">
        <v>22</v>
      </c>
      <c r="O535" s="3381"/>
    </row>
    <row r="536" spans="1:17" s="747" customFormat="1" ht="12" customHeight="1" thickBot="1">
      <c r="A536" s="3375"/>
      <c r="B536" s="751" t="s">
        <v>23</v>
      </c>
      <c r="C536" s="686"/>
      <c r="D536" s="222">
        <f>+D537+D539+D538+D540</f>
        <v>228592156</v>
      </c>
      <c r="E536" s="222">
        <f t="shared" ref="E536" si="355">+E537+E539+E538+E540</f>
        <v>56644776</v>
      </c>
      <c r="F536" s="222">
        <f t="shared" ref="F536:L536" si="356">+F537+F539+F538+F540</f>
        <v>49455283</v>
      </c>
      <c r="G536" s="222">
        <f t="shared" si="356"/>
        <v>61010927</v>
      </c>
      <c r="H536" s="222">
        <f t="shared" si="356"/>
        <v>31425585</v>
      </c>
      <c r="I536" s="222">
        <f t="shared" si="356"/>
        <v>30055585</v>
      </c>
      <c r="J536" s="222">
        <f t="shared" si="356"/>
        <v>0</v>
      </c>
      <c r="K536" s="222">
        <f t="shared" si="356"/>
        <v>0</v>
      </c>
      <c r="L536" s="222">
        <f t="shared" si="356"/>
        <v>0</v>
      </c>
      <c r="M536" s="3366"/>
      <c r="N536" s="3370"/>
      <c r="O536" s="3381"/>
    </row>
    <row r="537" spans="1:17" s="747" customFormat="1" ht="12" customHeight="1" thickBot="1">
      <c r="A537" s="3375"/>
      <c r="B537" s="680" t="s">
        <v>209</v>
      </c>
      <c r="C537" s="380"/>
      <c r="D537" s="141">
        <f>+D611+D599+D584+D671+D549</f>
        <v>103468037</v>
      </c>
      <c r="E537" s="141">
        <f t="shared" ref="E537:L537" si="357">+E611+E599+E584+E671+E549</f>
        <v>23178951</v>
      </c>
      <c r="F537" s="141">
        <f t="shared" si="357"/>
        <v>13609840</v>
      </c>
      <c r="G537" s="141">
        <f>+G611+G599+G584+G671+G549</f>
        <v>22036646</v>
      </c>
      <c r="H537" s="141">
        <f t="shared" si="357"/>
        <v>23006300</v>
      </c>
      <c r="I537" s="141">
        <f t="shared" si="357"/>
        <v>21636300</v>
      </c>
      <c r="J537" s="141">
        <f t="shared" si="357"/>
        <v>0</v>
      </c>
      <c r="K537" s="141">
        <f t="shared" si="357"/>
        <v>0</v>
      </c>
      <c r="L537" s="141">
        <f t="shared" si="357"/>
        <v>0</v>
      </c>
      <c r="M537" s="3366"/>
      <c r="N537" s="3370"/>
      <c r="O537" s="3381"/>
      <c r="Q537" s="746">
        <v>28500000</v>
      </c>
    </row>
    <row r="538" spans="1:17" s="747" customFormat="1" ht="12" customHeight="1" thickBot="1">
      <c r="A538" s="2934"/>
      <c r="B538" s="680" t="s">
        <v>70</v>
      </c>
      <c r="C538" s="380"/>
      <c r="D538" s="379">
        <f>D624+D632+D656</f>
        <v>49043728</v>
      </c>
      <c r="E538" s="379">
        <f t="shared" ref="E538" si="358">E624+E632+E656</f>
        <v>0</v>
      </c>
      <c r="F538" s="379">
        <f t="shared" ref="F538:L538" si="359">F624+F632+F656</f>
        <v>23425991</v>
      </c>
      <c r="G538" s="379">
        <f t="shared" si="359"/>
        <v>25617737</v>
      </c>
      <c r="H538" s="379">
        <f t="shared" si="359"/>
        <v>0</v>
      </c>
      <c r="I538" s="379">
        <f t="shared" si="359"/>
        <v>0</v>
      </c>
      <c r="J538" s="379">
        <f t="shared" si="359"/>
        <v>0</v>
      </c>
      <c r="K538" s="379">
        <f t="shared" si="359"/>
        <v>0</v>
      </c>
      <c r="L538" s="379">
        <f t="shared" si="359"/>
        <v>0</v>
      </c>
      <c r="M538" s="3366"/>
      <c r="N538" s="3370"/>
      <c r="O538" s="3381"/>
      <c r="P538" s="746">
        <f>D538-D532</f>
        <v>0</v>
      </c>
      <c r="Q538" s="746">
        <v>4072498</v>
      </c>
    </row>
    <row r="539" spans="1:17" s="747" customFormat="1" ht="12" customHeight="1" thickBot="1">
      <c r="A539" s="2934"/>
      <c r="B539" s="680" t="s">
        <v>15</v>
      </c>
      <c r="C539" s="380"/>
      <c r="D539" s="141">
        <f t="shared" ref="D539:L539" si="360">+D561+D577+D592+D612+D664</f>
        <v>13631190</v>
      </c>
      <c r="E539" s="141">
        <f t="shared" ref="E539" si="361">+E561+E577+E592+E612+E664</f>
        <v>4693764</v>
      </c>
      <c r="F539" s="141">
        <f t="shared" si="360"/>
        <v>4000167</v>
      </c>
      <c r="G539" s="141">
        <f t="shared" si="360"/>
        <v>4937259</v>
      </c>
      <c r="H539" s="141">
        <f t="shared" si="360"/>
        <v>0</v>
      </c>
      <c r="I539" s="141">
        <f t="shared" si="360"/>
        <v>0</v>
      </c>
      <c r="J539" s="141">
        <f t="shared" si="360"/>
        <v>0</v>
      </c>
      <c r="K539" s="141">
        <f t="shared" si="360"/>
        <v>0</v>
      </c>
      <c r="L539" s="141">
        <f t="shared" si="360"/>
        <v>0</v>
      </c>
      <c r="M539" s="3366"/>
      <c r="N539" s="3370"/>
      <c r="O539" s="3381"/>
      <c r="Q539" s="746">
        <v>1570791</v>
      </c>
    </row>
    <row r="540" spans="1:17" s="747" customFormat="1" ht="12" customHeight="1" thickBot="1">
      <c r="A540" s="2935"/>
      <c r="B540" s="2365" t="s">
        <v>98</v>
      </c>
      <c r="C540" s="2294"/>
      <c r="D540" s="2366">
        <f>D548</f>
        <v>62449201</v>
      </c>
      <c r="E540" s="2366">
        <f t="shared" ref="E540" si="362">E548</f>
        <v>28772061</v>
      </c>
      <c r="F540" s="2366">
        <f t="shared" ref="F540:L540" si="363">F548</f>
        <v>8419285</v>
      </c>
      <c r="G540" s="2366">
        <f t="shared" si="363"/>
        <v>8419285</v>
      </c>
      <c r="H540" s="2366">
        <f t="shared" si="363"/>
        <v>8419285</v>
      </c>
      <c r="I540" s="2366">
        <f t="shared" si="363"/>
        <v>8419285</v>
      </c>
      <c r="J540" s="2366">
        <f t="shared" si="363"/>
        <v>0</v>
      </c>
      <c r="K540" s="2366">
        <f t="shared" si="363"/>
        <v>0</v>
      </c>
      <c r="L540" s="2366">
        <f t="shared" si="363"/>
        <v>0</v>
      </c>
      <c r="M540" s="3367"/>
      <c r="N540" s="3370"/>
      <c r="O540" s="3381"/>
    </row>
    <row r="541" spans="1:17" s="747" customFormat="1" ht="13.5" customHeight="1">
      <c r="A541" s="3374" t="s">
        <v>55</v>
      </c>
      <c r="B541" s="366" t="s">
        <v>745</v>
      </c>
      <c r="C541" s="56" t="s">
        <v>101</v>
      </c>
      <c r="D541" s="2640"/>
      <c r="E541" s="2641"/>
      <c r="F541" s="2641"/>
      <c r="G541" s="2641"/>
      <c r="H541" s="2641"/>
      <c r="I541" s="2641"/>
      <c r="J541" s="2641"/>
      <c r="K541" s="2641"/>
      <c r="L541" s="2642"/>
      <c r="M541" s="1131"/>
      <c r="N541" s="1131"/>
      <c r="O541" s="3378" t="s">
        <v>94</v>
      </c>
    </row>
    <row r="542" spans="1:17" s="747" customFormat="1" ht="13.5" customHeight="1">
      <c r="A542" s="3375"/>
      <c r="B542" s="2055" t="s">
        <v>10</v>
      </c>
      <c r="C542" s="2495"/>
      <c r="D542" s="1588">
        <f>+D543</f>
        <v>125100071</v>
      </c>
      <c r="E542" s="1588">
        <f t="shared" ref="E542:K542" si="364">+E543</f>
        <v>2184218</v>
      </c>
      <c r="F542" s="1588">
        <f t="shared" si="364"/>
        <v>12304401</v>
      </c>
      <c r="G542" s="1588">
        <f t="shared" si="364"/>
        <v>20559573</v>
      </c>
      <c r="H542" s="1588">
        <f t="shared" si="364"/>
        <v>32297937</v>
      </c>
      <c r="I542" s="1588">
        <f t="shared" si="364"/>
        <v>22700000</v>
      </c>
      <c r="J542" s="1588">
        <f t="shared" si="364"/>
        <v>21200000</v>
      </c>
      <c r="K542" s="1588">
        <f t="shared" si="364"/>
        <v>13853942</v>
      </c>
      <c r="L542" s="1314">
        <v>0</v>
      </c>
      <c r="M542" s="1340">
        <f>+M543</f>
        <v>122915853</v>
      </c>
      <c r="N542" s="1340">
        <f>+N543</f>
        <v>110611452</v>
      </c>
      <c r="O542" s="3379"/>
      <c r="P542" s="746"/>
    </row>
    <row r="543" spans="1:17" s="747" customFormat="1" ht="13.5" customHeight="1">
      <c r="A543" s="3375"/>
      <c r="B543" s="2708" t="s">
        <v>23</v>
      </c>
      <c r="C543" s="3351" t="s">
        <v>91</v>
      </c>
      <c r="D543" s="1589">
        <f>D544+D545</f>
        <v>125100071</v>
      </c>
      <c r="E543" s="1589">
        <f t="shared" ref="E543:G543" si="365">E544+E545</f>
        <v>2184218</v>
      </c>
      <c r="F543" s="1589">
        <f>F544+F545</f>
        <v>12304401</v>
      </c>
      <c r="G543" s="1589">
        <f t="shared" si="365"/>
        <v>20559573</v>
      </c>
      <c r="H543" s="1589">
        <f t="shared" ref="H543" si="366">H544+H545</f>
        <v>32297937</v>
      </c>
      <c r="I543" s="1589">
        <f t="shared" ref="I543:K543" si="367">I544+I545</f>
        <v>22700000</v>
      </c>
      <c r="J543" s="1589">
        <f t="shared" si="367"/>
        <v>21200000</v>
      </c>
      <c r="K543" s="1589">
        <f t="shared" si="367"/>
        <v>13853942</v>
      </c>
      <c r="L543" s="1312">
        <v>0</v>
      </c>
      <c r="M543" s="1325">
        <f>+M544+M545</f>
        <v>122915853</v>
      </c>
      <c r="N543" s="1325">
        <f>+N544+N545</f>
        <v>110611452</v>
      </c>
      <c r="O543" s="3379"/>
    </row>
    <row r="544" spans="1:17" s="747" customFormat="1" ht="13.5" customHeight="1">
      <c r="A544" s="3375"/>
      <c r="B544" s="2709" t="s">
        <v>12</v>
      </c>
      <c r="C544" s="3347"/>
      <c r="D544" s="3202">
        <f>E544+F544+G544+H544+I544+J544+K544+L544</f>
        <v>62650870</v>
      </c>
      <c r="E544" s="1262">
        <v>2184218</v>
      </c>
      <c r="F544" s="1590">
        <f>23370000-5870000+3500000-18079000-620177</f>
        <v>2300823</v>
      </c>
      <c r="G544" s="1590">
        <f>5009055-1164582+227853</f>
        <v>4072326</v>
      </c>
      <c r="H544" s="1590">
        <f>3791381+2248070</f>
        <v>6039451</v>
      </c>
      <c r="I544" s="1590">
        <f>7563540+5436570</f>
        <v>13000110</v>
      </c>
      <c r="J544" s="1590">
        <v>21200000</v>
      </c>
      <c r="K544" s="1590">
        <v>13853942</v>
      </c>
      <c r="L544" s="1245">
        <v>0</v>
      </c>
      <c r="M544" s="1302">
        <f>SUM(F544:K544)</f>
        <v>60466652</v>
      </c>
      <c r="N544" s="1302">
        <f>SUM(G544:L544)</f>
        <v>58165829</v>
      </c>
      <c r="O544" s="3379"/>
      <c r="P544" s="746"/>
    </row>
    <row r="545" spans="1:16" s="747" customFormat="1" ht="13.5" customHeight="1">
      <c r="A545" s="3375"/>
      <c r="B545" s="3203" t="s">
        <v>98</v>
      </c>
      <c r="C545" s="3348"/>
      <c r="D545" s="3133">
        <f>E545+F545+G545+H545+I545+J545+K545+L545</f>
        <v>62449201</v>
      </c>
      <c r="E545" s="1262">
        <v>0</v>
      </c>
      <c r="F545" s="107">
        <f>12700000-2696422</f>
        <v>10003578</v>
      </c>
      <c r="G545" s="107">
        <f>21778500-5291253</f>
        <v>16487247</v>
      </c>
      <c r="H545" s="107">
        <f>16484263+9774223</f>
        <v>26258486</v>
      </c>
      <c r="I545" s="107">
        <f>14182860-4482970</f>
        <v>9699890</v>
      </c>
      <c r="J545" s="1115">
        <v>0</v>
      </c>
      <c r="K545" s="1115">
        <v>0</v>
      </c>
      <c r="L545" s="1115">
        <v>0</v>
      </c>
      <c r="M545" s="1302">
        <f>SUM(F545:K545)</f>
        <v>62449201</v>
      </c>
      <c r="N545" s="1302">
        <f>SUM(G545:L545)</f>
        <v>52445623</v>
      </c>
      <c r="O545" s="3379"/>
      <c r="P545" s="746"/>
    </row>
    <row r="546" spans="1:16" s="747" customFormat="1" ht="13.5" customHeight="1">
      <c r="A546" s="3375"/>
      <c r="B546" s="182" t="s">
        <v>21</v>
      </c>
      <c r="C546" s="88"/>
      <c r="D546" s="1132">
        <f>D547</f>
        <v>62677054</v>
      </c>
      <c r="E546" s="1132">
        <f t="shared" ref="E546:L547" si="368">E547</f>
        <v>28772061</v>
      </c>
      <c r="F546" s="1132">
        <f t="shared" si="368"/>
        <v>8419285</v>
      </c>
      <c r="G546" s="1132">
        <f t="shared" si="368"/>
        <v>8647138</v>
      </c>
      <c r="H546" s="1132">
        <f t="shared" si="368"/>
        <v>8419285</v>
      </c>
      <c r="I546" s="1132">
        <f t="shared" si="368"/>
        <v>8419285</v>
      </c>
      <c r="J546" s="1133">
        <f t="shared" si="368"/>
        <v>0</v>
      </c>
      <c r="K546" s="1133">
        <f t="shared" si="368"/>
        <v>0</v>
      </c>
      <c r="L546" s="1133">
        <f t="shared" si="368"/>
        <v>0</v>
      </c>
      <c r="M546" s="3532" t="s">
        <v>22</v>
      </c>
      <c r="N546" s="3376" t="s">
        <v>22</v>
      </c>
      <c r="O546" s="3379"/>
      <c r="P546" s="746"/>
    </row>
    <row r="547" spans="1:16" s="747" customFormat="1" ht="14.25" customHeight="1">
      <c r="A547" s="3375"/>
      <c r="B547" s="3204" t="s">
        <v>23</v>
      </c>
      <c r="C547" s="3351" t="s">
        <v>91</v>
      </c>
      <c r="D547" s="3205">
        <f>D548+D549</f>
        <v>62677054</v>
      </c>
      <c r="E547" s="2894">
        <f t="shared" ref="E547:I547" si="369">E548+E549</f>
        <v>28772061</v>
      </c>
      <c r="F547" s="2894">
        <f t="shared" si="369"/>
        <v>8419285</v>
      </c>
      <c r="G547" s="3205">
        <f t="shared" si="369"/>
        <v>8647138</v>
      </c>
      <c r="H547" s="2894">
        <f t="shared" si="369"/>
        <v>8419285</v>
      </c>
      <c r="I547" s="2894">
        <f t="shared" si="369"/>
        <v>8419285</v>
      </c>
      <c r="J547" s="1591">
        <f t="shared" si="368"/>
        <v>0</v>
      </c>
      <c r="K547" s="1591">
        <f t="shared" si="368"/>
        <v>0</v>
      </c>
      <c r="L547" s="1591">
        <f t="shared" si="368"/>
        <v>0</v>
      </c>
      <c r="M547" s="3532"/>
      <c r="N547" s="3377"/>
      <c r="O547" s="3379"/>
      <c r="P547" s="746"/>
    </row>
    <row r="548" spans="1:16" s="747" customFormat="1" ht="13.5" customHeight="1">
      <c r="A548" s="3375"/>
      <c r="B548" s="3203" t="s">
        <v>98</v>
      </c>
      <c r="C548" s="3347"/>
      <c r="D548" s="3133">
        <f>E548+F548+G548+H548+I548+J548+K548+L548</f>
        <v>62449201</v>
      </c>
      <c r="E548" s="1267">
        <v>28772061</v>
      </c>
      <c r="F548" s="1267">
        <v>8419285</v>
      </c>
      <c r="G548" s="3133">
        <v>8419285</v>
      </c>
      <c r="H548" s="1267">
        <v>8419285</v>
      </c>
      <c r="I548" s="1267">
        <v>8419285</v>
      </c>
      <c r="J548" s="1591">
        <v>0</v>
      </c>
      <c r="K548" s="1591">
        <v>0</v>
      </c>
      <c r="L548" s="1591">
        <v>0</v>
      </c>
      <c r="M548" s="3533"/>
      <c r="N548" s="3377"/>
      <c r="O548" s="3379"/>
      <c r="P548" s="746"/>
    </row>
    <row r="549" spans="1:16" s="747" customFormat="1" ht="15" customHeight="1" thickBot="1">
      <c r="A549" s="3375"/>
      <c r="B549" s="2709" t="s">
        <v>12</v>
      </c>
      <c r="C549" s="3347"/>
      <c r="D549" s="3133">
        <f>E549+F549+G549+H549+I549+J549+K549+L549</f>
        <v>227853</v>
      </c>
      <c r="E549" s="2893">
        <v>0</v>
      </c>
      <c r="F549" s="2893">
        <v>0</v>
      </c>
      <c r="G549" s="3206">
        <v>227853</v>
      </c>
      <c r="H549" s="2893">
        <v>0</v>
      </c>
      <c r="I549" s="2893">
        <v>0</v>
      </c>
      <c r="J549" s="2893">
        <v>0</v>
      </c>
      <c r="K549" s="2893">
        <v>0</v>
      </c>
      <c r="L549" s="2893">
        <v>0</v>
      </c>
      <c r="M549" s="2936"/>
      <c r="N549" s="3377"/>
      <c r="O549" s="3379"/>
      <c r="P549" s="746"/>
    </row>
    <row r="550" spans="1:16" s="747" customFormat="1" ht="14.25" hidden="1" customHeight="1">
      <c r="A550" s="3375"/>
      <c r="B550" s="381"/>
      <c r="C550" s="755"/>
      <c r="D550" s="82"/>
      <c r="E550" s="241"/>
      <c r="F550" s="241"/>
      <c r="G550" s="241"/>
      <c r="H550" s="241"/>
      <c r="I550" s="241"/>
      <c r="J550" s="241"/>
      <c r="K550" s="241"/>
      <c r="L550" s="241"/>
      <c r="M550" s="242"/>
      <c r="N550" s="242"/>
      <c r="O550" s="3319"/>
    </row>
    <row r="551" spans="1:16" s="747" customFormat="1" ht="13.5" hidden="1" customHeight="1">
      <c r="A551" s="3375"/>
      <c r="B551" s="28"/>
      <c r="C551" s="88"/>
      <c r="D551" s="200"/>
      <c r="E551" s="200"/>
      <c r="F551" s="200"/>
      <c r="G551" s="200"/>
      <c r="H551" s="233"/>
      <c r="I551" s="233"/>
      <c r="J551" s="233"/>
      <c r="K551" s="233"/>
      <c r="L551" s="233"/>
      <c r="M551" s="228"/>
      <c r="N551" s="228"/>
      <c r="O551" s="3360"/>
    </row>
    <row r="552" spans="1:16" s="747" customFormat="1" ht="13.5" hidden="1" customHeight="1">
      <c r="A552" s="3375"/>
      <c r="B552" s="511"/>
      <c r="C552" s="3346"/>
      <c r="D552" s="76"/>
      <c r="E552" s="76"/>
      <c r="F552" s="76"/>
      <c r="G552" s="76"/>
      <c r="H552" s="231"/>
      <c r="I552" s="231"/>
      <c r="J552" s="231"/>
      <c r="K552" s="231"/>
      <c r="L552" s="231"/>
      <c r="M552" s="229"/>
      <c r="N552" s="229"/>
      <c r="O552" s="3360"/>
    </row>
    <row r="553" spans="1:16" s="747" customFormat="1" ht="13.5" hidden="1" customHeight="1" thickBot="1">
      <c r="A553" s="3531"/>
      <c r="B553" s="69"/>
      <c r="C553" s="3353"/>
      <c r="D553" s="85"/>
      <c r="E553" s="71"/>
      <c r="F553" s="49"/>
      <c r="G553" s="49"/>
      <c r="H553" s="234"/>
      <c r="I553" s="234"/>
      <c r="J553" s="234"/>
      <c r="K553" s="234"/>
      <c r="L553" s="234"/>
      <c r="M553" s="230"/>
      <c r="N553" s="230"/>
      <c r="O553" s="3361"/>
      <c r="P553" s="746"/>
    </row>
    <row r="554" spans="1:16" s="747" customFormat="1" ht="12" hidden="1">
      <c r="A554" s="3535"/>
      <c r="B554" s="72"/>
      <c r="C554" s="56" t="s">
        <v>74</v>
      </c>
      <c r="D554" s="701"/>
      <c r="E554" s="93"/>
      <c r="F554" s="93"/>
      <c r="G554" s="93"/>
      <c r="H554" s="93"/>
      <c r="I554" s="93"/>
      <c r="J554" s="93"/>
      <c r="K554" s="93"/>
      <c r="L554" s="93"/>
      <c r="M554" s="43"/>
      <c r="N554" s="43"/>
      <c r="O554" s="3317" t="s">
        <v>94</v>
      </c>
    </row>
    <row r="555" spans="1:16" s="747" customFormat="1" ht="15" hidden="1" customHeight="1">
      <c r="A555" s="3536"/>
      <c r="B555" s="410" t="s">
        <v>10</v>
      </c>
      <c r="C555" s="1308"/>
      <c r="D555" s="1221">
        <f>+D556</f>
        <v>0</v>
      </c>
      <c r="E555" s="1298">
        <f t="shared" ref="E555:N555" si="370">+E556</f>
        <v>0</v>
      </c>
      <c r="F555" s="1298">
        <f t="shared" si="370"/>
        <v>0</v>
      </c>
      <c r="G555" s="1314">
        <v>0</v>
      </c>
      <c r="H555" s="1314">
        <v>0</v>
      </c>
      <c r="I555" s="1314">
        <v>0</v>
      </c>
      <c r="J555" s="1314">
        <v>0</v>
      </c>
      <c r="K555" s="1314">
        <v>0</v>
      </c>
      <c r="L555" s="1314">
        <v>0</v>
      </c>
      <c r="M555" s="1222">
        <f t="shared" si="370"/>
        <v>0</v>
      </c>
      <c r="N555" s="1222">
        <f t="shared" si="370"/>
        <v>0</v>
      </c>
      <c r="O555" s="3539"/>
      <c r="P555" s="746"/>
    </row>
    <row r="556" spans="1:16" s="747" customFormat="1" ht="13.5" hidden="1" customHeight="1">
      <c r="A556" s="3536"/>
      <c r="B556" s="535" t="s">
        <v>23</v>
      </c>
      <c r="C556" s="3351"/>
      <c r="D556" s="1224">
        <f>+D557+D558</f>
        <v>0</v>
      </c>
      <c r="E556" s="1299">
        <f t="shared" ref="E556" si="371">+E557+E558</f>
        <v>0</v>
      </c>
      <c r="F556" s="1299">
        <f>+F557+F558</f>
        <v>0</v>
      </c>
      <c r="G556" s="1312">
        <v>0</v>
      </c>
      <c r="H556" s="1312">
        <v>0</v>
      </c>
      <c r="I556" s="1312">
        <v>0</v>
      </c>
      <c r="J556" s="1312">
        <v>0</v>
      </c>
      <c r="K556" s="1312">
        <v>0</v>
      </c>
      <c r="L556" s="1312">
        <v>0</v>
      </c>
      <c r="M556" s="1289">
        <f>+M557+M558</f>
        <v>0</v>
      </c>
      <c r="N556" s="1289">
        <f>+N557+N558</f>
        <v>0</v>
      </c>
      <c r="O556" s="3539"/>
    </row>
    <row r="557" spans="1:16" s="747" customFormat="1" ht="13.5" hidden="1" customHeight="1">
      <c r="A557" s="3536"/>
      <c r="B557" s="1315" t="s">
        <v>12</v>
      </c>
      <c r="C557" s="3352"/>
      <c r="D557" s="1216">
        <f>E557+F557+G557+H557+I557+J557+K557+L557</f>
        <v>0</v>
      </c>
      <c r="E557" s="1262"/>
      <c r="F557" s="1228"/>
      <c r="G557" s="1311">
        <v>0</v>
      </c>
      <c r="H557" s="1311">
        <v>0</v>
      </c>
      <c r="I557" s="1311">
        <v>0</v>
      </c>
      <c r="J557" s="1311">
        <v>0</v>
      </c>
      <c r="K557" s="1311">
        <v>0</v>
      </c>
      <c r="L557" s="1311">
        <v>0</v>
      </c>
      <c r="M557" s="796">
        <f>SUM(F557:K557)</f>
        <v>0</v>
      </c>
      <c r="N557" s="796">
        <f>SUM(G557:L557)</f>
        <v>0</v>
      </c>
      <c r="O557" s="3539"/>
    </row>
    <row r="558" spans="1:16" s="747" customFormat="1" ht="13.5" hidden="1" customHeight="1">
      <c r="A558" s="3536"/>
      <c r="B558" s="589" t="s">
        <v>106</v>
      </c>
      <c r="C558" s="3402"/>
      <c r="D558" s="1216">
        <f>E558+F558+G558+H558+I558+J558+K558+L558</f>
        <v>0</v>
      </c>
      <c r="E558" s="1262"/>
      <c r="F558" s="1311">
        <v>0</v>
      </c>
      <c r="G558" s="1311">
        <v>0</v>
      </c>
      <c r="H558" s="1311">
        <v>0</v>
      </c>
      <c r="I558" s="1311">
        <v>0</v>
      </c>
      <c r="J558" s="1311">
        <v>0</v>
      </c>
      <c r="K558" s="1311">
        <v>0</v>
      </c>
      <c r="L558" s="1311">
        <v>0</v>
      </c>
      <c r="M558" s="796">
        <f>SUM(F558:K558)</f>
        <v>0</v>
      </c>
      <c r="N558" s="796">
        <f>SUM(G558:L558)</f>
        <v>0</v>
      </c>
      <c r="O558" s="3539"/>
    </row>
    <row r="559" spans="1:16" s="747" customFormat="1" ht="12.75" hidden="1" customHeight="1">
      <c r="A559" s="3537"/>
      <c r="B559" s="531" t="s">
        <v>21</v>
      </c>
      <c r="C559" s="1308"/>
      <c r="D559" s="1221">
        <f>+D560</f>
        <v>0</v>
      </c>
      <c r="E559" s="1221">
        <f t="shared" ref="E559:E560" si="372">+E560</f>
        <v>0</v>
      </c>
      <c r="F559" s="1314">
        <v>0</v>
      </c>
      <c r="G559" s="1314">
        <v>0</v>
      </c>
      <c r="H559" s="1314">
        <v>0</v>
      </c>
      <c r="I559" s="1314">
        <v>0</v>
      </c>
      <c r="J559" s="1314">
        <v>0</v>
      </c>
      <c r="K559" s="1314">
        <v>0</v>
      </c>
      <c r="L559" s="1314">
        <v>0</v>
      </c>
      <c r="M559" s="3362" t="s">
        <v>22</v>
      </c>
      <c r="N559" s="3362" t="s">
        <v>22</v>
      </c>
      <c r="O559" s="3539"/>
    </row>
    <row r="560" spans="1:16" s="747" customFormat="1" ht="13.5" hidden="1" customHeight="1">
      <c r="A560" s="3537"/>
      <c r="B560" s="508" t="s">
        <v>23</v>
      </c>
      <c r="C560" s="3351"/>
      <c r="D560" s="1299">
        <f>+D561</f>
        <v>0</v>
      </c>
      <c r="E560" s="1299">
        <f t="shared" si="372"/>
        <v>0</v>
      </c>
      <c r="F560" s="1312">
        <v>0</v>
      </c>
      <c r="G560" s="1312">
        <v>0</v>
      </c>
      <c r="H560" s="1312">
        <v>0</v>
      </c>
      <c r="I560" s="1312">
        <v>0</v>
      </c>
      <c r="J560" s="1312">
        <v>0</v>
      </c>
      <c r="K560" s="1312">
        <v>0</v>
      </c>
      <c r="L560" s="1312">
        <v>0</v>
      </c>
      <c r="M560" s="3363"/>
      <c r="N560" s="3363"/>
      <c r="O560" s="3539"/>
    </row>
    <row r="561" spans="1:131" s="747" customFormat="1" ht="13.5" hidden="1" customHeight="1" thickBot="1">
      <c r="A561" s="3538"/>
      <c r="B561" s="323" t="s">
        <v>106</v>
      </c>
      <c r="C561" s="3353"/>
      <c r="D561" s="1216">
        <f>E561+F561+G561+H561+I561+J561+K561+L561</f>
        <v>0</v>
      </c>
      <c r="E561" s="1262"/>
      <c r="F561" s="807">
        <v>0</v>
      </c>
      <c r="G561" s="807">
        <v>0</v>
      </c>
      <c r="H561" s="807">
        <v>0</v>
      </c>
      <c r="I561" s="807">
        <v>0</v>
      </c>
      <c r="J561" s="807">
        <v>0</v>
      </c>
      <c r="K561" s="807">
        <v>0</v>
      </c>
      <c r="L561" s="807">
        <v>0</v>
      </c>
      <c r="M561" s="3364"/>
      <c r="N561" s="3364"/>
      <c r="O561" s="3540"/>
    </row>
    <row r="562" spans="1:131" s="757" customFormat="1" ht="12" customHeight="1">
      <c r="A562" s="3324" t="s">
        <v>56</v>
      </c>
      <c r="B562" s="72" t="s">
        <v>362</v>
      </c>
      <c r="C562" s="56" t="s">
        <v>74</v>
      </c>
      <c r="D562" s="3207"/>
      <c r="E562" s="2643"/>
      <c r="F562" s="2643"/>
      <c r="G562" s="2643"/>
      <c r="H562" s="2643"/>
      <c r="I562" s="2643"/>
      <c r="J562" s="2643"/>
      <c r="K562" s="2643"/>
      <c r="L562" s="58"/>
      <c r="M562" s="43"/>
      <c r="N562" s="43"/>
      <c r="O562" s="3335" t="s">
        <v>79</v>
      </c>
      <c r="P562" s="756"/>
      <c r="Q562" s="756"/>
      <c r="R562" s="756"/>
      <c r="S562" s="756"/>
      <c r="T562" s="756"/>
      <c r="U562" s="756"/>
      <c r="V562" s="756"/>
      <c r="W562" s="756"/>
      <c r="X562" s="756"/>
      <c r="Y562" s="756"/>
      <c r="Z562" s="756"/>
      <c r="AA562" s="756"/>
      <c r="AB562" s="756"/>
      <c r="AC562" s="756"/>
      <c r="AD562" s="756"/>
      <c r="AE562" s="756"/>
      <c r="AF562" s="756"/>
      <c r="AG562" s="756"/>
      <c r="AH562" s="756"/>
      <c r="AI562" s="756"/>
      <c r="AJ562" s="756"/>
      <c r="AK562" s="756"/>
      <c r="AL562" s="756"/>
      <c r="AM562" s="756"/>
      <c r="AN562" s="756"/>
      <c r="AO562" s="756"/>
      <c r="AP562" s="756"/>
      <c r="AQ562" s="756"/>
      <c r="AR562" s="756"/>
      <c r="AS562" s="756"/>
      <c r="AT562" s="756"/>
      <c r="AU562" s="756"/>
      <c r="AV562" s="756"/>
      <c r="AW562" s="756"/>
      <c r="AX562" s="756"/>
      <c r="AY562" s="756"/>
      <c r="AZ562" s="756"/>
      <c r="BA562" s="756"/>
      <c r="BB562" s="756"/>
      <c r="BC562" s="756"/>
      <c r="BD562" s="756"/>
      <c r="BE562" s="756"/>
      <c r="BF562" s="756"/>
      <c r="BG562" s="756"/>
      <c r="BH562" s="756"/>
      <c r="BI562" s="756"/>
      <c r="BJ562" s="756"/>
      <c r="BK562" s="756"/>
      <c r="BL562" s="756"/>
      <c r="BM562" s="756"/>
      <c r="BN562" s="756"/>
      <c r="BO562" s="756"/>
      <c r="BP562" s="756"/>
      <c r="BQ562" s="756"/>
      <c r="BR562" s="756"/>
      <c r="BS562" s="756"/>
      <c r="BT562" s="756"/>
      <c r="BU562" s="756"/>
      <c r="BV562" s="756"/>
      <c r="BW562" s="756"/>
      <c r="BX562" s="756"/>
      <c r="BY562" s="756"/>
      <c r="BZ562" s="756"/>
      <c r="CA562" s="756"/>
      <c r="CB562" s="756"/>
      <c r="CC562" s="756"/>
      <c r="CD562" s="756"/>
      <c r="CE562" s="756"/>
      <c r="CF562" s="756"/>
      <c r="CG562" s="756"/>
      <c r="CH562" s="756"/>
      <c r="CI562" s="756"/>
      <c r="CJ562" s="756"/>
      <c r="CK562" s="756"/>
      <c r="CL562" s="756"/>
      <c r="CM562" s="756"/>
      <c r="CN562" s="756"/>
      <c r="CO562" s="756"/>
      <c r="CP562" s="756"/>
      <c r="CQ562" s="756"/>
      <c r="CR562" s="756"/>
      <c r="CS562" s="756"/>
      <c r="CT562" s="756"/>
      <c r="CU562" s="756"/>
      <c r="CV562" s="756"/>
      <c r="CW562" s="756"/>
      <c r="CX562" s="756"/>
      <c r="CY562" s="756"/>
      <c r="CZ562" s="756"/>
      <c r="DA562" s="756"/>
      <c r="DB562" s="756"/>
      <c r="DC562" s="756"/>
      <c r="DD562" s="756"/>
      <c r="DE562" s="756"/>
      <c r="DF562" s="756"/>
      <c r="DG562" s="756"/>
      <c r="DH562" s="756"/>
      <c r="DI562" s="756"/>
      <c r="DJ562" s="756"/>
      <c r="DK562" s="756"/>
      <c r="DL562" s="756"/>
      <c r="DM562" s="756"/>
      <c r="DN562" s="756"/>
      <c r="DO562" s="756"/>
      <c r="DP562" s="756"/>
      <c r="DQ562" s="756"/>
      <c r="DR562" s="756"/>
      <c r="DS562" s="756"/>
      <c r="DT562" s="756"/>
      <c r="DU562" s="756"/>
      <c r="DV562" s="756"/>
      <c r="DW562" s="756"/>
      <c r="DX562" s="756"/>
      <c r="DY562" s="756"/>
      <c r="DZ562" s="756"/>
      <c r="EA562" s="756"/>
    </row>
    <row r="563" spans="1:131" s="756" customFormat="1" ht="12">
      <c r="A563" s="3325"/>
      <c r="B563" s="410" t="s">
        <v>10</v>
      </c>
      <c r="C563" s="1308"/>
      <c r="D563" s="3208">
        <f>+D564</f>
        <v>8500760</v>
      </c>
      <c r="E563" s="1309">
        <f t="shared" ref="E563:I564" si="373">+E564</f>
        <v>3000367</v>
      </c>
      <c r="F563" s="1309">
        <f t="shared" si="373"/>
        <v>97933</v>
      </c>
      <c r="G563" s="1309">
        <f t="shared" si="373"/>
        <v>752241</v>
      </c>
      <c r="H563" s="1309">
        <f t="shared" si="373"/>
        <v>2392492</v>
      </c>
      <c r="I563" s="1309">
        <f t="shared" si="373"/>
        <v>2257727</v>
      </c>
      <c r="J563" s="1314">
        <v>0</v>
      </c>
      <c r="K563" s="1314">
        <v>0</v>
      </c>
      <c r="L563" s="1314">
        <v>0</v>
      </c>
      <c r="M563" s="1222">
        <f>+M564</f>
        <v>5500393</v>
      </c>
      <c r="N563" s="1222">
        <f>+N564</f>
        <v>5402460</v>
      </c>
      <c r="O563" s="3331"/>
      <c r="P563" s="746"/>
    </row>
    <row r="564" spans="1:131" s="756" customFormat="1" ht="14.25" customHeight="1">
      <c r="A564" s="3325"/>
      <c r="B564" s="535" t="s">
        <v>23</v>
      </c>
      <c r="C564" s="3351" t="s">
        <v>77</v>
      </c>
      <c r="D564" s="106">
        <f>+D565</f>
        <v>8500760</v>
      </c>
      <c r="E564" s="1310">
        <f t="shared" si="373"/>
        <v>3000367</v>
      </c>
      <c r="F564" s="1310">
        <f t="shared" si="373"/>
        <v>97933</v>
      </c>
      <c r="G564" s="1310">
        <f t="shared" si="373"/>
        <v>752241</v>
      </c>
      <c r="H564" s="1310">
        <f t="shared" si="373"/>
        <v>2392492</v>
      </c>
      <c r="I564" s="1310">
        <f t="shared" si="373"/>
        <v>2257727</v>
      </c>
      <c r="J564" s="1312">
        <v>0</v>
      </c>
      <c r="K564" s="1312">
        <v>0</v>
      </c>
      <c r="L564" s="1312">
        <v>0</v>
      </c>
      <c r="M564" s="1289">
        <f>+M565</f>
        <v>5500393</v>
      </c>
      <c r="N564" s="1289">
        <f>+N565</f>
        <v>5402460</v>
      </c>
      <c r="O564" s="3331"/>
    </row>
    <row r="565" spans="1:131" s="756" customFormat="1" thickBot="1">
      <c r="A565" s="3326"/>
      <c r="B565" s="801" t="s">
        <v>12</v>
      </c>
      <c r="C565" s="3353"/>
      <c r="D565" s="767">
        <f>E565+F565+G565+H565+I565+J565+K565+L565</f>
        <v>8500760</v>
      </c>
      <c r="E565" s="767">
        <f>3130167-129800</f>
        <v>3000367</v>
      </c>
      <c r="F565" s="408">
        <f>1925000+100000-1300000+50351+160000+51342-67533-683227-138000</f>
        <v>97933</v>
      </c>
      <c r="G565" s="408">
        <f>1971200-850000-500000+67533+121235-57727</f>
        <v>752241</v>
      </c>
      <c r="H565" s="408">
        <f>2020500+371992</f>
        <v>2392492</v>
      </c>
      <c r="I565" s="408">
        <f>2070000+130000+57727</f>
        <v>2257727</v>
      </c>
      <c r="J565" s="807">
        <v>0</v>
      </c>
      <c r="K565" s="807">
        <v>0</v>
      </c>
      <c r="L565" s="807">
        <v>0</v>
      </c>
      <c r="M565" s="796">
        <f>SUM(F565:K565)</f>
        <v>5500393</v>
      </c>
      <c r="N565" s="796">
        <f>SUM(G565:L565)</f>
        <v>5402460</v>
      </c>
      <c r="O565" s="3332"/>
      <c r="P565" s="758"/>
    </row>
    <row r="566" spans="1:131" s="747" customFormat="1" ht="23.25" customHeight="1">
      <c r="A566" s="3354" t="s">
        <v>57</v>
      </c>
      <c r="B566" s="1086" t="s">
        <v>207</v>
      </c>
      <c r="C566" s="56" t="s">
        <v>74</v>
      </c>
      <c r="D566" s="2640"/>
      <c r="E566" s="2641"/>
      <c r="F566" s="2641"/>
      <c r="G566" s="2641"/>
      <c r="H566" s="2641"/>
      <c r="I566" s="2641"/>
      <c r="J566" s="2641"/>
      <c r="K566" s="2641"/>
      <c r="L566" s="2642"/>
      <c r="M566" s="43"/>
      <c r="N566" s="43"/>
      <c r="O566" s="3357" t="s">
        <v>219</v>
      </c>
    </row>
    <row r="567" spans="1:131" s="747" customFormat="1" ht="12">
      <c r="A567" s="3355"/>
      <c r="B567" s="78" t="s">
        <v>10</v>
      </c>
      <c r="C567" s="22"/>
      <c r="D567" s="125">
        <f>+D568</f>
        <v>45601289</v>
      </c>
      <c r="E567" s="101">
        <f t="shared" ref="E567:N568" si="374">+E568</f>
        <v>31401289</v>
      </c>
      <c r="F567" s="101">
        <f t="shared" si="374"/>
        <v>5000000</v>
      </c>
      <c r="G567" s="101">
        <f t="shared" si="374"/>
        <v>5000000</v>
      </c>
      <c r="H567" s="101">
        <f t="shared" si="374"/>
        <v>2700000</v>
      </c>
      <c r="I567" s="101">
        <f t="shared" si="374"/>
        <v>1500000</v>
      </c>
      <c r="J567" s="101"/>
      <c r="K567" s="101"/>
      <c r="L567" s="101"/>
      <c r="M567" s="30">
        <f t="shared" si="374"/>
        <v>14200000</v>
      </c>
      <c r="N567" s="30">
        <f t="shared" si="374"/>
        <v>9200000</v>
      </c>
      <c r="O567" s="3358"/>
      <c r="P567" s="746"/>
    </row>
    <row r="568" spans="1:131" s="747" customFormat="1" ht="12">
      <c r="A568" s="3355"/>
      <c r="B568" s="220" t="s">
        <v>23</v>
      </c>
      <c r="C568" s="3346" t="s">
        <v>103</v>
      </c>
      <c r="D568" s="106">
        <f>+D569</f>
        <v>45601289</v>
      </c>
      <c r="E568" s="103">
        <f t="shared" si="374"/>
        <v>31401289</v>
      </c>
      <c r="F568" s="103">
        <f t="shared" si="374"/>
        <v>5000000</v>
      </c>
      <c r="G568" s="103">
        <f t="shared" si="374"/>
        <v>5000000</v>
      </c>
      <c r="H568" s="103">
        <f t="shared" si="374"/>
        <v>2700000</v>
      </c>
      <c r="I568" s="103">
        <f t="shared" si="374"/>
        <v>1500000</v>
      </c>
      <c r="J568" s="1087"/>
      <c r="K568" s="1087"/>
      <c r="L568" s="1087"/>
      <c r="M568" s="105">
        <f>+M569</f>
        <v>14200000</v>
      </c>
      <c r="N568" s="105">
        <f>+N569</f>
        <v>9200000</v>
      </c>
      <c r="O568" s="3358"/>
    </row>
    <row r="569" spans="1:131" s="747" customFormat="1" thickBot="1">
      <c r="A569" s="3356"/>
      <c r="B569" s="275" t="s">
        <v>12</v>
      </c>
      <c r="C569" s="3345"/>
      <c r="D569" s="235">
        <f>E569+F569+G569+H569+I569+J569+K569+L569</f>
        <v>45601289</v>
      </c>
      <c r="E569" s="265">
        <v>31401289</v>
      </c>
      <c r="F569" s="1088">
        <v>5000000</v>
      </c>
      <c r="G569" s="1088">
        <v>5000000</v>
      </c>
      <c r="H569" s="1088">
        <v>2700000</v>
      </c>
      <c r="I569" s="1088">
        <v>1500000</v>
      </c>
      <c r="J569" s="1089"/>
      <c r="K569" s="1089"/>
      <c r="L569" s="1089"/>
      <c r="M569" s="796">
        <f>SUM(F569:K569)</f>
        <v>14200000</v>
      </c>
      <c r="N569" s="796">
        <f>SUM(G569:L569)</f>
        <v>9200000</v>
      </c>
      <c r="O569" s="3359"/>
      <c r="P569" s="746"/>
    </row>
    <row r="570" spans="1:131" s="747" customFormat="1" ht="14.25" hidden="1" customHeight="1">
      <c r="A570" s="3324"/>
      <c r="B570" s="263"/>
      <c r="C570" s="56" t="s">
        <v>74</v>
      </c>
      <c r="D570" s="123"/>
      <c r="E570" s="42"/>
      <c r="F570" s="367"/>
      <c r="G570" s="367"/>
      <c r="H570" s="367"/>
      <c r="I570" s="367"/>
      <c r="J570" s="42"/>
      <c r="K570" s="42"/>
      <c r="L570" s="42"/>
      <c r="M570" s="43"/>
      <c r="N570" s="43"/>
      <c r="O570" s="3335" t="s">
        <v>79</v>
      </c>
    </row>
    <row r="571" spans="1:131" s="747" customFormat="1" ht="13.5" hidden="1" customHeight="1">
      <c r="A571" s="3325"/>
      <c r="B571" s="21" t="s">
        <v>10</v>
      </c>
      <c r="C571" s="22"/>
      <c r="D571" s="121">
        <f>+D572</f>
        <v>0</v>
      </c>
      <c r="E571" s="121">
        <v>0</v>
      </c>
      <c r="F571" s="268">
        <v>0</v>
      </c>
      <c r="G571" s="268">
        <v>0</v>
      </c>
      <c r="H571" s="268">
        <v>0</v>
      </c>
      <c r="I571" s="268">
        <v>0</v>
      </c>
      <c r="J571" s="268">
        <v>0</v>
      </c>
      <c r="K571" s="268">
        <v>0</v>
      </c>
      <c r="L571" s="268">
        <v>0</v>
      </c>
      <c r="M571" s="63">
        <f>+M572</f>
        <v>0</v>
      </c>
      <c r="N571" s="63">
        <f>+N572</f>
        <v>0</v>
      </c>
      <c r="O571" s="3331"/>
      <c r="P571" s="746" t="e">
        <f>+#REF!+#REF!+F571+G571</f>
        <v>#REF!</v>
      </c>
    </row>
    <row r="572" spans="1:131" s="747" customFormat="1" ht="12.75" hidden="1" customHeight="1">
      <c r="A572" s="3325"/>
      <c r="B572" s="166" t="s">
        <v>23</v>
      </c>
      <c r="C572" s="3346" t="s">
        <v>77</v>
      </c>
      <c r="D572" s="122">
        <f>+D573+D574</f>
        <v>0</v>
      </c>
      <c r="E572" s="122">
        <v>0</v>
      </c>
      <c r="F572" s="269">
        <v>0</v>
      </c>
      <c r="G572" s="269">
        <v>0</v>
      </c>
      <c r="H572" s="269">
        <v>0</v>
      </c>
      <c r="I572" s="269">
        <v>0</v>
      </c>
      <c r="J572" s="269">
        <v>0</v>
      </c>
      <c r="K572" s="269">
        <v>0</v>
      </c>
      <c r="L572" s="269">
        <v>0</v>
      </c>
      <c r="M572" s="77">
        <f>+M573+M574</f>
        <v>0</v>
      </c>
      <c r="N572" s="77">
        <f>+N573+N574</f>
        <v>0</v>
      </c>
      <c r="O572" s="3331"/>
      <c r="P572" s="747" t="s">
        <v>235</v>
      </c>
    </row>
    <row r="573" spans="1:131" s="747" customFormat="1" hidden="1" thickBot="1">
      <c r="A573" s="3325"/>
      <c r="B573" s="383" t="s">
        <v>12</v>
      </c>
      <c r="C573" s="3347"/>
      <c r="D573" s="235">
        <f>E573+F573+G573+H573+I573+J573+K573+L573</f>
        <v>0</v>
      </c>
      <c r="E573" s="84">
        <v>0</v>
      </c>
      <c r="F573" s="270">
        <v>0</v>
      </c>
      <c r="G573" s="270">
        <v>0</v>
      </c>
      <c r="H573" s="270">
        <v>0</v>
      </c>
      <c r="I573" s="270">
        <v>0</v>
      </c>
      <c r="J573" s="270">
        <v>0</v>
      </c>
      <c r="K573" s="270">
        <v>0</v>
      </c>
      <c r="L573" s="270">
        <v>0</v>
      </c>
      <c r="M573" s="34">
        <f>SUM(E573:H573)</f>
        <v>0</v>
      </c>
      <c r="N573" s="34">
        <f>SUM(F573:I573)</f>
        <v>0</v>
      </c>
      <c r="O573" s="3331"/>
    </row>
    <row r="574" spans="1:131" s="747" customFormat="1" hidden="1" thickBot="1">
      <c r="A574" s="3325"/>
      <c r="B574" s="384" t="s">
        <v>15</v>
      </c>
      <c r="C574" s="3348"/>
      <c r="D574" s="235">
        <f>E574+F574+G574+H574+I574+J574+K574+L574</f>
        <v>0</v>
      </c>
      <c r="E574" s="84">
        <v>0</v>
      </c>
      <c r="F574" s="270">
        <v>0</v>
      </c>
      <c r="G574" s="270">
        <v>0</v>
      </c>
      <c r="H574" s="270">
        <v>0</v>
      </c>
      <c r="I574" s="270">
        <v>0</v>
      </c>
      <c r="J574" s="270">
        <v>0</v>
      </c>
      <c r="K574" s="270">
        <v>0</v>
      </c>
      <c r="L574" s="270">
        <v>0</v>
      </c>
      <c r="M574" s="34">
        <f>SUM(E574:H574)</f>
        <v>0</v>
      </c>
      <c r="N574" s="34">
        <f>SUM(F574:I574)</f>
        <v>0</v>
      </c>
      <c r="O574" s="2940"/>
    </row>
    <row r="575" spans="1:131" s="747" customFormat="1" ht="10.5" hidden="1" customHeight="1">
      <c r="A575" s="3325"/>
      <c r="B575" s="21" t="s">
        <v>21</v>
      </c>
      <c r="C575" s="22"/>
      <c r="D575" s="121">
        <f>+D576</f>
        <v>0</v>
      </c>
      <c r="E575" s="121">
        <v>0</v>
      </c>
      <c r="F575" s="268">
        <v>0</v>
      </c>
      <c r="G575" s="268">
        <v>0</v>
      </c>
      <c r="H575" s="268">
        <v>0</v>
      </c>
      <c r="I575" s="268">
        <v>0</v>
      </c>
      <c r="J575" s="268">
        <v>0</v>
      </c>
      <c r="K575" s="268">
        <v>0</v>
      </c>
      <c r="L575" s="268">
        <v>0</v>
      </c>
      <c r="M575" s="3338" t="s">
        <v>22</v>
      </c>
      <c r="N575" s="3338" t="s">
        <v>22</v>
      </c>
      <c r="O575" s="3330" t="s">
        <v>94</v>
      </c>
    </row>
    <row r="576" spans="1:131" s="747" customFormat="1" ht="12.75" hidden="1" customHeight="1">
      <c r="A576" s="3325"/>
      <c r="B576" s="166" t="s">
        <v>23</v>
      </c>
      <c r="C576" s="3333" t="s">
        <v>77</v>
      </c>
      <c r="D576" s="122">
        <f>+D577</f>
        <v>0</v>
      </c>
      <c r="E576" s="122">
        <v>0</v>
      </c>
      <c r="F576" s="269">
        <v>0</v>
      </c>
      <c r="G576" s="269">
        <v>0</v>
      </c>
      <c r="H576" s="269">
        <v>0</v>
      </c>
      <c r="I576" s="269">
        <v>0</v>
      </c>
      <c r="J576" s="269">
        <v>0</v>
      </c>
      <c r="K576" s="269">
        <v>0</v>
      </c>
      <c r="L576" s="269">
        <v>0</v>
      </c>
      <c r="M576" s="3339"/>
      <c r="N576" s="3339"/>
      <c r="O576" s="3331"/>
    </row>
    <row r="577" spans="1:16" s="747" customFormat="1" ht="13.5" hidden="1" customHeight="1" thickBot="1">
      <c r="A577" s="3326"/>
      <c r="B577" s="382" t="s">
        <v>15</v>
      </c>
      <c r="C577" s="3334"/>
      <c r="D577" s="235">
        <f>E577+F577+G577+H577+I577+J577+K577+L577</f>
        <v>0</v>
      </c>
      <c r="E577" s="75">
        <v>0</v>
      </c>
      <c r="F577" s="270">
        <v>0</v>
      </c>
      <c r="G577" s="270">
        <v>0</v>
      </c>
      <c r="H577" s="270">
        <v>0</v>
      </c>
      <c r="I577" s="270">
        <v>0</v>
      </c>
      <c r="J577" s="270">
        <v>0</v>
      </c>
      <c r="K577" s="270">
        <v>0</v>
      </c>
      <c r="L577" s="270">
        <v>0</v>
      </c>
      <c r="M577" s="3340"/>
      <c r="N577" s="3340"/>
      <c r="O577" s="3332"/>
    </row>
    <row r="578" spans="1:16" s="747" customFormat="1" ht="23.25" customHeight="1">
      <c r="A578" s="3324" t="s">
        <v>58</v>
      </c>
      <c r="B578" s="263" t="s">
        <v>542</v>
      </c>
      <c r="C578" s="56" t="s">
        <v>74</v>
      </c>
      <c r="D578" s="367"/>
      <c r="E578" s="2638"/>
      <c r="F578" s="2638"/>
      <c r="G578" s="2638"/>
      <c r="H578" s="2638"/>
      <c r="I578" s="2638"/>
      <c r="J578" s="2638"/>
      <c r="K578" s="2638"/>
      <c r="L578" s="41"/>
      <c r="M578" s="43"/>
      <c r="N578" s="43"/>
      <c r="O578" s="3335" t="s">
        <v>79</v>
      </c>
    </row>
    <row r="579" spans="1:16" s="747" customFormat="1" ht="12">
      <c r="A579" s="3325"/>
      <c r="B579" s="2073" t="s">
        <v>10</v>
      </c>
      <c r="C579" s="1284"/>
      <c r="D579" s="1800">
        <f>+D580</f>
        <v>1824799</v>
      </c>
      <c r="E579" s="1800">
        <f t="shared" ref="E579:G580" si="375">+E580</f>
        <v>503620</v>
      </c>
      <c r="F579" s="1801">
        <f t="shared" si="375"/>
        <v>0</v>
      </c>
      <c r="G579" s="1800">
        <f t="shared" si="375"/>
        <v>1321179</v>
      </c>
      <c r="H579" s="1801">
        <v>0</v>
      </c>
      <c r="I579" s="1801">
        <v>0</v>
      </c>
      <c r="J579" s="1801">
        <v>0</v>
      </c>
      <c r="K579" s="1801">
        <v>0</v>
      </c>
      <c r="L579" s="1801">
        <v>0</v>
      </c>
      <c r="M579" s="1802">
        <f>+M580</f>
        <v>1321179</v>
      </c>
      <c r="N579" s="1802">
        <f>+N580</f>
        <v>1321179</v>
      </c>
      <c r="O579" s="3331"/>
      <c r="P579" s="746"/>
    </row>
    <row r="580" spans="1:16" s="747" customFormat="1" ht="12.75" customHeight="1">
      <c r="A580" s="3325"/>
      <c r="B580" s="2111" t="s">
        <v>23</v>
      </c>
      <c r="C580" s="3344" t="s">
        <v>77</v>
      </c>
      <c r="D580" s="1803">
        <f>+D581</f>
        <v>1824799</v>
      </c>
      <c r="E580" s="1803">
        <f t="shared" si="375"/>
        <v>503620</v>
      </c>
      <c r="F580" s="1804">
        <f t="shared" si="375"/>
        <v>0</v>
      </c>
      <c r="G580" s="1803">
        <f t="shared" si="375"/>
        <v>1321179</v>
      </c>
      <c r="H580" s="1804">
        <v>0</v>
      </c>
      <c r="I580" s="1804">
        <v>0</v>
      </c>
      <c r="J580" s="1804">
        <v>0</v>
      </c>
      <c r="K580" s="1804">
        <v>0</v>
      </c>
      <c r="L580" s="1804">
        <v>0</v>
      </c>
      <c r="M580" s="515">
        <f>+M581</f>
        <v>1321179</v>
      </c>
      <c r="N580" s="515">
        <f>+N581</f>
        <v>1321179</v>
      </c>
      <c r="O580" s="3331"/>
    </row>
    <row r="581" spans="1:16" s="747" customFormat="1" ht="12">
      <c r="A581" s="3325"/>
      <c r="B581" s="2835" t="s">
        <v>12</v>
      </c>
      <c r="C581" s="3504"/>
      <c r="D581" s="773">
        <f>E581+F581+G581+H581+I581+J581+K581+L581</f>
        <v>1824799</v>
      </c>
      <c r="E581" s="788">
        <f>503620</f>
        <v>503620</v>
      </c>
      <c r="F581" s="1805">
        <f>1239686+35000-1274686</f>
        <v>0</v>
      </c>
      <c r="G581" s="2836">
        <f>1274686+46493</f>
        <v>1321179</v>
      </c>
      <c r="H581" s="1343">
        <v>0</v>
      </c>
      <c r="I581" s="1343">
        <v>0</v>
      </c>
      <c r="J581" s="1343">
        <v>0</v>
      </c>
      <c r="K581" s="1343">
        <v>0</v>
      </c>
      <c r="L581" s="1343">
        <v>0</v>
      </c>
      <c r="M581" s="796">
        <f>SUM(F581:K581)</f>
        <v>1321179</v>
      </c>
      <c r="N581" s="796">
        <f>SUM(G581:L581)</f>
        <v>1321179</v>
      </c>
      <c r="O581" s="3336"/>
    </row>
    <row r="582" spans="1:16" s="747" customFormat="1" ht="12" customHeight="1">
      <c r="A582" s="3325"/>
      <c r="B582" s="80" t="s">
        <v>21</v>
      </c>
      <c r="C582" s="1284"/>
      <c r="D582" s="1800">
        <f>+D583</f>
        <v>81493</v>
      </c>
      <c r="E582" s="1801">
        <v>0</v>
      </c>
      <c r="F582" s="1800">
        <f t="shared" ref="F582:L583" si="376">+F583</f>
        <v>35000</v>
      </c>
      <c r="G582" s="1800">
        <f t="shared" si="376"/>
        <v>46493</v>
      </c>
      <c r="H582" s="1801">
        <f t="shared" si="376"/>
        <v>0</v>
      </c>
      <c r="I582" s="1801">
        <f t="shared" si="376"/>
        <v>0</v>
      </c>
      <c r="J582" s="1801">
        <f t="shared" si="376"/>
        <v>0</v>
      </c>
      <c r="K582" s="1801">
        <f t="shared" si="376"/>
        <v>0</v>
      </c>
      <c r="L582" s="1801">
        <f t="shared" si="376"/>
        <v>0</v>
      </c>
      <c r="M582" s="3341" t="s">
        <v>22</v>
      </c>
      <c r="N582" s="3341" t="s">
        <v>22</v>
      </c>
      <c r="O582" s="2932"/>
    </row>
    <row r="583" spans="1:16" s="747" customFormat="1" ht="12.75" customHeight="1">
      <c r="A583" s="3325"/>
      <c r="B583" s="2111" t="s">
        <v>23</v>
      </c>
      <c r="C583" s="3344" t="s">
        <v>77</v>
      </c>
      <c r="D583" s="1803">
        <f>+D584</f>
        <v>81493</v>
      </c>
      <c r="E583" s="1804">
        <v>0</v>
      </c>
      <c r="F583" s="1803">
        <f t="shared" si="376"/>
        <v>35000</v>
      </c>
      <c r="G583" s="1803">
        <f t="shared" si="376"/>
        <v>46493</v>
      </c>
      <c r="H583" s="1804">
        <f t="shared" si="376"/>
        <v>0</v>
      </c>
      <c r="I583" s="1804">
        <f t="shared" si="376"/>
        <v>0</v>
      </c>
      <c r="J583" s="1804">
        <f t="shared" si="376"/>
        <v>0</v>
      </c>
      <c r="K583" s="1804">
        <f t="shared" si="376"/>
        <v>0</v>
      </c>
      <c r="L583" s="1804">
        <f t="shared" si="376"/>
        <v>0</v>
      </c>
      <c r="M583" s="3342"/>
      <c r="N583" s="3342"/>
      <c r="O583" s="2932" t="s">
        <v>94</v>
      </c>
    </row>
    <row r="584" spans="1:16" s="747" customFormat="1" ht="13.5" customHeight="1" thickBot="1">
      <c r="A584" s="3326"/>
      <c r="B584" s="385" t="s">
        <v>12</v>
      </c>
      <c r="C584" s="3345"/>
      <c r="D584" s="1955">
        <f>E584+F584+G584+H584+I584+J584+K584+L584</f>
        <v>81493</v>
      </c>
      <c r="E584" s="2374">
        <v>0</v>
      </c>
      <c r="F584" s="2837">
        <f>35000</f>
        <v>35000</v>
      </c>
      <c r="G584" s="2837">
        <v>46493</v>
      </c>
      <c r="H584" s="2114">
        <v>0</v>
      </c>
      <c r="I584" s="2114">
        <v>0</v>
      </c>
      <c r="J584" s="2114">
        <v>0</v>
      </c>
      <c r="K584" s="2114">
        <v>0</v>
      </c>
      <c r="L584" s="2114">
        <v>0</v>
      </c>
      <c r="M584" s="3343"/>
      <c r="N584" s="3343"/>
      <c r="O584" s="2933"/>
    </row>
    <row r="585" spans="1:16" s="747" customFormat="1" ht="22.5" hidden="1" customHeight="1">
      <c r="A585" s="3324"/>
      <c r="B585" s="263"/>
      <c r="C585" s="56" t="s">
        <v>74</v>
      </c>
      <c r="D585" s="123"/>
      <c r="E585" s="42"/>
      <c r="F585" s="42"/>
      <c r="G585" s="42"/>
      <c r="H585" s="226"/>
      <c r="I585" s="95"/>
      <c r="J585" s="226"/>
      <c r="K585" s="226"/>
      <c r="L585" s="226"/>
      <c r="M585" s="43"/>
      <c r="N585" s="43"/>
      <c r="O585" s="3335" t="s">
        <v>79</v>
      </c>
    </row>
    <row r="586" spans="1:16" s="747" customFormat="1" ht="12.75" hidden="1" customHeight="1">
      <c r="A586" s="3325"/>
      <c r="B586" s="2073" t="s">
        <v>10</v>
      </c>
      <c r="C586" s="1284"/>
      <c r="D586" s="1800">
        <f>+D587</f>
        <v>0</v>
      </c>
      <c r="E586" s="1800">
        <v>0</v>
      </c>
      <c r="F586" s="1801">
        <v>0</v>
      </c>
      <c r="G586" s="1801">
        <v>0</v>
      </c>
      <c r="H586" s="1801">
        <v>0</v>
      </c>
      <c r="I586" s="1801">
        <v>0</v>
      </c>
      <c r="J586" s="1801">
        <v>0</v>
      </c>
      <c r="K586" s="1801">
        <v>0</v>
      </c>
      <c r="L586" s="1801">
        <v>0</v>
      </c>
      <c r="M586" s="514">
        <f>+M587</f>
        <v>0</v>
      </c>
      <c r="N586" s="514">
        <f>+N587</f>
        <v>0</v>
      </c>
      <c r="O586" s="3331"/>
      <c r="P586" s="746" t="e">
        <f>+#REF!+#REF!+F586+G586</f>
        <v>#REF!</v>
      </c>
    </row>
    <row r="587" spans="1:16" s="747" customFormat="1" ht="12.75" hidden="1" customHeight="1">
      <c r="A587" s="3325"/>
      <c r="B587" s="2111" t="s">
        <v>23</v>
      </c>
      <c r="C587" s="3344" t="s">
        <v>77</v>
      </c>
      <c r="D587" s="1803">
        <f>+D588+D589</f>
        <v>0</v>
      </c>
      <c r="E587" s="1803">
        <v>0</v>
      </c>
      <c r="F587" s="1804">
        <v>0</v>
      </c>
      <c r="G587" s="1804">
        <v>0</v>
      </c>
      <c r="H587" s="1804">
        <v>0</v>
      </c>
      <c r="I587" s="1804">
        <v>0</v>
      </c>
      <c r="J587" s="1804">
        <v>0</v>
      </c>
      <c r="K587" s="1804">
        <v>0</v>
      </c>
      <c r="L587" s="1804">
        <v>0</v>
      </c>
      <c r="M587" s="515">
        <f>+M588</f>
        <v>0</v>
      </c>
      <c r="N587" s="515">
        <f>+N588</f>
        <v>0</v>
      </c>
      <c r="O587" s="3331"/>
    </row>
    <row r="588" spans="1:16" s="747" customFormat="1" ht="12.75" hidden="1" customHeight="1">
      <c r="A588" s="3325"/>
      <c r="B588" s="2115" t="s">
        <v>12</v>
      </c>
      <c r="C588" s="3347"/>
      <c r="D588" s="773">
        <f>E588+F588+G588+H588+I588+J588+K588+L588</f>
        <v>0</v>
      </c>
      <c r="E588" s="788">
        <v>0</v>
      </c>
      <c r="F588" s="1343">
        <v>0</v>
      </c>
      <c r="G588" s="1343">
        <v>0</v>
      </c>
      <c r="H588" s="1343">
        <v>0</v>
      </c>
      <c r="I588" s="1343">
        <v>0</v>
      </c>
      <c r="J588" s="1343">
        <v>0</v>
      </c>
      <c r="K588" s="1343">
        <v>0</v>
      </c>
      <c r="L588" s="1343">
        <v>0</v>
      </c>
      <c r="M588" s="796">
        <f>SUM(E588:H588)</f>
        <v>0</v>
      </c>
      <c r="N588" s="796">
        <f>SUM(F588:I588)</f>
        <v>0</v>
      </c>
      <c r="O588" s="3331"/>
    </row>
    <row r="589" spans="1:16" s="747" customFormat="1" ht="12.75" hidden="1" customHeight="1">
      <c r="A589" s="3325"/>
      <c r="B589" s="384" t="s">
        <v>15</v>
      </c>
      <c r="C589" s="3348"/>
      <c r="D589" s="773">
        <f>E589+F589+G589+H589+I589+J589+K589+L589</f>
        <v>0</v>
      </c>
      <c r="E589" s="788">
        <v>0</v>
      </c>
      <c r="F589" s="1343">
        <v>0</v>
      </c>
      <c r="G589" s="1343">
        <v>0</v>
      </c>
      <c r="H589" s="1343">
        <v>0</v>
      </c>
      <c r="I589" s="1343">
        <v>0</v>
      </c>
      <c r="J589" s="1343">
        <v>0</v>
      </c>
      <c r="K589" s="1343">
        <v>0</v>
      </c>
      <c r="L589" s="1343">
        <v>0</v>
      </c>
      <c r="M589" s="796">
        <f>SUM(E589:H589)</f>
        <v>0</v>
      </c>
      <c r="N589" s="796">
        <f>SUM(F589:I589)</f>
        <v>0</v>
      </c>
      <c r="O589" s="2940"/>
    </row>
    <row r="590" spans="1:16" s="747" customFormat="1" ht="12.75" hidden="1" customHeight="1">
      <c r="A590" s="3325"/>
      <c r="B590" s="2073" t="s">
        <v>21</v>
      </c>
      <c r="C590" s="1284"/>
      <c r="D590" s="1800">
        <f>+D591</f>
        <v>0</v>
      </c>
      <c r="E590" s="1800">
        <v>0</v>
      </c>
      <c r="F590" s="1801">
        <v>0</v>
      </c>
      <c r="G590" s="1801">
        <v>0</v>
      </c>
      <c r="H590" s="1801">
        <v>0</v>
      </c>
      <c r="I590" s="1801">
        <v>0</v>
      </c>
      <c r="J590" s="1801">
        <v>0</v>
      </c>
      <c r="K590" s="1801">
        <v>0</v>
      </c>
      <c r="L590" s="1801">
        <v>0</v>
      </c>
      <c r="M590" s="3341" t="s">
        <v>22</v>
      </c>
      <c r="N590" s="3341" t="s">
        <v>22</v>
      </c>
      <c r="O590" s="3534" t="s">
        <v>94</v>
      </c>
    </row>
    <row r="591" spans="1:16" s="747" customFormat="1" ht="12.75" hidden="1" customHeight="1">
      <c r="A591" s="3325"/>
      <c r="B591" s="2111" t="s">
        <v>23</v>
      </c>
      <c r="C591" s="3337" t="s">
        <v>77</v>
      </c>
      <c r="D591" s="1803">
        <f>+D592</f>
        <v>0</v>
      </c>
      <c r="E591" s="1803">
        <v>0</v>
      </c>
      <c r="F591" s="1804">
        <v>0</v>
      </c>
      <c r="G591" s="1804">
        <v>0</v>
      </c>
      <c r="H591" s="1804">
        <v>0</v>
      </c>
      <c r="I591" s="1804">
        <v>0</v>
      </c>
      <c r="J591" s="1804">
        <v>0</v>
      </c>
      <c r="K591" s="1804">
        <v>0</v>
      </c>
      <c r="L591" s="1804">
        <v>0</v>
      </c>
      <c r="M591" s="3342"/>
      <c r="N591" s="3342"/>
      <c r="O591" s="3331"/>
    </row>
    <row r="592" spans="1:16" s="747" customFormat="1" ht="13.5" hidden="1" customHeight="1" thickBot="1">
      <c r="A592" s="3326"/>
      <c r="B592" s="382" t="s">
        <v>15</v>
      </c>
      <c r="C592" s="3334"/>
      <c r="D592" s="773">
        <f>E592+F592+G592+H592+I592+J592+K592+L592</f>
        <v>0</v>
      </c>
      <c r="E592" s="788"/>
      <c r="F592" s="1343">
        <v>0</v>
      </c>
      <c r="G592" s="1343">
        <v>0</v>
      </c>
      <c r="H592" s="1343">
        <v>0</v>
      </c>
      <c r="I592" s="1343">
        <v>0</v>
      </c>
      <c r="J592" s="1343">
        <v>0</v>
      </c>
      <c r="K592" s="1343">
        <v>0</v>
      </c>
      <c r="L592" s="1343">
        <v>0</v>
      </c>
      <c r="M592" s="3343"/>
      <c r="N592" s="3343"/>
      <c r="O592" s="3332"/>
    </row>
    <row r="593" spans="1:16" s="747" customFormat="1" ht="26.25" hidden="1" customHeight="1">
      <c r="A593" s="3324"/>
      <c r="B593" s="263"/>
      <c r="C593" s="56"/>
      <c r="D593" s="123"/>
      <c r="E593" s="42"/>
      <c r="F593" s="42"/>
      <c r="G593" s="42"/>
      <c r="H593" s="42"/>
      <c r="I593" s="96"/>
      <c r="J593" s="226"/>
      <c r="K593" s="226"/>
      <c r="L593" s="226"/>
      <c r="M593" s="226"/>
      <c r="N593" s="226"/>
      <c r="O593" s="3335" t="s">
        <v>79</v>
      </c>
    </row>
    <row r="594" spans="1:16" s="747" customFormat="1" ht="12" hidden="1">
      <c r="A594" s="3325"/>
      <c r="B594" s="2073" t="s">
        <v>10</v>
      </c>
      <c r="C594" s="1284"/>
      <c r="D594" s="1800"/>
      <c r="E594" s="1801"/>
      <c r="F594" s="1801"/>
      <c r="G594" s="1801"/>
      <c r="H594" s="1801"/>
      <c r="I594" s="1801"/>
      <c r="J594" s="1801"/>
      <c r="K594" s="1801"/>
      <c r="L594" s="1801"/>
      <c r="M594" s="2116">
        <f>+M595</f>
        <v>0</v>
      </c>
      <c r="N594" s="2116">
        <f>+N595</f>
        <v>0</v>
      </c>
      <c r="O594" s="3331"/>
    </row>
    <row r="595" spans="1:16" s="747" customFormat="1" ht="12" hidden="1">
      <c r="A595" s="3325"/>
      <c r="B595" s="2111" t="s">
        <v>23</v>
      </c>
      <c r="C595" s="3337" t="s">
        <v>77</v>
      </c>
      <c r="D595" s="1803"/>
      <c r="E595" s="1804"/>
      <c r="F595" s="1804"/>
      <c r="G595" s="1804"/>
      <c r="H595" s="1804"/>
      <c r="I595" s="1804"/>
      <c r="J595" s="1804"/>
      <c r="K595" s="1804"/>
      <c r="L595" s="1804"/>
      <c r="M595" s="596">
        <f>+M596</f>
        <v>0</v>
      </c>
      <c r="N595" s="596">
        <f>+N596</f>
        <v>0</v>
      </c>
      <c r="O595" s="3331"/>
    </row>
    <row r="596" spans="1:16" s="747" customFormat="1" ht="12" hidden="1">
      <c r="A596" s="3325"/>
      <c r="B596" s="2117" t="s">
        <v>12</v>
      </c>
      <c r="C596" s="3397"/>
      <c r="D596" s="1815"/>
      <c r="E596" s="1815"/>
      <c r="F596" s="1343"/>
      <c r="G596" s="1343"/>
      <c r="H596" s="1343"/>
      <c r="I596" s="1343"/>
      <c r="J596" s="1343"/>
      <c r="K596" s="1343"/>
      <c r="L596" s="1343"/>
      <c r="M596" s="796">
        <f>SUM(E596:K596)</f>
        <v>0</v>
      </c>
      <c r="N596" s="796">
        <f>SUM(F596:L596)</f>
        <v>0</v>
      </c>
      <c r="O596" s="3331"/>
    </row>
    <row r="597" spans="1:16" s="747" customFormat="1" ht="12" hidden="1">
      <c r="A597" s="3325"/>
      <c r="B597" s="2073" t="s">
        <v>21</v>
      </c>
      <c r="C597" s="1284"/>
      <c r="D597" s="1800"/>
      <c r="E597" s="1801"/>
      <c r="F597" s="1801"/>
      <c r="G597" s="1801"/>
      <c r="H597" s="1801"/>
      <c r="I597" s="1801"/>
      <c r="J597" s="1801"/>
      <c r="K597" s="1801"/>
      <c r="L597" s="1801"/>
      <c r="M597" s="3341" t="s">
        <v>22</v>
      </c>
      <c r="N597" s="3341" t="s">
        <v>22</v>
      </c>
      <c r="O597" s="3534" t="s">
        <v>94</v>
      </c>
    </row>
    <row r="598" spans="1:16" s="747" customFormat="1" ht="12" hidden="1">
      <c r="A598" s="3325"/>
      <c r="B598" s="2111" t="s">
        <v>23</v>
      </c>
      <c r="C598" s="3337">
        <v>75802</v>
      </c>
      <c r="D598" s="1803"/>
      <c r="E598" s="1804"/>
      <c r="F598" s="1804"/>
      <c r="G598" s="1804"/>
      <c r="H598" s="1804"/>
      <c r="I598" s="1804"/>
      <c r="J598" s="1804"/>
      <c r="K598" s="1804"/>
      <c r="L598" s="1804"/>
      <c r="M598" s="3342"/>
      <c r="N598" s="3342"/>
      <c r="O598" s="3331"/>
    </row>
    <row r="599" spans="1:16" s="747" customFormat="1" hidden="1" thickBot="1">
      <c r="A599" s="3326"/>
      <c r="B599" s="382" t="s">
        <v>293</v>
      </c>
      <c r="C599" s="3334"/>
      <c r="D599" s="1815"/>
      <c r="E599" s="1815"/>
      <c r="F599" s="2114"/>
      <c r="G599" s="2114"/>
      <c r="H599" s="2114"/>
      <c r="I599" s="2114"/>
      <c r="J599" s="2114"/>
      <c r="K599" s="2114"/>
      <c r="L599" s="2114"/>
      <c r="M599" s="3343"/>
      <c r="N599" s="3343"/>
      <c r="O599" s="3332"/>
    </row>
    <row r="600" spans="1:16" s="747" customFormat="1" ht="15" customHeight="1">
      <c r="A600" s="3324" t="s">
        <v>59</v>
      </c>
      <c r="B600" s="263" t="s">
        <v>746</v>
      </c>
      <c r="C600" s="56" t="s">
        <v>101</v>
      </c>
      <c r="D600" s="2639"/>
      <c r="E600" s="2638"/>
      <c r="F600" s="2638"/>
      <c r="G600" s="2638"/>
      <c r="H600" s="2638"/>
      <c r="I600" s="2638"/>
      <c r="J600" s="2638"/>
      <c r="K600" s="2638"/>
      <c r="L600" s="41"/>
      <c r="M600" s="43"/>
      <c r="N600" s="43"/>
      <c r="O600" s="3335" t="s">
        <v>94</v>
      </c>
    </row>
    <row r="601" spans="1:16" s="747" customFormat="1" ht="12">
      <c r="A601" s="3325"/>
      <c r="B601" s="2073" t="s">
        <v>10</v>
      </c>
      <c r="C601" s="1284"/>
      <c r="D601" s="1800">
        <f>+D602</f>
        <v>27401805</v>
      </c>
      <c r="E601" s="1800">
        <f t="shared" ref="E601:K602" si="377">+E602</f>
        <v>6358217</v>
      </c>
      <c r="F601" s="1800">
        <f t="shared" si="377"/>
        <v>2573695</v>
      </c>
      <c r="G601" s="1800">
        <f t="shared" si="377"/>
        <v>3269893</v>
      </c>
      <c r="H601" s="1800">
        <f t="shared" si="377"/>
        <v>3800000</v>
      </c>
      <c r="I601" s="1800">
        <f t="shared" si="377"/>
        <v>3800000</v>
      </c>
      <c r="J601" s="1800">
        <f t="shared" si="377"/>
        <v>3800000</v>
      </c>
      <c r="K601" s="1800">
        <f t="shared" si="377"/>
        <v>3800000</v>
      </c>
      <c r="L601" s="1801">
        <v>0</v>
      </c>
      <c r="M601" s="2116">
        <f>+M602</f>
        <v>21043588</v>
      </c>
      <c r="N601" s="2116">
        <f>+N602</f>
        <v>18469893</v>
      </c>
      <c r="O601" s="3331"/>
      <c r="P601" s="746"/>
    </row>
    <row r="602" spans="1:16" s="747" customFormat="1" ht="12">
      <c r="A602" s="3325"/>
      <c r="B602" s="2111" t="s">
        <v>23</v>
      </c>
      <c r="C602" s="3337" t="s">
        <v>91</v>
      </c>
      <c r="D602" s="1803">
        <f>+D603</f>
        <v>27401805</v>
      </c>
      <c r="E602" s="1803">
        <f t="shared" si="377"/>
        <v>6358217</v>
      </c>
      <c r="F602" s="1803">
        <f t="shared" si="377"/>
        <v>2573695</v>
      </c>
      <c r="G602" s="1803">
        <f t="shared" si="377"/>
        <v>3269893</v>
      </c>
      <c r="H602" s="1803">
        <f t="shared" si="377"/>
        <v>3800000</v>
      </c>
      <c r="I602" s="1803">
        <f t="shared" si="377"/>
        <v>3800000</v>
      </c>
      <c r="J602" s="1803">
        <f t="shared" si="377"/>
        <v>3800000</v>
      </c>
      <c r="K602" s="1803">
        <f t="shared" si="377"/>
        <v>3800000</v>
      </c>
      <c r="L602" s="1804">
        <v>0</v>
      </c>
      <c r="M602" s="596">
        <f>+M603</f>
        <v>21043588</v>
      </c>
      <c r="N602" s="596">
        <f>+N603</f>
        <v>18469893</v>
      </c>
      <c r="O602" s="3331"/>
    </row>
    <row r="603" spans="1:16" s="747" customFormat="1" thickBot="1">
      <c r="A603" s="3326"/>
      <c r="B603" s="385" t="s">
        <v>12</v>
      </c>
      <c r="C603" s="3334"/>
      <c r="D603" s="1955">
        <f>E603+F603+G603+H603+I603+J603+K603+L603</f>
        <v>27401805</v>
      </c>
      <c r="E603" s="1955">
        <v>6358217</v>
      </c>
      <c r="F603" s="2118">
        <f>3000000+500000-913378-12927</f>
        <v>2573695</v>
      </c>
      <c r="G603" s="2118">
        <f>3500000-230107</f>
        <v>3269893</v>
      </c>
      <c r="H603" s="2118">
        <v>3800000</v>
      </c>
      <c r="I603" s="2118">
        <v>3800000</v>
      </c>
      <c r="J603" s="2118">
        <v>3800000</v>
      </c>
      <c r="K603" s="2118">
        <v>3800000</v>
      </c>
      <c r="L603" s="2114">
        <v>0</v>
      </c>
      <c r="M603" s="2119">
        <f>SUM(F603:K603)</f>
        <v>21043588</v>
      </c>
      <c r="N603" s="2119">
        <f>SUM(G603:L603)</f>
        <v>18469893</v>
      </c>
      <c r="O603" s="3332"/>
    </row>
    <row r="604" spans="1:16" s="747" customFormat="1" ht="14.25" customHeight="1">
      <c r="A604" s="3324" t="s">
        <v>107</v>
      </c>
      <c r="B604" s="263" t="s">
        <v>206</v>
      </c>
      <c r="C604" s="56" t="s">
        <v>101</v>
      </c>
      <c r="D604" s="2639"/>
      <c r="E604" s="2638"/>
      <c r="F604" s="2638"/>
      <c r="G604" s="2638"/>
      <c r="H604" s="2638"/>
      <c r="I604" s="2638"/>
      <c r="J604" s="2637"/>
      <c r="K604" s="2637"/>
      <c r="L604" s="3209"/>
      <c r="M604" s="43"/>
      <c r="N604" s="43"/>
      <c r="O604" s="3335" t="s">
        <v>94</v>
      </c>
    </row>
    <row r="605" spans="1:16" s="747" customFormat="1" ht="12">
      <c r="A605" s="3325"/>
      <c r="B605" s="531" t="s">
        <v>10</v>
      </c>
      <c r="C605" s="1308"/>
      <c r="D605" s="1309">
        <f>+D606</f>
        <v>677137551</v>
      </c>
      <c r="E605" s="1309">
        <f t="shared" ref="E605:I605" si="378">+E606</f>
        <v>319820454</v>
      </c>
      <c r="F605" s="1309">
        <f t="shared" si="378"/>
        <v>83406189</v>
      </c>
      <c r="G605" s="1309">
        <f t="shared" si="378"/>
        <v>91040908</v>
      </c>
      <c r="H605" s="1309">
        <f t="shared" si="378"/>
        <v>92870000</v>
      </c>
      <c r="I605" s="1309">
        <f t="shared" si="378"/>
        <v>90000000</v>
      </c>
      <c r="J605" s="1314">
        <v>0</v>
      </c>
      <c r="K605" s="1314">
        <v>0</v>
      </c>
      <c r="L605" s="1314">
        <v>0</v>
      </c>
      <c r="M605" s="1346">
        <f>+M606</f>
        <v>357317097</v>
      </c>
      <c r="N605" s="1346">
        <f>+N606</f>
        <v>273910908</v>
      </c>
      <c r="O605" s="3331"/>
      <c r="P605" s="746"/>
    </row>
    <row r="606" spans="1:16" s="747" customFormat="1" ht="12">
      <c r="A606" s="3325"/>
      <c r="B606" s="508" t="s">
        <v>23</v>
      </c>
      <c r="C606" s="3337" t="s">
        <v>91</v>
      </c>
      <c r="D606" s="1310">
        <f>+D607+D608</f>
        <v>677137551</v>
      </c>
      <c r="E606" s="1310">
        <f t="shared" ref="E606" si="379">+E607+E608</f>
        <v>319820454</v>
      </c>
      <c r="F606" s="1310">
        <f t="shared" ref="F606:G606" si="380">+F607+F608</f>
        <v>83406189</v>
      </c>
      <c r="G606" s="1310">
        <f t="shared" si="380"/>
        <v>91040908</v>
      </c>
      <c r="H606" s="1310">
        <f>+H607+H608</f>
        <v>92870000</v>
      </c>
      <c r="I606" s="1310">
        <f>+I607+I608</f>
        <v>90000000</v>
      </c>
      <c r="J606" s="1312">
        <v>0</v>
      </c>
      <c r="K606" s="1312">
        <v>0</v>
      </c>
      <c r="L606" s="1312">
        <v>0</v>
      </c>
      <c r="M606" s="1289">
        <f>+M607+M608</f>
        <v>357317097</v>
      </c>
      <c r="N606" s="1289">
        <f>+N607+N608</f>
        <v>273910908</v>
      </c>
      <c r="O606" s="3331"/>
    </row>
    <row r="607" spans="1:16" s="747" customFormat="1" ht="12">
      <c r="A607" s="3325"/>
      <c r="B607" s="1179" t="s">
        <v>12</v>
      </c>
      <c r="C607" s="3398"/>
      <c r="D607" s="773">
        <f>E607+F607+G607+H607+I607+J607+K607+L607</f>
        <v>667984712</v>
      </c>
      <c r="E607" s="1262">
        <v>315126690</v>
      </c>
      <c r="F607" s="1300">
        <f>79000000+2000000+1000000-411978</f>
        <v>81588022</v>
      </c>
      <c r="G607" s="1300">
        <f>79000000+2000000+7000000+400000</f>
        <v>88400000</v>
      </c>
      <c r="H607" s="1300">
        <f>79000000+2000000+10500000+1370000</f>
        <v>92870000</v>
      </c>
      <c r="I607" s="1300">
        <f>79000000+2000000+9000000</f>
        <v>90000000</v>
      </c>
      <c r="J607" s="1245">
        <v>0</v>
      </c>
      <c r="K607" s="1245">
        <v>0</v>
      </c>
      <c r="L607" s="1245">
        <v>0</v>
      </c>
      <c r="M607" s="1302">
        <f>SUM(F607:K607)</f>
        <v>352858022</v>
      </c>
      <c r="N607" s="1302">
        <f>SUM(G607:L607)</f>
        <v>271270000</v>
      </c>
      <c r="O607" s="3331"/>
    </row>
    <row r="608" spans="1:16" s="747" customFormat="1" ht="12">
      <c r="A608" s="3325"/>
      <c r="B608" s="1178" t="s">
        <v>15</v>
      </c>
      <c r="C608" s="2937"/>
      <c r="D608" s="773">
        <f>E608+F608+G608+H608+I608+J608+K608+L608</f>
        <v>9152839</v>
      </c>
      <c r="E608" s="1262">
        <v>4693764</v>
      </c>
      <c r="F608" s="3210">
        <f>1397794+422214-1841</f>
        <v>1818167</v>
      </c>
      <c r="G608" s="3210">
        <f>1360602+1280306</f>
        <v>2640908</v>
      </c>
      <c r="H608" s="3211">
        <v>0</v>
      </c>
      <c r="I608" s="3211">
        <v>0</v>
      </c>
      <c r="J608" s="3040">
        <v>0</v>
      </c>
      <c r="K608" s="3040">
        <v>0</v>
      </c>
      <c r="L608" s="3040">
        <v>0</v>
      </c>
      <c r="M608" s="1302">
        <f>SUM(F608:K608)</f>
        <v>4459075</v>
      </c>
      <c r="N608" s="1302">
        <f>SUM(G608:L608)</f>
        <v>2640908</v>
      </c>
      <c r="O608" s="3331"/>
    </row>
    <row r="609" spans="1:16" s="747" customFormat="1" ht="12">
      <c r="A609" s="3325"/>
      <c r="B609" s="531" t="s">
        <v>21</v>
      </c>
      <c r="C609" s="1308"/>
      <c r="D609" s="1309">
        <f>+D610</f>
        <v>110564230</v>
      </c>
      <c r="E609" s="1309">
        <f t="shared" ref="E609:I609" si="381">+E610</f>
        <v>27872715</v>
      </c>
      <c r="F609" s="3212">
        <f t="shared" si="381"/>
        <v>15393007</v>
      </c>
      <c r="G609" s="3212">
        <f t="shared" si="381"/>
        <v>22655908</v>
      </c>
      <c r="H609" s="3212">
        <f t="shared" si="381"/>
        <v>23006300</v>
      </c>
      <c r="I609" s="3212">
        <f t="shared" si="381"/>
        <v>21636300</v>
      </c>
      <c r="J609" s="3213">
        <v>0</v>
      </c>
      <c r="K609" s="3213">
        <v>0</v>
      </c>
      <c r="L609" s="3213">
        <v>0</v>
      </c>
      <c r="M609" s="3526" t="s">
        <v>22</v>
      </c>
      <c r="N609" s="3526" t="s">
        <v>22</v>
      </c>
      <c r="O609" s="3331"/>
    </row>
    <row r="610" spans="1:16" s="747" customFormat="1" ht="12">
      <c r="A610" s="3325"/>
      <c r="B610" s="508" t="s">
        <v>23</v>
      </c>
      <c r="C610" s="3337" t="s">
        <v>91</v>
      </c>
      <c r="D610" s="1310">
        <f>+D611+D612</f>
        <v>110564230</v>
      </c>
      <c r="E610" s="1310">
        <f t="shared" ref="E610" si="382">+E611+E612</f>
        <v>27872715</v>
      </c>
      <c r="F610" s="1310">
        <f t="shared" ref="F610:G610" si="383">+F611+F612</f>
        <v>15393007</v>
      </c>
      <c r="G610" s="1310">
        <f t="shared" si="383"/>
        <v>22655908</v>
      </c>
      <c r="H610" s="1310">
        <f>+H611+H612</f>
        <v>23006300</v>
      </c>
      <c r="I610" s="1310">
        <f>+I611+I612</f>
        <v>21636300</v>
      </c>
      <c r="J610" s="1312">
        <v>0</v>
      </c>
      <c r="K610" s="1312">
        <v>0</v>
      </c>
      <c r="L610" s="1312">
        <v>0</v>
      </c>
      <c r="M610" s="3339"/>
      <c r="N610" s="3339"/>
      <c r="O610" s="3331"/>
    </row>
    <row r="611" spans="1:16" s="747" customFormat="1" ht="12">
      <c r="A611" s="3325"/>
      <c r="B611" s="3214" t="s">
        <v>210</v>
      </c>
      <c r="C611" s="3397"/>
      <c r="D611" s="773">
        <f>E611+F611+G611+H611+I611+J611+K611+L611</f>
        <v>101411391</v>
      </c>
      <c r="E611" s="1262">
        <v>23178951</v>
      </c>
      <c r="F611" s="1347">
        <f>10500000+1500000+1574800+40</f>
        <v>13574840</v>
      </c>
      <c r="G611" s="1347">
        <f>19858300+156700</f>
        <v>20015000</v>
      </c>
      <c r="H611" s="1347">
        <f>10500000+1500000+9636300+1370000</f>
        <v>23006300</v>
      </c>
      <c r="I611" s="1347">
        <f>10500000+1500000+9636300</f>
        <v>21636300</v>
      </c>
      <c r="J611" s="3215">
        <v>0</v>
      </c>
      <c r="K611" s="3215">
        <v>0</v>
      </c>
      <c r="L611" s="3215">
        <v>0</v>
      </c>
      <c r="M611" s="3339"/>
      <c r="N611" s="3339"/>
      <c r="O611" s="3331"/>
    </row>
    <row r="612" spans="1:16" s="747" customFormat="1" ht="12" customHeight="1" thickBot="1">
      <c r="A612" s="3326"/>
      <c r="B612" s="385" t="s">
        <v>15</v>
      </c>
      <c r="C612" s="3334"/>
      <c r="D612" s="767">
        <f>E612+F612+G612+H612+I612+J612+K612+L612</f>
        <v>9152839</v>
      </c>
      <c r="E612" s="767">
        <v>4693764</v>
      </c>
      <c r="F612" s="3216">
        <f>1397794+422214-1841</f>
        <v>1818167</v>
      </c>
      <c r="G612" s="3216">
        <f>1360602+1280306</f>
        <v>2640908</v>
      </c>
      <c r="H612" s="1348">
        <v>0</v>
      </c>
      <c r="I612" s="1348">
        <v>0</v>
      </c>
      <c r="J612" s="1348">
        <v>0</v>
      </c>
      <c r="K612" s="1348">
        <v>0</v>
      </c>
      <c r="L612" s="1348">
        <v>0</v>
      </c>
      <c r="M612" s="3340"/>
      <c r="N612" s="3340"/>
      <c r="O612" s="3332"/>
    </row>
    <row r="613" spans="1:16" s="747" customFormat="1" hidden="1" thickBot="1">
      <c r="A613" s="3324"/>
      <c r="B613" s="263"/>
      <c r="C613" s="56" t="s">
        <v>101</v>
      </c>
      <c r="D613" s="123"/>
      <c r="E613" s="42"/>
      <c r="F613" s="42"/>
      <c r="G613" s="42"/>
      <c r="H613" s="42"/>
      <c r="I613" s="42"/>
      <c r="J613" s="42"/>
      <c r="K613" s="42"/>
      <c r="L613" s="42"/>
      <c r="M613" s="43"/>
      <c r="N613" s="43"/>
      <c r="O613" s="3335" t="s">
        <v>94</v>
      </c>
    </row>
    <row r="614" spans="1:16" s="747" customFormat="1" hidden="1" thickBot="1">
      <c r="A614" s="3325"/>
      <c r="B614" s="21" t="s">
        <v>10</v>
      </c>
      <c r="C614" s="22"/>
      <c r="D614" s="121">
        <f>+D615</f>
        <v>0</v>
      </c>
      <c r="E614" s="121">
        <v>0</v>
      </c>
      <c r="F614" s="121"/>
      <c r="G614" s="121"/>
      <c r="H614" s="121"/>
      <c r="I614" s="121"/>
      <c r="J614" s="278"/>
      <c r="K614" s="278"/>
      <c r="L614" s="278"/>
      <c r="M614" s="89"/>
      <c r="N614" s="89"/>
      <c r="O614" s="3331"/>
      <c r="P614" s="746"/>
    </row>
    <row r="615" spans="1:16" s="747" customFormat="1" hidden="1" thickBot="1">
      <c r="A615" s="3325"/>
      <c r="B615" s="166" t="s">
        <v>23</v>
      </c>
      <c r="C615" s="387" t="s">
        <v>91</v>
      </c>
      <c r="D615" s="122">
        <f>+D616</f>
        <v>0</v>
      </c>
      <c r="E615" s="122">
        <v>0</v>
      </c>
      <c r="F615" s="122"/>
      <c r="G615" s="122"/>
      <c r="H615" s="122"/>
      <c r="I615" s="122"/>
      <c r="J615" s="277"/>
      <c r="K615" s="277"/>
      <c r="L615" s="277"/>
      <c r="M615" s="66"/>
      <c r="N615" s="66"/>
      <c r="O615" s="3331"/>
    </row>
    <row r="616" spans="1:16" s="747" customFormat="1" hidden="1" thickBot="1">
      <c r="A616" s="3325"/>
      <c r="B616" s="383" t="s">
        <v>12</v>
      </c>
      <c r="C616" s="388"/>
      <c r="D616" s="51">
        <f>SUM(E616:I616)</f>
        <v>0</v>
      </c>
      <c r="E616" s="196">
        <v>0</v>
      </c>
      <c r="F616" s="84"/>
      <c r="G616" s="84"/>
      <c r="H616" s="84"/>
      <c r="I616" s="84"/>
      <c r="J616" s="232"/>
      <c r="K616" s="232"/>
      <c r="L616" s="232"/>
      <c r="M616" s="67"/>
      <c r="N616" s="67"/>
      <c r="O616" s="3331"/>
    </row>
    <row r="617" spans="1:16" s="747" customFormat="1" ht="14.25" hidden="1" customHeight="1">
      <c r="A617" s="3324" t="s">
        <v>81</v>
      </c>
      <c r="B617" s="263"/>
      <c r="C617" s="56" t="s">
        <v>101</v>
      </c>
      <c r="D617" s="40"/>
      <c r="E617" s="42"/>
      <c r="F617" s="42"/>
      <c r="G617" s="42"/>
      <c r="H617" s="42"/>
      <c r="I617" s="42"/>
      <c r="J617" s="42"/>
      <c r="K617" s="42"/>
      <c r="L617" s="42"/>
      <c r="M617" s="43"/>
      <c r="N617" s="43"/>
      <c r="O617" s="3335" t="s">
        <v>79</v>
      </c>
    </row>
    <row r="618" spans="1:16" s="747" customFormat="1" hidden="1" thickBot="1">
      <c r="A618" s="3325"/>
      <c r="B618" s="21" t="s">
        <v>10</v>
      </c>
      <c r="C618" s="22"/>
      <c r="D618" s="121"/>
      <c r="E618" s="121"/>
      <c r="F618" s="121"/>
      <c r="G618" s="121"/>
      <c r="H618" s="121"/>
      <c r="I618" s="268"/>
      <c r="J618" s="268"/>
      <c r="K618" s="268"/>
      <c r="L618" s="268"/>
      <c r="M618" s="63">
        <f>+M619</f>
        <v>0</v>
      </c>
      <c r="N618" s="63">
        <f>+N619</f>
        <v>0</v>
      </c>
      <c r="O618" s="3331"/>
      <c r="P618" s="746"/>
    </row>
    <row r="619" spans="1:16" s="747" customFormat="1" hidden="1" thickBot="1">
      <c r="A619" s="3325"/>
      <c r="B619" s="166" t="s">
        <v>23</v>
      </c>
      <c r="C619" s="3333" t="s">
        <v>77</v>
      </c>
      <c r="D619" s="122"/>
      <c r="E619" s="122"/>
      <c r="F619" s="122"/>
      <c r="G619" s="122"/>
      <c r="H619" s="122"/>
      <c r="I619" s="269"/>
      <c r="J619" s="269"/>
      <c r="K619" s="269"/>
      <c r="L619" s="269"/>
      <c r="M619" s="77">
        <f>+M620+M621</f>
        <v>0</v>
      </c>
      <c r="N619" s="77">
        <f>+N620+N621</f>
        <v>0</v>
      </c>
      <c r="O619" s="3331"/>
    </row>
    <row r="620" spans="1:16" s="747" customFormat="1" hidden="1" thickBot="1">
      <c r="A620" s="3325"/>
      <c r="B620" s="386" t="s">
        <v>12</v>
      </c>
      <c r="C620" s="3397"/>
      <c r="D620" s="764"/>
      <c r="E620" s="764"/>
      <c r="F620" s="68"/>
      <c r="G620" s="68"/>
      <c r="H620" s="68"/>
      <c r="I620" s="270"/>
      <c r="J620" s="270"/>
      <c r="K620" s="270"/>
      <c r="L620" s="270"/>
      <c r="M620" s="34">
        <f>SUM(E620:K620)</f>
        <v>0</v>
      </c>
      <c r="N620" s="34">
        <f>SUM(F620:L620)</f>
        <v>0</v>
      </c>
      <c r="O620" s="3331"/>
    </row>
    <row r="621" spans="1:16" s="747" customFormat="1" hidden="1" thickBot="1">
      <c r="A621" s="3325"/>
      <c r="B621" s="129" t="s">
        <v>99</v>
      </c>
      <c r="C621" s="3398"/>
      <c r="D621" s="764"/>
      <c r="E621" s="764"/>
      <c r="F621" s="271"/>
      <c r="G621" s="271"/>
      <c r="H621" s="271"/>
      <c r="I621" s="271"/>
      <c r="J621" s="264"/>
      <c r="K621" s="264"/>
      <c r="L621" s="264"/>
      <c r="M621" s="34">
        <f>SUM(E621:K621)</f>
        <v>0</v>
      </c>
      <c r="N621" s="34">
        <f>SUM(F621:L621)</f>
        <v>0</v>
      </c>
      <c r="O621" s="3331"/>
    </row>
    <row r="622" spans="1:16" s="747" customFormat="1" hidden="1" thickBot="1">
      <c r="A622" s="3325"/>
      <c r="B622" s="78" t="s">
        <v>21</v>
      </c>
      <c r="C622" s="22"/>
      <c r="D622" s="121"/>
      <c r="E622" s="121"/>
      <c r="F622" s="268"/>
      <c r="G622" s="268"/>
      <c r="H622" s="268"/>
      <c r="I622" s="268"/>
      <c r="J622" s="268"/>
      <c r="K622" s="268"/>
      <c r="L622" s="268"/>
      <c r="M622" s="3527" t="s">
        <v>22</v>
      </c>
      <c r="N622" s="3527" t="s">
        <v>22</v>
      </c>
      <c r="O622" s="3331"/>
    </row>
    <row r="623" spans="1:16" s="747" customFormat="1" hidden="1" thickBot="1">
      <c r="A623" s="3325"/>
      <c r="B623" s="166" t="s">
        <v>23</v>
      </c>
      <c r="C623" s="3333" t="s">
        <v>77</v>
      </c>
      <c r="D623" s="48"/>
      <c r="E623" s="48"/>
      <c r="F623" s="266"/>
      <c r="G623" s="266"/>
      <c r="H623" s="272"/>
      <c r="I623" s="266"/>
      <c r="J623" s="266"/>
      <c r="K623" s="266"/>
      <c r="L623" s="266"/>
      <c r="M623" s="3363"/>
      <c r="N623" s="3363"/>
      <c r="O623" s="3331"/>
    </row>
    <row r="624" spans="1:16" s="747" customFormat="1" hidden="1" thickBot="1">
      <c r="A624" s="3326"/>
      <c r="B624" s="275" t="s">
        <v>13</v>
      </c>
      <c r="C624" s="3334"/>
      <c r="D624" s="764"/>
      <c r="E624" s="764"/>
      <c r="F624" s="273"/>
      <c r="G624" s="273"/>
      <c r="H624" s="274"/>
      <c r="I624" s="273"/>
      <c r="J624" s="273"/>
      <c r="K624" s="273"/>
      <c r="L624" s="273"/>
      <c r="M624" s="3364"/>
      <c r="N624" s="3364"/>
      <c r="O624" s="3332"/>
    </row>
    <row r="625" spans="1:16" s="747" customFormat="1" ht="24.75" hidden="1" customHeight="1">
      <c r="A625" s="3324" t="s">
        <v>84</v>
      </c>
      <c r="B625" s="263"/>
      <c r="C625" s="56"/>
      <c r="D625" s="40"/>
      <c r="E625" s="40"/>
      <c r="F625" s="40"/>
      <c r="G625" s="40"/>
      <c r="H625" s="42"/>
      <c r="I625" s="42"/>
      <c r="J625" s="42"/>
      <c r="K625" s="42"/>
      <c r="L625" s="42"/>
      <c r="M625" s="43"/>
      <c r="N625" s="43"/>
      <c r="O625" s="3335" t="s">
        <v>79</v>
      </c>
    </row>
    <row r="626" spans="1:16" s="747" customFormat="1" hidden="1" thickBot="1">
      <c r="A626" s="3325"/>
      <c r="B626" s="21" t="s">
        <v>10</v>
      </c>
      <c r="C626" s="22"/>
      <c r="D626" s="121"/>
      <c r="E626" s="121"/>
      <c r="F626" s="121"/>
      <c r="G626" s="121"/>
      <c r="H626" s="121"/>
      <c r="I626" s="268"/>
      <c r="J626" s="268"/>
      <c r="K626" s="268"/>
      <c r="L626" s="268"/>
      <c r="M626" s="63">
        <f>+M627</f>
        <v>0</v>
      </c>
      <c r="N626" s="63">
        <f>+N627</f>
        <v>0</v>
      </c>
      <c r="O626" s="3331"/>
      <c r="P626" s="746"/>
    </row>
    <row r="627" spans="1:16" s="747" customFormat="1" hidden="1" thickBot="1">
      <c r="A627" s="3325"/>
      <c r="B627" s="166" t="s">
        <v>23</v>
      </c>
      <c r="C627" s="3333" t="s">
        <v>77</v>
      </c>
      <c r="D627" s="122"/>
      <c r="E627" s="122"/>
      <c r="F627" s="122"/>
      <c r="G627" s="122"/>
      <c r="H627" s="122"/>
      <c r="I627" s="271"/>
      <c r="J627" s="264"/>
      <c r="K627" s="264"/>
      <c r="L627" s="264"/>
      <c r="M627" s="77">
        <f>+M628+M629</f>
        <v>0</v>
      </c>
      <c r="N627" s="77">
        <f>+N628+N629</f>
        <v>0</v>
      </c>
      <c r="O627" s="3331"/>
    </row>
    <row r="628" spans="1:16" s="747" customFormat="1" hidden="1" thickBot="1">
      <c r="A628" s="3325"/>
      <c r="B628" s="386" t="s">
        <v>12</v>
      </c>
      <c r="C628" s="3397"/>
      <c r="D628" s="764"/>
      <c r="E628" s="764"/>
      <c r="F628" s="73"/>
      <c r="G628" s="73"/>
      <c r="H628" s="73"/>
      <c r="I628" s="271"/>
      <c r="J628" s="264"/>
      <c r="K628" s="264"/>
      <c r="L628" s="264"/>
      <c r="M628" s="34">
        <f>SUM(E628:K628)</f>
        <v>0</v>
      </c>
      <c r="N628" s="34">
        <f>SUM(F628:L628)</f>
        <v>0</v>
      </c>
      <c r="O628" s="3331"/>
    </row>
    <row r="629" spans="1:16" s="747" customFormat="1" hidden="1" thickBot="1">
      <c r="A629" s="3325"/>
      <c r="B629" s="129" t="s">
        <v>70</v>
      </c>
      <c r="C629" s="3398"/>
      <c r="D629" s="764"/>
      <c r="E629" s="764"/>
      <c r="F629" s="73"/>
      <c r="G629" s="73"/>
      <c r="H629" s="271"/>
      <c r="I629" s="271"/>
      <c r="J629" s="264"/>
      <c r="K629" s="264"/>
      <c r="L629" s="264"/>
      <c r="M629" s="34">
        <f>SUM(E629:K629)</f>
        <v>0</v>
      </c>
      <c r="N629" s="34">
        <f>SUM(F629:L629)</f>
        <v>0</v>
      </c>
      <c r="O629" s="3331"/>
    </row>
    <row r="630" spans="1:16" s="747" customFormat="1" hidden="1" thickBot="1">
      <c r="A630" s="3325"/>
      <c r="B630" s="78" t="s">
        <v>21</v>
      </c>
      <c r="C630" s="22"/>
      <c r="D630" s="121"/>
      <c r="E630" s="121"/>
      <c r="F630" s="268"/>
      <c r="G630" s="268"/>
      <c r="H630" s="268"/>
      <c r="I630" s="268"/>
      <c r="J630" s="268"/>
      <c r="K630" s="268"/>
      <c r="L630" s="268"/>
      <c r="M630" s="3527" t="s">
        <v>22</v>
      </c>
      <c r="N630" s="3527" t="s">
        <v>22</v>
      </c>
      <c r="O630" s="3331"/>
    </row>
    <row r="631" spans="1:16" s="747" customFormat="1" hidden="1" thickBot="1">
      <c r="A631" s="3325"/>
      <c r="B631" s="166" t="s">
        <v>23</v>
      </c>
      <c r="C631" s="3333" t="s">
        <v>77</v>
      </c>
      <c r="D631" s="368"/>
      <c r="E631" s="368"/>
      <c r="F631" s="272"/>
      <c r="G631" s="272"/>
      <c r="H631" s="272"/>
      <c r="I631" s="266"/>
      <c r="J631" s="266"/>
      <c r="K631" s="266"/>
      <c r="L631" s="266"/>
      <c r="M631" s="3363"/>
      <c r="N631" s="3363"/>
      <c r="O631" s="3331"/>
    </row>
    <row r="632" spans="1:16" s="747" customFormat="1" hidden="1" thickBot="1">
      <c r="A632" s="3326"/>
      <c r="B632" s="129" t="s">
        <v>13</v>
      </c>
      <c r="C632" s="3334"/>
      <c r="D632" s="764"/>
      <c r="E632" s="764"/>
      <c r="F632" s="274"/>
      <c r="G632" s="274"/>
      <c r="H632" s="274"/>
      <c r="I632" s="273"/>
      <c r="J632" s="273"/>
      <c r="K632" s="273"/>
      <c r="L632" s="273"/>
      <c r="M632" s="3364"/>
      <c r="N632" s="3364"/>
      <c r="O632" s="3332"/>
    </row>
    <row r="633" spans="1:16" s="747" customFormat="1" ht="14.25" hidden="1" customHeight="1">
      <c r="A633" s="3324" t="s">
        <v>85</v>
      </c>
      <c r="B633" s="263"/>
      <c r="C633" s="56"/>
      <c r="D633" s="123"/>
      <c r="E633" s="42"/>
      <c r="F633" s="42"/>
      <c r="G633" s="42"/>
      <c r="H633" s="42"/>
      <c r="I633" s="42"/>
      <c r="J633" s="42"/>
      <c r="K633" s="42"/>
      <c r="L633" s="42"/>
      <c r="M633" s="43"/>
      <c r="N633" s="43"/>
      <c r="O633" s="3335" t="s">
        <v>79</v>
      </c>
    </row>
    <row r="634" spans="1:16" s="747" customFormat="1" hidden="1" thickBot="1">
      <c r="A634" s="3325"/>
      <c r="B634" s="21" t="s">
        <v>10</v>
      </c>
      <c r="C634" s="22"/>
      <c r="D634" s="121"/>
      <c r="E634" s="121"/>
      <c r="F634" s="121"/>
      <c r="G634" s="121"/>
      <c r="H634" s="268"/>
      <c r="I634" s="268"/>
      <c r="J634" s="268"/>
      <c r="K634" s="268"/>
      <c r="L634" s="268"/>
      <c r="M634" s="63">
        <f>+M635</f>
        <v>0</v>
      </c>
      <c r="N634" s="63">
        <f>+N635</f>
        <v>0</v>
      </c>
      <c r="O634" s="3331"/>
      <c r="P634" s="746"/>
    </row>
    <row r="635" spans="1:16" s="747" customFormat="1" hidden="1" thickBot="1">
      <c r="A635" s="3325"/>
      <c r="B635" s="166" t="s">
        <v>23</v>
      </c>
      <c r="C635" s="3333" t="s">
        <v>77</v>
      </c>
      <c r="D635" s="122"/>
      <c r="E635" s="122"/>
      <c r="F635" s="122"/>
      <c r="G635" s="122"/>
      <c r="H635" s="269"/>
      <c r="I635" s="269"/>
      <c r="J635" s="269"/>
      <c r="K635" s="269"/>
      <c r="L635" s="269"/>
      <c r="M635" s="77">
        <f>+M636</f>
        <v>0</v>
      </c>
      <c r="N635" s="77">
        <f>+N636</f>
        <v>0</v>
      </c>
      <c r="O635" s="3331"/>
    </row>
    <row r="636" spans="1:16" s="747" customFormat="1" hidden="1" thickBot="1">
      <c r="A636" s="3326"/>
      <c r="B636" s="385" t="s">
        <v>12</v>
      </c>
      <c r="C636" s="3334"/>
      <c r="D636" s="764"/>
      <c r="E636" s="764"/>
      <c r="F636" s="227"/>
      <c r="G636" s="227"/>
      <c r="H636" s="282"/>
      <c r="I636" s="282"/>
      <c r="J636" s="270"/>
      <c r="K636" s="270"/>
      <c r="L636" s="270"/>
      <c r="M636" s="34">
        <f>SUM(E636:K636)</f>
        <v>0</v>
      </c>
      <c r="N636" s="34">
        <f>SUM(F636:L636)</f>
        <v>0</v>
      </c>
      <c r="O636" s="3332"/>
    </row>
    <row r="637" spans="1:16" s="747" customFormat="1" ht="14.25" hidden="1" customHeight="1">
      <c r="A637" s="3324" t="s">
        <v>86</v>
      </c>
      <c r="B637" s="263"/>
      <c r="C637" s="56"/>
      <c r="D637" s="123"/>
      <c r="E637" s="42"/>
      <c r="F637" s="42"/>
      <c r="G637" s="42"/>
      <c r="H637" s="42"/>
      <c r="I637" s="42"/>
      <c r="J637" s="42"/>
      <c r="K637" s="42"/>
      <c r="L637" s="42"/>
      <c r="M637" s="43"/>
      <c r="N637" s="43"/>
      <c r="O637" s="3335" t="s">
        <v>79</v>
      </c>
    </row>
    <row r="638" spans="1:16" s="747" customFormat="1" hidden="1" thickBot="1">
      <c r="A638" s="3325"/>
      <c r="B638" s="21" t="s">
        <v>10</v>
      </c>
      <c r="C638" s="22"/>
      <c r="D638" s="121"/>
      <c r="E638" s="268"/>
      <c r="F638" s="121"/>
      <c r="G638" s="121"/>
      <c r="H638" s="121"/>
      <c r="I638" s="268"/>
      <c r="J638" s="268"/>
      <c r="K638" s="268"/>
      <c r="L638" s="268"/>
      <c r="M638" s="63">
        <f>+M639</f>
        <v>0</v>
      </c>
      <c r="N638" s="63">
        <f>+N639</f>
        <v>0</v>
      </c>
      <c r="O638" s="3331"/>
      <c r="P638" s="746"/>
    </row>
    <row r="639" spans="1:16" s="747" customFormat="1" hidden="1" thickBot="1">
      <c r="A639" s="3325"/>
      <c r="B639" s="166" t="s">
        <v>23</v>
      </c>
      <c r="C639" s="3333" t="s">
        <v>77</v>
      </c>
      <c r="D639" s="122"/>
      <c r="E639" s="269"/>
      <c r="F639" s="122"/>
      <c r="G639" s="122"/>
      <c r="H639" s="122"/>
      <c r="I639" s="269"/>
      <c r="J639" s="269"/>
      <c r="K639" s="269"/>
      <c r="L639" s="269"/>
      <c r="M639" s="77">
        <f>+M640</f>
        <v>0</v>
      </c>
      <c r="N639" s="77">
        <f>+N640</f>
        <v>0</v>
      </c>
      <c r="O639" s="3331"/>
    </row>
    <row r="640" spans="1:16" s="747" customFormat="1" hidden="1" thickBot="1">
      <c r="A640" s="3326"/>
      <c r="B640" s="385" t="s">
        <v>12</v>
      </c>
      <c r="C640" s="3334"/>
      <c r="D640" s="764"/>
      <c r="E640" s="540"/>
      <c r="F640" s="227"/>
      <c r="G640" s="227"/>
      <c r="H640" s="227"/>
      <c r="I640" s="282"/>
      <c r="J640" s="270"/>
      <c r="K640" s="270"/>
      <c r="L640" s="270"/>
      <c r="M640" s="34">
        <f>SUM(E640:K640)</f>
        <v>0</v>
      </c>
      <c r="N640" s="34">
        <f>SUM(F640:L640)</f>
        <v>0</v>
      </c>
      <c r="O640" s="3332"/>
    </row>
    <row r="641" spans="1:16" s="747" customFormat="1" ht="24.75" customHeight="1">
      <c r="A641" s="3324" t="s">
        <v>80</v>
      </c>
      <c r="B641" s="263" t="s">
        <v>747</v>
      </c>
      <c r="C641" s="1338" t="s">
        <v>101</v>
      </c>
      <c r="D641" s="2639"/>
      <c r="E641" s="2638"/>
      <c r="F641" s="2638"/>
      <c r="G641" s="2638"/>
      <c r="H641" s="2638"/>
      <c r="I641" s="2638"/>
      <c r="J641" s="2638"/>
      <c r="K641" s="2638"/>
      <c r="L641" s="41"/>
      <c r="M641" s="43"/>
      <c r="N641" s="43"/>
      <c r="O641" s="3335" t="s">
        <v>94</v>
      </c>
    </row>
    <row r="642" spans="1:16" s="747" customFormat="1" ht="12.75" customHeight="1">
      <c r="A642" s="3325"/>
      <c r="B642" s="21" t="s">
        <v>10</v>
      </c>
      <c r="C642" s="22"/>
      <c r="D642" s="121">
        <f>+D643</f>
        <v>881879</v>
      </c>
      <c r="E642" s="121">
        <f t="shared" ref="E642:K643" si="384">+E643</f>
        <v>116055</v>
      </c>
      <c r="F642" s="121">
        <f t="shared" si="384"/>
        <v>81377</v>
      </c>
      <c r="G642" s="121">
        <f t="shared" si="384"/>
        <v>104447</v>
      </c>
      <c r="H642" s="121">
        <f t="shared" si="384"/>
        <v>145000</v>
      </c>
      <c r="I642" s="121">
        <f t="shared" si="384"/>
        <v>145000</v>
      </c>
      <c r="J642" s="121">
        <f t="shared" si="384"/>
        <v>145000</v>
      </c>
      <c r="K642" s="121">
        <f t="shared" si="384"/>
        <v>145000</v>
      </c>
      <c r="L642" s="268">
        <v>0</v>
      </c>
      <c r="M642" s="63">
        <f>+M643</f>
        <v>765824</v>
      </c>
      <c r="N642" s="63">
        <f>+N643</f>
        <v>684447</v>
      </c>
      <c r="O642" s="3331"/>
      <c r="P642" s="746"/>
    </row>
    <row r="643" spans="1:16" s="747" customFormat="1" ht="12.75" customHeight="1">
      <c r="A643" s="3325"/>
      <c r="B643" s="166" t="s">
        <v>23</v>
      </c>
      <c r="C643" s="3333" t="s">
        <v>91</v>
      </c>
      <c r="D643" s="122">
        <f>+D644</f>
        <v>881879</v>
      </c>
      <c r="E643" s="122">
        <f t="shared" si="384"/>
        <v>116055</v>
      </c>
      <c r="F643" s="122">
        <f t="shared" si="384"/>
        <v>81377</v>
      </c>
      <c r="G643" s="122">
        <f t="shared" si="384"/>
        <v>104447</v>
      </c>
      <c r="H643" s="122">
        <f t="shared" si="384"/>
        <v>145000</v>
      </c>
      <c r="I643" s="122">
        <f t="shared" si="384"/>
        <v>145000</v>
      </c>
      <c r="J643" s="122">
        <f>145000</f>
        <v>145000</v>
      </c>
      <c r="K643" s="122">
        <f>145000</f>
        <v>145000</v>
      </c>
      <c r="L643" s="269">
        <v>0</v>
      </c>
      <c r="M643" s="77">
        <f>+M644</f>
        <v>765824</v>
      </c>
      <c r="N643" s="77">
        <f>+N644</f>
        <v>684447</v>
      </c>
      <c r="O643" s="3331"/>
    </row>
    <row r="644" spans="1:16" s="747" customFormat="1" ht="12.75" customHeight="1" thickBot="1">
      <c r="A644" s="3326"/>
      <c r="B644" s="385" t="s">
        <v>12</v>
      </c>
      <c r="C644" s="3334"/>
      <c r="D644" s="235">
        <f>E644+F644+G644+H644+I644+J644+K644+L644</f>
        <v>881879</v>
      </c>
      <c r="E644" s="265">
        <v>116055</v>
      </c>
      <c r="F644" s="227">
        <f>135000-44000-9623</f>
        <v>81377</v>
      </c>
      <c r="G644" s="227">
        <f>135000-30553</f>
        <v>104447</v>
      </c>
      <c r="H644" s="227">
        <f>135000+10000</f>
        <v>145000</v>
      </c>
      <c r="I644" s="227">
        <f>135000+10000</f>
        <v>145000</v>
      </c>
      <c r="J644" s="227">
        <f>145000</f>
        <v>145000</v>
      </c>
      <c r="K644" s="227">
        <f>145000</f>
        <v>145000</v>
      </c>
      <c r="L644" s="282">
        <v>0</v>
      </c>
      <c r="M644" s="796">
        <f>SUM(F644:K644)</f>
        <v>765824</v>
      </c>
      <c r="N644" s="796">
        <f>SUM(G644:L644)</f>
        <v>684447</v>
      </c>
      <c r="O644" s="3332"/>
    </row>
    <row r="645" spans="1:16" s="747" customFormat="1" ht="27" customHeight="1">
      <c r="A645" s="3324" t="s">
        <v>81</v>
      </c>
      <c r="B645" s="263" t="s">
        <v>505</v>
      </c>
      <c r="C645" s="56" t="s">
        <v>74</v>
      </c>
      <c r="D645" s="2639"/>
      <c r="E645" s="2638"/>
      <c r="F645" s="2638"/>
      <c r="G645" s="2638"/>
      <c r="H645" s="2638"/>
      <c r="I645" s="2638"/>
      <c r="J645" s="2638"/>
      <c r="K645" s="2638"/>
      <c r="L645" s="41"/>
      <c r="M645" s="43"/>
      <c r="N645" s="43"/>
      <c r="O645" s="3335" t="s">
        <v>79</v>
      </c>
    </row>
    <row r="646" spans="1:16" s="747" customFormat="1" ht="12">
      <c r="A646" s="3325"/>
      <c r="B646" s="531" t="s">
        <v>10</v>
      </c>
      <c r="C646" s="1284"/>
      <c r="D646" s="1309">
        <f>+D647</f>
        <v>6310603</v>
      </c>
      <c r="E646" s="1309">
        <v>3810194</v>
      </c>
      <c r="F646" s="1309">
        <f t="shared" ref="F646:G647" si="385">+F647</f>
        <v>2021758</v>
      </c>
      <c r="G646" s="1309">
        <f t="shared" si="385"/>
        <v>478651</v>
      </c>
      <c r="H646" s="1314">
        <v>0</v>
      </c>
      <c r="I646" s="1314">
        <v>0</v>
      </c>
      <c r="J646" s="1314">
        <v>0</v>
      </c>
      <c r="K646" s="1314">
        <v>0</v>
      </c>
      <c r="L646" s="1314">
        <v>0</v>
      </c>
      <c r="M646" s="1286">
        <f>+M647</f>
        <v>2500409</v>
      </c>
      <c r="N646" s="1286">
        <f>+N647</f>
        <v>478651</v>
      </c>
      <c r="O646" s="3331"/>
      <c r="P646" s="746"/>
    </row>
    <row r="647" spans="1:16" s="747" customFormat="1" ht="12">
      <c r="A647" s="3325"/>
      <c r="B647" s="508" t="s">
        <v>23</v>
      </c>
      <c r="C647" s="3396" t="s">
        <v>77</v>
      </c>
      <c r="D647" s="1310">
        <f>+D648</f>
        <v>6310603</v>
      </c>
      <c r="E647" s="1310">
        <v>3810194</v>
      </c>
      <c r="F647" s="1310">
        <f t="shared" si="385"/>
        <v>2021758</v>
      </c>
      <c r="G647" s="1310">
        <f t="shared" si="385"/>
        <v>478651</v>
      </c>
      <c r="H647" s="1312">
        <v>0</v>
      </c>
      <c r="I647" s="1312">
        <v>0</v>
      </c>
      <c r="J647" s="1312">
        <v>0</v>
      </c>
      <c r="K647" s="1312">
        <v>0</v>
      </c>
      <c r="L647" s="1312">
        <v>0</v>
      </c>
      <c r="M647" s="1289">
        <f>+M648</f>
        <v>2500409</v>
      </c>
      <c r="N647" s="1289">
        <f>+N648</f>
        <v>478651</v>
      </c>
      <c r="O647" s="3331"/>
    </row>
    <row r="648" spans="1:16" s="747" customFormat="1" thickBot="1">
      <c r="A648" s="3326"/>
      <c r="B648" s="385" t="s">
        <v>12</v>
      </c>
      <c r="C648" s="3334"/>
      <c r="D648" s="1382">
        <f>E648+F648+G648+H648+I648+J648+K648+L648</f>
        <v>6310603</v>
      </c>
      <c r="E648" s="1382">
        <v>3810194</v>
      </c>
      <c r="F648" s="1593">
        <f>1965000+93736+486070-523048</f>
        <v>2021758</v>
      </c>
      <c r="G648" s="1593">
        <f>523048+60000-104397</f>
        <v>478651</v>
      </c>
      <c r="H648" s="3217">
        <v>0</v>
      </c>
      <c r="I648" s="3217">
        <v>0</v>
      </c>
      <c r="J648" s="3217">
        <v>0</v>
      </c>
      <c r="K648" s="3217">
        <v>0</v>
      </c>
      <c r="L648" s="3217">
        <v>0</v>
      </c>
      <c r="M648" s="1594">
        <f>SUM(F648:K648)</f>
        <v>2500409</v>
      </c>
      <c r="N648" s="1594">
        <f>SUM(G648:L648)</f>
        <v>478651</v>
      </c>
      <c r="O648" s="3332"/>
    </row>
    <row r="649" spans="1:16" s="747" customFormat="1" ht="16.5" customHeight="1">
      <c r="A649" s="3324" t="s">
        <v>82</v>
      </c>
      <c r="B649" s="263" t="s">
        <v>352</v>
      </c>
      <c r="C649" s="56" t="s">
        <v>101</v>
      </c>
      <c r="D649" s="2639"/>
      <c r="E649" s="2637"/>
      <c r="F649" s="2638"/>
      <c r="G649" s="2638"/>
      <c r="H649" s="2638"/>
      <c r="I649" s="2638"/>
      <c r="J649" s="2638"/>
      <c r="K649" s="2638"/>
      <c r="L649" s="41"/>
      <c r="M649" s="43"/>
      <c r="N649" s="43"/>
      <c r="O649" s="3335" t="s">
        <v>79</v>
      </c>
    </row>
    <row r="650" spans="1:16" s="747" customFormat="1" ht="12.75" customHeight="1">
      <c r="A650" s="3325"/>
      <c r="B650" s="21" t="s">
        <v>10</v>
      </c>
      <c r="C650" s="22"/>
      <c r="D650" s="2838">
        <f>+D651</f>
        <v>107257369</v>
      </c>
      <c r="E650" s="2838">
        <f t="shared" ref="E650:I650" si="386">+E651</f>
        <v>0</v>
      </c>
      <c r="F650" s="2838">
        <f t="shared" si="386"/>
        <v>27220670</v>
      </c>
      <c r="G650" s="2838">
        <f t="shared" si="386"/>
        <v>26856601</v>
      </c>
      <c r="H650" s="2838">
        <f t="shared" si="386"/>
        <v>26265000</v>
      </c>
      <c r="I650" s="2838">
        <f t="shared" si="386"/>
        <v>26915098</v>
      </c>
      <c r="J650" s="2839">
        <v>0</v>
      </c>
      <c r="K650" s="2839">
        <v>0</v>
      </c>
      <c r="L650" s="2839">
        <v>0</v>
      </c>
      <c r="M650" s="2840">
        <f>+M651</f>
        <v>107257369</v>
      </c>
      <c r="N650" s="2840">
        <f>+N651</f>
        <v>80036699</v>
      </c>
      <c r="O650" s="3331"/>
      <c r="P650" s="746"/>
    </row>
    <row r="651" spans="1:16" s="747" customFormat="1" ht="12.75" customHeight="1">
      <c r="A651" s="3325"/>
      <c r="B651" s="508" t="s">
        <v>23</v>
      </c>
      <c r="C651" s="3510" t="s">
        <v>476</v>
      </c>
      <c r="D651" s="1803">
        <f>+D652+D653</f>
        <v>107257369</v>
      </c>
      <c r="E651" s="1803">
        <f t="shared" ref="E651" si="387">+E652+E653</f>
        <v>0</v>
      </c>
      <c r="F651" s="1803">
        <f t="shared" ref="F651:L651" si="388">+F652+F653</f>
        <v>27220670</v>
      </c>
      <c r="G651" s="1803">
        <f t="shared" si="388"/>
        <v>26856601</v>
      </c>
      <c r="H651" s="1803">
        <f t="shared" si="388"/>
        <v>26265000</v>
      </c>
      <c r="I651" s="1803">
        <f t="shared" si="388"/>
        <v>26915098</v>
      </c>
      <c r="J651" s="1804">
        <f t="shared" si="388"/>
        <v>0</v>
      </c>
      <c r="K651" s="1804">
        <f t="shared" si="388"/>
        <v>0</v>
      </c>
      <c r="L651" s="1804">
        <f t="shared" si="388"/>
        <v>0</v>
      </c>
      <c r="M651" s="515">
        <f>+M652+M653</f>
        <v>107257369</v>
      </c>
      <c r="N651" s="515">
        <f>+N652+N653</f>
        <v>80036699</v>
      </c>
      <c r="O651" s="3331"/>
    </row>
    <row r="652" spans="1:16" s="747" customFormat="1" ht="14.25" customHeight="1">
      <c r="A652" s="3325"/>
      <c r="B652" s="1179" t="s">
        <v>12</v>
      </c>
      <c r="C652" s="3397"/>
      <c r="D652" s="235">
        <f>E652+F652+G652+H652+I652+J652+K652+L652</f>
        <v>58213641</v>
      </c>
      <c r="E652" s="265">
        <v>0</v>
      </c>
      <c r="F652" s="1818">
        <f>24142831+86188+3000000-23425991-8349</f>
        <v>3794679</v>
      </c>
      <c r="G652" s="1818">
        <f>26856601-25617737</f>
        <v>1238864</v>
      </c>
      <c r="H652" s="1818">
        <v>26265000</v>
      </c>
      <c r="I652" s="1818">
        <v>26915098</v>
      </c>
      <c r="J652" s="1805">
        <v>0</v>
      </c>
      <c r="K652" s="1805">
        <v>0</v>
      </c>
      <c r="L652" s="1805">
        <v>0</v>
      </c>
      <c r="M652" s="796">
        <f>SUM(F652:K652)</f>
        <v>58213641</v>
      </c>
      <c r="N652" s="796">
        <f>SUM(G652:L652)</f>
        <v>54418962</v>
      </c>
      <c r="O652" s="3331"/>
    </row>
    <row r="653" spans="1:16" s="747" customFormat="1" ht="14.25" customHeight="1">
      <c r="A653" s="3325"/>
      <c r="B653" s="1179" t="s">
        <v>70</v>
      </c>
      <c r="C653" s="3398"/>
      <c r="D653" s="1267">
        <f>E653+F653+G653+H653+I653+J653+K653+L653</f>
        <v>49043728</v>
      </c>
      <c r="E653" s="265">
        <v>0</v>
      </c>
      <c r="F653" s="1818">
        <f>23425991</f>
        <v>23425991</v>
      </c>
      <c r="G653" s="1818">
        <v>25617737</v>
      </c>
      <c r="H653" s="1805">
        <v>0</v>
      </c>
      <c r="I653" s="1805">
        <v>0</v>
      </c>
      <c r="J653" s="1805">
        <v>0</v>
      </c>
      <c r="K653" s="1805">
        <v>0</v>
      </c>
      <c r="L653" s="1805"/>
      <c r="M653" s="796">
        <f>SUM(F653:K653)</f>
        <v>49043728</v>
      </c>
      <c r="N653" s="796">
        <f>SUM(G653:L653)</f>
        <v>25617737</v>
      </c>
      <c r="O653" s="3336"/>
    </row>
    <row r="654" spans="1:16" s="747" customFormat="1" ht="14.25" customHeight="1">
      <c r="A654" s="3325"/>
      <c r="B654" s="80" t="s">
        <v>21</v>
      </c>
      <c r="C654" s="88"/>
      <c r="D654" s="2841">
        <f>+D655</f>
        <v>49043728</v>
      </c>
      <c r="E654" s="2841">
        <f t="shared" ref="E654:E655" si="389">+E655</f>
        <v>0</v>
      </c>
      <c r="F654" s="2841">
        <f t="shared" ref="F654:F655" si="390">+F655</f>
        <v>23425991</v>
      </c>
      <c r="G654" s="2841">
        <f t="shared" ref="G654:G655" si="391">+G655</f>
        <v>25617737</v>
      </c>
      <c r="H654" s="2644">
        <f t="shared" ref="H654:H655" si="392">+H655</f>
        <v>0</v>
      </c>
      <c r="I654" s="2644">
        <f t="shared" ref="I654:I655" si="393">+I655</f>
        <v>0</v>
      </c>
      <c r="J654" s="2644">
        <f t="shared" ref="J654:J655" si="394">+J655</f>
        <v>0</v>
      </c>
      <c r="K654" s="2644">
        <f t="shared" ref="K654:K655" si="395">+K655</f>
        <v>0</v>
      </c>
      <c r="L654" s="2644">
        <f t="shared" ref="L654:L655" si="396">+L655</f>
        <v>0</v>
      </c>
      <c r="M654" s="3511" t="s">
        <v>22</v>
      </c>
      <c r="N654" s="3511" t="s">
        <v>22</v>
      </c>
      <c r="O654" s="3534" t="s">
        <v>94</v>
      </c>
    </row>
    <row r="655" spans="1:16" s="747" customFormat="1" ht="14.25" customHeight="1">
      <c r="A655" s="3325"/>
      <c r="B655" s="166" t="s">
        <v>23</v>
      </c>
      <c r="C655" s="3346" t="s">
        <v>77</v>
      </c>
      <c r="D655" s="122">
        <f>+D656</f>
        <v>49043728</v>
      </c>
      <c r="E655" s="122">
        <f t="shared" si="389"/>
        <v>0</v>
      </c>
      <c r="F655" s="122">
        <f t="shared" si="390"/>
        <v>23425991</v>
      </c>
      <c r="G655" s="122">
        <f t="shared" si="391"/>
        <v>25617737</v>
      </c>
      <c r="H655" s="269">
        <f t="shared" si="392"/>
        <v>0</v>
      </c>
      <c r="I655" s="269">
        <f t="shared" si="393"/>
        <v>0</v>
      </c>
      <c r="J655" s="269">
        <f t="shared" si="394"/>
        <v>0</v>
      </c>
      <c r="K655" s="269">
        <f t="shared" si="395"/>
        <v>0</v>
      </c>
      <c r="L655" s="269">
        <f t="shared" si="396"/>
        <v>0</v>
      </c>
      <c r="M655" s="3363"/>
      <c r="N655" s="3363"/>
      <c r="O655" s="3331"/>
    </row>
    <row r="656" spans="1:16" s="747" customFormat="1" ht="14.25" customHeight="1" thickBot="1">
      <c r="A656" s="3326"/>
      <c r="B656" s="385" t="s">
        <v>70</v>
      </c>
      <c r="C656" s="3504"/>
      <c r="D656" s="235">
        <f>E656+F656+G656+H656+I656+J656+K656+L656</f>
        <v>49043728</v>
      </c>
      <c r="E656" s="265">
        <v>0</v>
      </c>
      <c r="F656" s="1088">
        <f>23425991</f>
        <v>23425991</v>
      </c>
      <c r="G656" s="1088">
        <v>25617737</v>
      </c>
      <c r="H656" s="282">
        <v>0</v>
      </c>
      <c r="I656" s="282">
        <v>0</v>
      </c>
      <c r="J656" s="282">
        <v>0</v>
      </c>
      <c r="K656" s="282">
        <v>0</v>
      </c>
      <c r="L656" s="282">
        <v>0</v>
      </c>
      <c r="M656" s="3364"/>
      <c r="N656" s="3364"/>
      <c r="O656" s="3332"/>
    </row>
    <row r="657" spans="1:16" s="747" customFormat="1" ht="15.75" customHeight="1">
      <c r="A657" s="3324" t="s">
        <v>83</v>
      </c>
      <c r="B657" s="263" t="s">
        <v>353</v>
      </c>
      <c r="C657" s="56" t="s">
        <v>74</v>
      </c>
      <c r="D657" s="2639"/>
      <c r="E657" s="2637"/>
      <c r="F657" s="2638"/>
      <c r="G657" s="2638"/>
      <c r="H657" s="2638"/>
      <c r="I657" s="2638"/>
      <c r="J657" s="2638"/>
      <c r="K657" s="2638"/>
      <c r="L657" s="41"/>
      <c r="M657" s="43"/>
      <c r="N657" s="43"/>
      <c r="O657" s="3335" t="s">
        <v>79</v>
      </c>
    </row>
    <row r="658" spans="1:16" s="747" customFormat="1" ht="12.75" customHeight="1">
      <c r="A658" s="3325"/>
      <c r="B658" s="531" t="s">
        <v>10</v>
      </c>
      <c r="C658" s="1308"/>
      <c r="D658" s="1309">
        <f>+D659</f>
        <v>120741025</v>
      </c>
      <c r="E658" s="1309">
        <f t="shared" ref="E658:I658" si="397">+E659</f>
        <v>0</v>
      </c>
      <c r="F658" s="1309">
        <f t="shared" si="397"/>
        <v>24291326</v>
      </c>
      <c r="G658" s="1309">
        <f t="shared" si="397"/>
        <v>34619699</v>
      </c>
      <c r="H658" s="1309">
        <f t="shared" si="397"/>
        <v>30550000</v>
      </c>
      <c r="I658" s="1309">
        <f t="shared" si="397"/>
        <v>31280000</v>
      </c>
      <c r="J658" s="1314">
        <v>0</v>
      </c>
      <c r="K658" s="1314">
        <v>0</v>
      </c>
      <c r="L658" s="1314">
        <v>0</v>
      </c>
      <c r="M658" s="1222">
        <f>+M659</f>
        <v>120741025</v>
      </c>
      <c r="N658" s="1222">
        <f>+N659</f>
        <v>96449699</v>
      </c>
      <c r="O658" s="3331"/>
      <c r="P658" s="746"/>
    </row>
    <row r="659" spans="1:16" s="747" customFormat="1" ht="12.75" customHeight="1">
      <c r="A659" s="3325"/>
      <c r="B659" s="508" t="s">
        <v>23</v>
      </c>
      <c r="C659" s="3396" t="s">
        <v>77</v>
      </c>
      <c r="D659" s="1310">
        <f>+D660+D661</f>
        <v>120741025</v>
      </c>
      <c r="E659" s="1310">
        <f t="shared" ref="E659" si="398">+E660+E661</f>
        <v>0</v>
      </c>
      <c r="F659" s="1310">
        <f t="shared" ref="F659:L659" si="399">+F660+F661</f>
        <v>24291326</v>
      </c>
      <c r="G659" s="1310">
        <f t="shared" si="399"/>
        <v>34619699</v>
      </c>
      <c r="H659" s="1310">
        <f t="shared" si="399"/>
        <v>30550000</v>
      </c>
      <c r="I659" s="1310">
        <f t="shared" si="399"/>
        <v>31280000</v>
      </c>
      <c r="J659" s="1312">
        <f t="shared" si="399"/>
        <v>0</v>
      </c>
      <c r="K659" s="1312">
        <f t="shared" si="399"/>
        <v>0</v>
      </c>
      <c r="L659" s="1312">
        <f t="shared" si="399"/>
        <v>0</v>
      </c>
      <c r="M659" s="1289">
        <f>+M660+M661</f>
        <v>120741025</v>
      </c>
      <c r="N659" s="1289">
        <f>+N660+N661</f>
        <v>96449699</v>
      </c>
      <c r="O659" s="3331"/>
    </row>
    <row r="660" spans="1:16" s="747" customFormat="1" ht="12">
      <c r="A660" s="3325"/>
      <c r="B660" s="1179" t="s">
        <v>12</v>
      </c>
      <c r="C660" s="3397"/>
      <c r="D660" s="1216">
        <f>E660+F660+G660+H660+I660+J660+K660+L660</f>
        <v>116262674</v>
      </c>
      <c r="E660" s="1262">
        <v>0</v>
      </c>
      <c r="F660" s="1300">
        <f>22110000-674</f>
        <v>22109326</v>
      </c>
      <c r="G660" s="1300">
        <f>29200000+3123348</f>
        <v>32323348</v>
      </c>
      <c r="H660" s="1300">
        <v>30550000</v>
      </c>
      <c r="I660" s="1300">
        <v>31280000</v>
      </c>
      <c r="J660" s="1245">
        <v>0</v>
      </c>
      <c r="K660" s="1245">
        <v>0</v>
      </c>
      <c r="L660" s="1245">
        <v>0</v>
      </c>
      <c r="M660" s="796">
        <f>SUM(F660:K660)</f>
        <v>116262674</v>
      </c>
      <c r="N660" s="796">
        <f>SUM(G660:L660)</f>
        <v>94153348</v>
      </c>
      <c r="O660" s="3331"/>
    </row>
    <row r="661" spans="1:16" s="747" customFormat="1" ht="13.5" customHeight="1">
      <c r="A661" s="3325"/>
      <c r="B661" s="1848" t="s">
        <v>106</v>
      </c>
      <c r="C661" s="3398"/>
      <c r="D661" s="1216">
        <f>E661+F661+G661+H661+I661+J661+K661+L661</f>
        <v>4478351</v>
      </c>
      <c r="E661" s="1262">
        <v>0</v>
      </c>
      <c r="F661" s="1300">
        <f>5000+1565000+235000+335000+53000+30000+200000-241000</f>
        <v>2182000</v>
      </c>
      <c r="G661" s="1300">
        <f>550000+325000+906351+515000</f>
        <v>2296351</v>
      </c>
      <c r="H661" s="3040">
        <v>0</v>
      </c>
      <c r="I661" s="3040">
        <v>0</v>
      </c>
      <c r="J661" s="3040">
        <v>0</v>
      </c>
      <c r="K661" s="3040">
        <v>0</v>
      </c>
      <c r="L661" s="3040">
        <v>0</v>
      </c>
      <c r="M661" s="796">
        <f>SUM(F661:K661)</f>
        <v>4478351</v>
      </c>
      <c r="N661" s="796">
        <f>SUM(G661:L661)</f>
        <v>2296351</v>
      </c>
      <c r="O661" s="3331"/>
    </row>
    <row r="662" spans="1:16" s="747" customFormat="1" ht="12.75" customHeight="1">
      <c r="A662" s="3325"/>
      <c r="B662" s="531" t="s">
        <v>21</v>
      </c>
      <c r="C662" s="1308"/>
      <c r="D662" s="1221">
        <f>+D663</f>
        <v>4478351</v>
      </c>
      <c r="E662" s="3218">
        <f t="shared" ref="E662" si="400">+E663</f>
        <v>0</v>
      </c>
      <c r="F662" s="1309">
        <f>+F663</f>
        <v>2182000</v>
      </c>
      <c r="G662" s="1309">
        <f>+G663</f>
        <v>2296351</v>
      </c>
      <c r="H662" s="1314">
        <v>0</v>
      </c>
      <c r="I662" s="1314">
        <v>0</v>
      </c>
      <c r="J662" s="1314">
        <v>0</v>
      </c>
      <c r="K662" s="1314">
        <v>0</v>
      </c>
      <c r="L662" s="1314">
        <v>0</v>
      </c>
      <c r="M662" s="3362" t="s">
        <v>22</v>
      </c>
      <c r="N662" s="3362" t="s">
        <v>22</v>
      </c>
      <c r="O662" s="3331"/>
    </row>
    <row r="663" spans="1:16" s="747" customFormat="1" ht="13.5" customHeight="1">
      <c r="A663" s="3325"/>
      <c r="B663" s="508" t="s">
        <v>23</v>
      </c>
      <c r="C663" s="3351" t="s">
        <v>77</v>
      </c>
      <c r="D663" s="1299">
        <f>+D664</f>
        <v>4478351</v>
      </c>
      <c r="E663" s="1310">
        <f>+E664</f>
        <v>0</v>
      </c>
      <c r="F663" s="1310">
        <f>+F664</f>
        <v>2182000</v>
      </c>
      <c r="G663" s="1310">
        <f>+G664</f>
        <v>2296351</v>
      </c>
      <c r="H663" s="1312">
        <v>0</v>
      </c>
      <c r="I663" s="1312">
        <v>0</v>
      </c>
      <c r="J663" s="1312">
        <v>0</v>
      </c>
      <c r="K663" s="1312">
        <v>0</v>
      </c>
      <c r="L663" s="1312">
        <v>0</v>
      </c>
      <c r="M663" s="3363"/>
      <c r="N663" s="3363"/>
      <c r="O663" s="3331"/>
    </row>
    <row r="664" spans="1:16" s="747" customFormat="1" ht="13.5" customHeight="1" thickBot="1">
      <c r="A664" s="3326"/>
      <c r="B664" s="323" t="s">
        <v>106</v>
      </c>
      <c r="C664" s="3353"/>
      <c r="D664" s="767">
        <f>E664+F664+G664+H664+I664+J664+K664+L664</f>
        <v>4478351</v>
      </c>
      <c r="E664" s="767">
        <v>0</v>
      </c>
      <c r="F664" s="3219">
        <f>5000+1565000+235000+335000+53000+30000+200000-241000</f>
        <v>2182000</v>
      </c>
      <c r="G664" s="1300">
        <f>550000+325000+906351+515000</f>
        <v>2296351</v>
      </c>
      <c r="H664" s="807">
        <v>0</v>
      </c>
      <c r="I664" s="807">
        <v>0</v>
      </c>
      <c r="J664" s="807">
        <v>0</v>
      </c>
      <c r="K664" s="807">
        <v>0</v>
      </c>
      <c r="L664" s="807">
        <v>0</v>
      </c>
      <c r="M664" s="3364"/>
      <c r="N664" s="3364"/>
      <c r="O664" s="3332"/>
    </row>
    <row r="665" spans="1:16" s="747" customFormat="1" ht="12.75" customHeight="1">
      <c r="A665" s="3324" t="s">
        <v>84</v>
      </c>
      <c r="B665" s="263" t="s">
        <v>433</v>
      </c>
      <c r="C665" s="1338" t="s">
        <v>74</v>
      </c>
      <c r="D665" s="2639"/>
      <c r="E665" s="2637"/>
      <c r="F665" s="2638"/>
      <c r="G665" s="2638"/>
      <c r="H665" s="2638"/>
      <c r="I665" s="2638"/>
      <c r="J665" s="2638"/>
      <c r="K665" s="2638"/>
      <c r="L665" s="41"/>
      <c r="M665" s="2842"/>
      <c r="N665" s="2842"/>
      <c r="O665" s="3335" t="s">
        <v>79</v>
      </c>
    </row>
    <row r="666" spans="1:16" s="747" customFormat="1" ht="12.75" customHeight="1">
      <c r="A666" s="3325"/>
      <c r="B666" s="2073" t="s">
        <v>10</v>
      </c>
      <c r="C666" s="601"/>
      <c r="D666" s="121">
        <f>+D667</f>
        <v>3000000</v>
      </c>
      <c r="E666" s="121">
        <f t="shared" ref="E666:I667" si="401">+E667</f>
        <v>0</v>
      </c>
      <c r="F666" s="121">
        <f t="shared" si="401"/>
        <v>0</v>
      </c>
      <c r="G666" s="121">
        <f t="shared" si="401"/>
        <v>3000000</v>
      </c>
      <c r="H666" s="121">
        <f t="shared" si="401"/>
        <v>0</v>
      </c>
      <c r="I666" s="121">
        <f t="shared" si="401"/>
        <v>0</v>
      </c>
      <c r="J666" s="268">
        <v>0</v>
      </c>
      <c r="K666" s="268">
        <v>0</v>
      </c>
      <c r="L666" s="268">
        <v>0</v>
      </c>
      <c r="M666" s="1862">
        <f>+M667</f>
        <v>3000000</v>
      </c>
      <c r="N666" s="1862">
        <f>+N667</f>
        <v>3000000</v>
      </c>
      <c r="O666" s="3331"/>
      <c r="P666" s="746"/>
    </row>
    <row r="667" spans="1:16" s="747" customFormat="1" ht="12.75" customHeight="1">
      <c r="A667" s="3325"/>
      <c r="B667" s="2111" t="s">
        <v>23</v>
      </c>
      <c r="C667" s="3382" t="s">
        <v>77</v>
      </c>
      <c r="D667" s="122">
        <f>+D668</f>
        <v>3000000</v>
      </c>
      <c r="E667" s="122">
        <f t="shared" si="401"/>
        <v>0</v>
      </c>
      <c r="F667" s="122">
        <f t="shared" si="401"/>
        <v>0</v>
      </c>
      <c r="G667" s="122">
        <f t="shared" si="401"/>
        <v>3000000</v>
      </c>
      <c r="H667" s="122">
        <f t="shared" si="401"/>
        <v>0</v>
      </c>
      <c r="I667" s="122">
        <f t="shared" si="401"/>
        <v>0</v>
      </c>
      <c r="J667" s="269">
        <v>0</v>
      </c>
      <c r="K667" s="269">
        <v>0</v>
      </c>
      <c r="L667" s="269">
        <v>0</v>
      </c>
      <c r="M667" s="77">
        <f>+M668</f>
        <v>3000000</v>
      </c>
      <c r="N667" s="77">
        <f>+N668</f>
        <v>3000000</v>
      </c>
      <c r="O667" s="3331"/>
    </row>
    <row r="668" spans="1:16" s="747" customFormat="1" ht="13.5" customHeight="1">
      <c r="A668" s="3325"/>
      <c r="B668" s="2835" t="s">
        <v>12</v>
      </c>
      <c r="C668" s="3382"/>
      <c r="D668" s="265">
        <f>E668+F668+G668+H668+I668+J668+K668+L668</f>
        <v>3000000</v>
      </c>
      <c r="E668" s="265">
        <v>0</v>
      </c>
      <c r="F668" s="84">
        <v>0</v>
      </c>
      <c r="G668" s="84">
        <v>3000000</v>
      </c>
      <c r="H668" s="84"/>
      <c r="I668" s="84"/>
      <c r="J668" s="264">
        <v>0</v>
      </c>
      <c r="K668" s="264">
        <v>0</v>
      </c>
      <c r="L668" s="264">
        <v>0</v>
      </c>
      <c r="M668" s="34">
        <f>SUM(F668:K668)</f>
        <v>3000000</v>
      </c>
      <c r="N668" s="34">
        <f>SUM(G668:L668)</f>
        <v>3000000</v>
      </c>
      <c r="O668" s="3331"/>
    </row>
    <row r="669" spans="1:16" s="747" customFormat="1" ht="12.75" customHeight="1">
      <c r="A669" s="3325"/>
      <c r="B669" s="2073" t="s">
        <v>21</v>
      </c>
      <c r="C669" s="601"/>
      <c r="D669" s="1861">
        <f>+E669+F669+G669</f>
        <v>1747300</v>
      </c>
      <c r="E669" s="1128"/>
      <c r="F669" s="121"/>
      <c r="G669" s="121">
        <f>+G670</f>
        <v>1747300</v>
      </c>
      <c r="H669" s="268"/>
      <c r="I669" s="268"/>
      <c r="J669" s="268"/>
      <c r="K669" s="268"/>
      <c r="L669" s="268"/>
      <c r="M669" s="3522"/>
      <c r="N669" s="3522"/>
      <c r="O669" s="3331"/>
    </row>
    <row r="670" spans="1:16" s="747" customFormat="1" ht="12.75" customHeight="1">
      <c r="A670" s="3325"/>
      <c r="B670" s="2111" t="s">
        <v>23</v>
      </c>
      <c r="C670" s="3524"/>
      <c r="D670" s="64">
        <f>+E670+F670+G670</f>
        <v>1747300</v>
      </c>
      <c r="E670" s="122"/>
      <c r="F670" s="122"/>
      <c r="G670" s="122">
        <f>+G671</f>
        <v>1747300</v>
      </c>
      <c r="H670" s="269"/>
      <c r="I670" s="269"/>
      <c r="J670" s="269"/>
      <c r="K670" s="269"/>
      <c r="L670" s="269"/>
      <c r="M670" s="3522"/>
      <c r="N670" s="3522"/>
      <c r="O670" s="3331"/>
    </row>
    <row r="671" spans="1:16" s="747" customFormat="1" ht="13.5" customHeight="1" thickBot="1">
      <c r="A671" s="3325"/>
      <c r="B671" s="382" t="s">
        <v>293</v>
      </c>
      <c r="C671" s="3525"/>
      <c r="D671" s="1955">
        <f>+E671+F671+G671</f>
        <v>1747300</v>
      </c>
      <c r="E671" s="1955"/>
      <c r="F671" s="2118"/>
      <c r="G671" s="2118">
        <v>1747300</v>
      </c>
      <c r="H671" s="2114"/>
      <c r="I671" s="2114"/>
      <c r="J671" s="2114"/>
      <c r="K671" s="2114"/>
      <c r="L671" s="2114"/>
      <c r="M671" s="3523"/>
      <c r="N671" s="3523"/>
      <c r="O671" s="3332"/>
    </row>
    <row r="672" spans="1:16" s="747" customFormat="1" ht="17.25" customHeight="1">
      <c r="A672" s="3324" t="s">
        <v>85</v>
      </c>
      <c r="B672" s="263" t="s">
        <v>471</v>
      </c>
      <c r="C672" s="56" t="s">
        <v>74</v>
      </c>
      <c r="D672" s="2639"/>
      <c r="E672" s="2638"/>
      <c r="F672" s="2638"/>
      <c r="G672" s="2638"/>
      <c r="H672" s="2638"/>
      <c r="I672" s="2638"/>
      <c r="J672" s="2638"/>
      <c r="K672" s="2638"/>
      <c r="L672" s="41"/>
      <c r="M672" s="43"/>
      <c r="N672" s="43"/>
      <c r="O672" s="3335" t="s">
        <v>79</v>
      </c>
    </row>
    <row r="673" spans="1:15" s="747" customFormat="1" ht="12">
      <c r="A673" s="3325"/>
      <c r="B673" s="531" t="s">
        <v>10</v>
      </c>
      <c r="C673" s="1284"/>
      <c r="D673" s="1309">
        <f>+D674</f>
        <v>29999995</v>
      </c>
      <c r="E673" s="1309">
        <f t="shared" ref="E673:L674" si="402">+E674</f>
        <v>0</v>
      </c>
      <c r="F673" s="1309">
        <f t="shared" si="402"/>
        <v>9999995</v>
      </c>
      <c r="G673" s="1309">
        <f t="shared" si="402"/>
        <v>10000000</v>
      </c>
      <c r="H673" s="1309">
        <f t="shared" si="402"/>
        <v>10000000</v>
      </c>
      <c r="I673" s="1309">
        <f t="shared" si="402"/>
        <v>0</v>
      </c>
      <c r="J673" s="1309">
        <f t="shared" si="402"/>
        <v>0</v>
      </c>
      <c r="K673" s="1309">
        <f t="shared" si="402"/>
        <v>0</v>
      </c>
      <c r="L673" s="1309">
        <f t="shared" si="402"/>
        <v>0</v>
      </c>
      <c r="M673" s="1286">
        <f>+M674</f>
        <v>29999995</v>
      </c>
      <c r="N673" s="1286">
        <f>+N674</f>
        <v>20000000</v>
      </c>
      <c r="O673" s="3331"/>
    </row>
    <row r="674" spans="1:15" s="747" customFormat="1" ht="12">
      <c r="A674" s="3325"/>
      <c r="B674" s="508" t="s">
        <v>23</v>
      </c>
      <c r="C674" s="3351" t="s">
        <v>77</v>
      </c>
      <c r="D674" s="1310">
        <f>+D675</f>
        <v>29999995</v>
      </c>
      <c r="E674" s="1310">
        <f t="shared" si="402"/>
        <v>0</v>
      </c>
      <c r="F674" s="1310">
        <f t="shared" si="402"/>
        <v>9999995</v>
      </c>
      <c r="G674" s="1310">
        <f t="shared" si="402"/>
        <v>10000000</v>
      </c>
      <c r="H674" s="1310">
        <f t="shared" si="402"/>
        <v>10000000</v>
      </c>
      <c r="I674" s="1310">
        <f t="shared" si="402"/>
        <v>0</v>
      </c>
      <c r="J674" s="1310">
        <f t="shared" si="402"/>
        <v>0</v>
      </c>
      <c r="K674" s="1310">
        <f t="shared" si="402"/>
        <v>0</v>
      </c>
      <c r="L674" s="1310">
        <f t="shared" si="402"/>
        <v>0</v>
      </c>
      <c r="M674" s="1289">
        <f>+M675</f>
        <v>29999995</v>
      </c>
      <c r="N674" s="1289">
        <f>+N675</f>
        <v>20000000</v>
      </c>
      <c r="O674" s="3331"/>
    </row>
    <row r="675" spans="1:15" s="747" customFormat="1" thickBot="1">
      <c r="A675" s="3326"/>
      <c r="B675" s="382" t="s">
        <v>12</v>
      </c>
      <c r="C675" s="3345"/>
      <c r="D675" s="1570">
        <f>E675+F675+G675+H675+I675+J675+K675+L675</f>
        <v>29999995</v>
      </c>
      <c r="E675" s="1570">
        <v>0</v>
      </c>
      <c r="F675" s="1593">
        <f>10000000-5</f>
        <v>9999995</v>
      </c>
      <c r="G675" s="1593">
        <v>10000000</v>
      </c>
      <c r="H675" s="1593">
        <v>10000000</v>
      </c>
      <c r="I675" s="1593"/>
      <c r="J675" s="1849"/>
      <c r="K675" s="1629"/>
      <c r="L675" s="1593"/>
      <c r="M675" s="1594">
        <f>SUM(F675:K675)</f>
        <v>29999995</v>
      </c>
      <c r="N675" s="1594">
        <f>SUM(G675:L675)</f>
        <v>20000000</v>
      </c>
      <c r="O675" s="3332"/>
    </row>
    <row r="677" spans="1:15">
      <c r="B677" s="2287" t="s">
        <v>448</v>
      </c>
    </row>
    <row r="678" spans="1:15">
      <c r="B678" s="2287" t="s">
        <v>449</v>
      </c>
      <c r="D678" s="2291">
        <f>D446+D461</f>
        <v>799122</v>
      </c>
      <c r="E678" s="2291">
        <f t="shared" ref="E678:M678" si="403">E446+E461</f>
        <v>0</v>
      </c>
      <c r="F678" s="2291">
        <f t="shared" si="403"/>
        <v>45734</v>
      </c>
      <c r="G678" s="2291">
        <f t="shared" si="403"/>
        <v>224074</v>
      </c>
      <c r="H678" s="2291">
        <f t="shared" si="403"/>
        <v>376810</v>
      </c>
      <c r="I678" s="2291">
        <f t="shared" si="403"/>
        <v>152504</v>
      </c>
      <c r="J678" s="2291">
        <f t="shared" si="403"/>
        <v>0</v>
      </c>
      <c r="K678" s="2291">
        <f t="shared" si="403"/>
        <v>0</v>
      </c>
      <c r="L678" s="2291">
        <f t="shared" si="403"/>
        <v>0</v>
      </c>
      <c r="M678" s="2291" t="e">
        <f t="shared" si="403"/>
        <v>#VALUE!</v>
      </c>
    </row>
    <row r="679" spans="1:15">
      <c r="B679" s="2287" t="s">
        <v>450</v>
      </c>
      <c r="D679" s="2291">
        <f t="shared" ref="D679:M679" si="404">D22-D446-D461</f>
        <v>829603396</v>
      </c>
      <c r="E679" s="2291">
        <f t="shared" si="404"/>
        <v>34852146</v>
      </c>
      <c r="F679" s="2291">
        <f t="shared" si="404"/>
        <v>178866458</v>
      </c>
      <c r="G679" s="2291">
        <f t="shared" si="404"/>
        <v>274155817</v>
      </c>
      <c r="H679" s="2291">
        <f t="shared" si="404"/>
        <v>155792195</v>
      </c>
      <c r="I679" s="2291">
        <f t="shared" si="404"/>
        <v>124569412</v>
      </c>
      <c r="J679" s="2291">
        <f t="shared" si="404"/>
        <v>61367368</v>
      </c>
      <c r="K679" s="2291">
        <f t="shared" si="404"/>
        <v>0</v>
      </c>
      <c r="L679" s="2291">
        <f t="shared" si="404"/>
        <v>0</v>
      </c>
      <c r="M679" s="2291" t="e">
        <f t="shared" si="404"/>
        <v>#VALUE!</v>
      </c>
    </row>
    <row r="680" spans="1:15">
      <c r="B680" s="2287" t="s">
        <v>451</v>
      </c>
      <c r="D680" s="811">
        <f>D678+D679</f>
        <v>830402518</v>
      </c>
      <c r="E680" s="811">
        <f t="shared" ref="E680:L680" si="405">E678+E679</f>
        <v>34852146</v>
      </c>
      <c r="F680" s="811">
        <f t="shared" si="405"/>
        <v>178912192</v>
      </c>
      <c r="G680" s="811">
        <f t="shared" si="405"/>
        <v>274379891</v>
      </c>
      <c r="H680" s="811">
        <f t="shared" si="405"/>
        <v>156169005</v>
      </c>
      <c r="I680" s="811">
        <f t="shared" si="405"/>
        <v>124721916</v>
      </c>
      <c r="J680" s="811">
        <f t="shared" si="405"/>
        <v>61367368</v>
      </c>
      <c r="K680" s="811">
        <f t="shared" si="405"/>
        <v>0</v>
      </c>
      <c r="L680" s="811">
        <f t="shared" si="405"/>
        <v>0</v>
      </c>
    </row>
    <row r="681" spans="1:15" s="678" customFormat="1">
      <c r="B681" s="678" t="s">
        <v>41</v>
      </c>
      <c r="D681" s="675">
        <f t="shared" ref="D681:L681" si="406">D22-D680</f>
        <v>0</v>
      </c>
      <c r="E681" s="675">
        <f t="shared" si="406"/>
        <v>0</v>
      </c>
      <c r="F681" s="675">
        <f t="shared" si="406"/>
        <v>0</v>
      </c>
      <c r="G681" s="675">
        <f t="shared" si="406"/>
        <v>0</v>
      </c>
      <c r="H681" s="675">
        <f t="shared" si="406"/>
        <v>0</v>
      </c>
      <c r="I681" s="675">
        <f t="shared" si="406"/>
        <v>0</v>
      </c>
      <c r="J681" s="675">
        <f t="shared" si="406"/>
        <v>0</v>
      </c>
      <c r="K681" s="675">
        <f t="shared" si="406"/>
        <v>0</v>
      </c>
      <c r="L681" s="675">
        <f t="shared" si="406"/>
        <v>0</v>
      </c>
    </row>
    <row r="684" spans="1:15">
      <c r="B684" s="2287" t="s">
        <v>546</v>
      </c>
    </row>
    <row r="685" spans="1:15">
      <c r="B685" s="2287" t="s">
        <v>449</v>
      </c>
      <c r="D685" s="2291">
        <f>D546+D609+D582+D654</f>
        <v>222366505</v>
      </c>
      <c r="E685" s="2291">
        <f t="shared" ref="E685:L685" si="407">E546+E609+E582+E654</f>
        <v>56644776</v>
      </c>
      <c r="F685" s="2291">
        <f t="shared" si="407"/>
        <v>47273283</v>
      </c>
      <c r="G685" s="2291">
        <f t="shared" si="407"/>
        <v>56967276</v>
      </c>
      <c r="H685" s="2291">
        <f t="shared" si="407"/>
        <v>31425585</v>
      </c>
      <c r="I685" s="2291">
        <f t="shared" si="407"/>
        <v>30055585</v>
      </c>
      <c r="J685" s="2291">
        <f t="shared" si="407"/>
        <v>0</v>
      </c>
      <c r="K685" s="2291">
        <f t="shared" si="407"/>
        <v>0</v>
      </c>
      <c r="L685" s="2291">
        <f t="shared" si="407"/>
        <v>0</v>
      </c>
    </row>
    <row r="686" spans="1:15">
      <c r="B686" s="2287" t="s">
        <v>450</v>
      </c>
      <c r="D686" s="2291">
        <f>D559+D662+D669</f>
        <v>6225651</v>
      </c>
      <c r="E686" s="2291">
        <f t="shared" ref="E686:L686" si="408">E559+E662+E669</f>
        <v>0</v>
      </c>
      <c r="F686" s="2291">
        <f t="shared" si="408"/>
        <v>2182000</v>
      </c>
      <c r="G686" s="2291">
        <f t="shared" si="408"/>
        <v>4043651</v>
      </c>
      <c r="H686" s="2291">
        <f>H559+H662+H669</f>
        <v>0</v>
      </c>
      <c r="I686" s="2291">
        <f t="shared" si="408"/>
        <v>0</v>
      </c>
      <c r="J686" s="2291">
        <f t="shared" si="408"/>
        <v>0</v>
      </c>
      <c r="K686" s="2291">
        <f t="shared" si="408"/>
        <v>0</v>
      </c>
      <c r="L686" s="2291">
        <f t="shared" si="408"/>
        <v>0</v>
      </c>
    </row>
    <row r="687" spans="1:15">
      <c r="B687" s="2287" t="s">
        <v>451</v>
      </c>
      <c r="D687" s="811">
        <f>D685+D686</f>
        <v>228592156</v>
      </c>
      <c r="E687" s="811">
        <f t="shared" ref="E687:L687" si="409">E685+E686</f>
        <v>56644776</v>
      </c>
      <c r="F687" s="811">
        <f t="shared" si="409"/>
        <v>49455283</v>
      </c>
      <c r="G687" s="811">
        <f t="shared" si="409"/>
        <v>61010927</v>
      </c>
      <c r="H687" s="811">
        <f t="shared" si="409"/>
        <v>31425585</v>
      </c>
      <c r="I687" s="811">
        <f t="shared" si="409"/>
        <v>30055585</v>
      </c>
      <c r="J687" s="811">
        <f t="shared" si="409"/>
        <v>0</v>
      </c>
      <c r="K687" s="811">
        <f t="shared" si="409"/>
        <v>0</v>
      </c>
      <c r="L687" s="811">
        <f t="shared" si="409"/>
        <v>0</v>
      </c>
    </row>
    <row r="688" spans="1:15" s="678" customFormat="1">
      <c r="B688" s="678" t="s">
        <v>41</v>
      </c>
      <c r="D688" s="675">
        <f t="shared" ref="D688:L688" si="410">D535-D687</f>
        <v>0</v>
      </c>
      <c r="E688" s="675">
        <f t="shared" si="410"/>
        <v>0</v>
      </c>
      <c r="F688" s="675">
        <f t="shared" si="410"/>
        <v>0</v>
      </c>
      <c r="G688" s="675">
        <f t="shared" si="410"/>
        <v>0</v>
      </c>
      <c r="H688" s="675">
        <f t="shared" si="410"/>
        <v>0</v>
      </c>
      <c r="I688" s="675">
        <f t="shared" si="410"/>
        <v>0</v>
      </c>
      <c r="J688" s="675">
        <f t="shared" si="410"/>
        <v>0</v>
      </c>
      <c r="K688" s="675">
        <f t="shared" si="410"/>
        <v>0</v>
      </c>
      <c r="L688" s="675">
        <f t="shared" si="410"/>
        <v>0</v>
      </c>
    </row>
  </sheetData>
  <mergeCells count="380">
    <mergeCell ref="O665:O671"/>
    <mergeCell ref="A550:A553"/>
    <mergeCell ref="A516:A524"/>
    <mergeCell ref="M513:M515"/>
    <mergeCell ref="M522:M524"/>
    <mergeCell ref="M535:M540"/>
    <mergeCell ref="M546:M548"/>
    <mergeCell ref="C523:C524"/>
    <mergeCell ref="A625:A632"/>
    <mergeCell ref="C631:C632"/>
    <mergeCell ref="A613:A616"/>
    <mergeCell ref="N630:N632"/>
    <mergeCell ref="O613:O616"/>
    <mergeCell ref="C619:C621"/>
    <mergeCell ref="A600:A603"/>
    <mergeCell ref="O597:O599"/>
    <mergeCell ref="C598:C599"/>
    <mergeCell ref="A554:A561"/>
    <mergeCell ref="O554:O561"/>
    <mergeCell ref="A633:A636"/>
    <mergeCell ref="O654:O656"/>
    <mergeCell ref="O604:O612"/>
    <mergeCell ref="O600:O603"/>
    <mergeCell ref="O590:O592"/>
    <mergeCell ref="C505:C506"/>
    <mergeCell ref="M504:M506"/>
    <mergeCell ref="M669:M671"/>
    <mergeCell ref="N669:N671"/>
    <mergeCell ref="C670:C671"/>
    <mergeCell ref="A665:A671"/>
    <mergeCell ref="M404:M406"/>
    <mergeCell ref="N504:N506"/>
    <mergeCell ref="C432:C433"/>
    <mergeCell ref="C610:C612"/>
    <mergeCell ref="N654:N656"/>
    <mergeCell ref="N609:N612"/>
    <mergeCell ref="N622:N624"/>
    <mergeCell ref="M575:M577"/>
    <mergeCell ref="M582:M584"/>
    <mergeCell ref="C602:C603"/>
    <mergeCell ref="M609:M612"/>
    <mergeCell ref="M622:M624"/>
    <mergeCell ref="M630:M632"/>
    <mergeCell ref="M590:M592"/>
    <mergeCell ref="C623:C624"/>
    <mergeCell ref="N461:N463"/>
    <mergeCell ref="C580:C581"/>
    <mergeCell ref="A434:A448"/>
    <mergeCell ref="N473:N479"/>
    <mergeCell ref="C490:C497"/>
    <mergeCell ref="O480:O496"/>
    <mergeCell ref="N413:N415"/>
    <mergeCell ref="C400:C403"/>
    <mergeCell ref="M461:M463"/>
    <mergeCell ref="M473:M479"/>
    <mergeCell ref="O407:O412"/>
    <mergeCell ref="O413:O415"/>
    <mergeCell ref="C447:C448"/>
    <mergeCell ref="C414:C415"/>
    <mergeCell ref="C436:C442"/>
    <mergeCell ref="N446:N448"/>
    <mergeCell ref="M422:M424"/>
    <mergeCell ref="M431:M433"/>
    <mergeCell ref="N431:N433"/>
    <mergeCell ref="C418:C421"/>
    <mergeCell ref="M446:M448"/>
    <mergeCell ref="O434:O442"/>
    <mergeCell ref="O416:O421"/>
    <mergeCell ref="C427:C430"/>
    <mergeCell ref="O404:O406"/>
    <mergeCell ref="N489:N497"/>
    <mergeCell ref="O464:O478"/>
    <mergeCell ref="O637:O640"/>
    <mergeCell ref="M597:M599"/>
    <mergeCell ref="N597:N599"/>
    <mergeCell ref="O593:O596"/>
    <mergeCell ref="C595:C596"/>
    <mergeCell ref="O625:O632"/>
    <mergeCell ref="O617:O624"/>
    <mergeCell ref="A252:A263"/>
    <mergeCell ref="C254:C258"/>
    <mergeCell ref="M489:M497"/>
    <mergeCell ref="C451:C457"/>
    <mergeCell ref="C462:C463"/>
    <mergeCell ref="N383:N385"/>
    <mergeCell ref="C278:C282"/>
    <mergeCell ref="M283:M287"/>
    <mergeCell ref="N283:N287"/>
    <mergeCell ref="O283:O287"/>
    <mergeCell ref="A264:A275"/>
    <mergeCell ref="N422:N424"/>
    <mergeCell ref="O398:O403"/>
    <mergeCell ref="O431:O433"/>
    <mergeCell ref="A362:A375"/>
    <mergeCell ref="A398:A406"/>
    <mergeCell ref="C482:C485"/>
    <mergeCell ref="A672:A675"/>
    <mergeCell ref="O672:O675"/>
    <mergeCell ref="C674:C675"/>
    <mergeCell ref="C627:C629"/>
    <mergeCell ref="A617:A624"/>
    <mergeCell ref="C606:C607"/>
    <mergeCell ref="N662:N664"/>
    <mergeCell ref="A641:A644"/>
    <mergeCell ref="M662:M664"/>
    <mergeCell ref="C655:C656"/>
    <mergeCell ref="A649:A656"/>
    <mergeCell ref="C651:C653"/>
    <mergeCell ref="O649:O653"/>
    <mergeCell ref="M654:M656"/>
    <mergeCell ref="A645:A648"/>
    <mergeCell ref="O645:O648"/>
    <mergeCell ref="C639:C640"/>
    <mergeCell ref="C647:C648"/>
    <mergeCell ref="O633:O636"/>
    <mergeCell ref="C635:C636"/>
    <mergeCell ref="A604:A612"/>
    <mergeCell ref="O641:O644"/>
    <mergeCell ref="C643:C644"/>
    <mergeCell ref="A637:A640"/>
    <mergeCell ref="A180:A191"/>
    <mergeCell ref="M413:M415"/>
    <mergeCell ref="C338:C343"/>
    <mergeCell ref="C345:C349"/>
    <mergeCell ref="C394:C397"/>
    <mergeCell ref="N199:N203"/>
    <mergeCell ref="A228:A239"/>
    <mergeCell ref="M175:M179"/>
    <mergeCell ref="C176:C179"/>
    <mergeCell ref="M383:M385"/>
    <mergeCell ref="M393:M397"/>
    <mergeCell ref="C409:C412"/>
    <mergeCell ref="N404:N406"/>
    <mergeCell ref="C405:C406"/>
    <mergeCell ref="A324:A335"/>
    <mergeCell ref="C388:C392"/>
    <mergeCell ref="A350:A361"/>
    <mergeCell ref="C352:C356"/>
    <mergeCell ref="A204:A215"/>
    <mergeCell ref="A192:A203"/>
    <mergeCell ref="A288:A299"/>
    <mergeCell ref="C290:C294"/>
    <mergeCell ref="M295:M299"/>
    <mergeCell ref="N295:N299"/>
    <mergeCell ref="O425:O430"/>
    <mergeCell ref="A377:A385"/>
    <mergeCell ref="C384:C385"/>
    <mergeCell ref="A386:A397"/>
    <mergeCell ref="A276:A287"/>
    <mergeCell ref="A240:A251"/>
    <mergeCell ref="A336:A349"/>
    <mergeCell ref="N247:N251"/>
    <mergeCell ref="O422:O424"/>
    <mergeCell ref="C423:C424"/>
    <mergeCell ref="N319:N323"/>
    <mergeCell ref="N393:N397"/>
    <mergeCell ref="M319:M323"/>
    <mergeCell ref="M357:M361"/>
    <mergeCell ref="O383:O385"/>
    <mergeCell ref="O377:O382"/>
    <mergeCell ref="C379:C382"/>
    <mergeCell ref="O312:O318"/>
    <mergeCell ref="C332:C335"/>
    <mergeCell ref="O271:O275"/>
    <mergeCell ref="O324:O335"/>
    <mergeCell ref="A312:A323"/>
    <mergeCell ref="O252:O258"/>
    <mergeCell ref="A407:A415"/>
    <mergeCell ref="O199:O203"/>
    <mergeCell ref="O187:O191"/>
    <mergeCell ref="M211:M215"/>
    <mergeCell ref="O181:O186"/>
    <mergeCell ref="C182:C186"/>
    <mergeCell ref="N187:N191"/>
    <mergeCell ref="N235:N239"/>
    <mergeCell ref="N211:N215"/>
    <mergeCell ref="C200:C203"/>
    <mergeCell ref="M199:M203"/>
    <mergeCell ref="M223:M227"/>
    <mergeCell ref="O235:O239"/>
    <mergeCell ref="O228:O234"/>
    <mergeCell ref="C230:C234"/>
    <mergeCell ref="C206:C210"/>
    <mergeCell ref="O193:O198"/>
    <mergeCell ref="C194:C198"/>
    <mergeCell ref="A3:O3"/>
    <mergeCell ref="C5:C6"/>
    <mergeCell ref="D5:D6"/>
    <mergeCell ref="O5:O6"/>
    <mergeCell ref="A8:A33"/>
    <mergeCell ref="N5:N6"/>
    <mergeCell ref="N22:N33"/>
    <mergeCell ref="N43:N51"/>
    <mergeCell ref="G5:L5"/>
    <mergeCell ref="F5:F6"/>
    <mergeCell ref="M5:M6"/>
    <mergeCell ref="M22:M33"/>
    <mergeCell ref="M43:M51"/>
    <mergeCell ref="A5:A6"/>
    <mergeCell ref="B5:B6"/>
    <mergeCell ref="N121:N127"/>
    <mergeCell ref="A168:A179"/>
    <mergeCell ref="M187:M191"/>
    <mergeCell ref="M163:M167"/>
    <mergeCell ref="A79:A90"/>
    <mergeCell ref="O80:O85"/>
    <mergeCell ref="C81:C85"/>
    <mergeCell ref="O86:O90"/>
    <mergeCell ref="C87:C90"/>
    <mergeCell ref="C93:C97"/>
    <mergeCell ref="A103:A111"/>
    <mergeCell ref="O104:O108"/>
    <mergeCell ref="C105:C108"/>
    <mergeCell ref="O109:O111"/>
    <mergeCell ref="C110:C111"/>
    <mergeCell ref="A91:A102"/>
    <mergeCell ref="O92:O97"/>
    <mergeCell ref="O98:O102"/>
    <mergeCell ref="C99:C102"/>
    <mergeCell ref="N98:N102"/>
    <mergeCell ref="N86:N90"/>
    <mergeCell ref="C188:C191"/>
    <mergeCell ref="N175:N179"/>
    <mergeCell ref="A156:A167"/>
    <mergeCell ref="M86:M90"/>
    <mergeCell ref="M98:M102"/>
    <mergeCell ref="M109:M111"/>
    <mergeCell ref="O121:O127"/>
    <mergeCell ref="C122:C127"/>
    <mergeCell ref="N109:N111"/>
    <mergeCell ref="A144:A155"/>
    <mergeCell ref="C146:C150"/>
    <mergeCell ref="C152:C155"/>
    <mergeCell ref="O129:O136"/>
    <mergeCell ref="C130:C136"/>
    <mergeCell ref="O151:O155"/>
    <mergeCell ref="M151:M155"/>
    <mergeCell ref="O145:O150"/>
    <mergeCell ref="O137:O143"/>
    <mergeCell ref="M121:M127"/>
    <mergeCell ref="O114:O120"/>
    <mergeCell ref="C115:C120"/>
    <mergeCell ref="M137:M143"/>
    <mergeCell ref="N151:N155"/>
    <mergeCell ref="C138:C143"/>
    <mergeCell ref="A128:A143"/>
    <mergeCell ref="N137:N143"/>
    <mergeCell ref="A113:A127"/>
    <mergeCell ref="C55:C60"/>
    <mergeCell ref="A67:A78"/>
    <mergeCell ref="O61:O66"/>
    <mergeCell ref="C62:C66"/>
    <mergeCell ref="O68:O73"/>
    <mergeCell ref="O74:O78"/>
    <mergeCell ref="N74:N78"/>
    <mergeCell ref="A53:A66"/>
    <mergeCell ref="N61:N66"/>
    <mergeCell ref="M61:M66"/>
    <mergeCell ref="O54:O60"/>
    <mergeCell ref="C75:C78"/>
    <mergeCell ref="C69:C72"/>
    <mergeCell ref="M74:M78"/>
    <mergeCell ref="O350:O356"/>
    <mergeCell ref="O357:O361"/>
    <mergeCell ref="N370:N375"/>
    <mergeCell ref="C314:C318"/>
    <mergeCell ref="C236:C239"/>
    <mergeCell ref="C284:C287"/>
    <mergeCell ref="O276:O282"/>
    <mergeCell ref="O264:O270"/>
    <mergeCell ref="C266:C270"/>
    <mergeCell ref="M271:M275"/>
    <mergeCell ref="C272:C275"/>
    <mergeCell ref="N357:N361"/>
    <mergeCell ref="C358:C361"/>
    <mergeCell ref="M370:M374"/>
    <mergeCell ref="C248:C251"/>
    <mergeCell ref="O259:O263"/>
    <mergeCell ref="O319:O323"/>
    <mergeCell ref="M331:M335"/>
    <mergeCell ref="O240:O246"/>
    <mergeCell ref="M259:M263"/>
    <mergeCell ref="N259:N263"/>
    <mergeCell ref="C260:C263"/>
    <mergeCell ref="O362:O368"/>
    <mergeCell ref="O288:O294"/>
    <mergeCell ref="O386:O392"/>
    <mergeCell ref="O393:O397"/>
    <mergeCell ref="C320:C323"/>
    <mergeCell ref="C326:C330"/>
    <mergeCell ref="N331:N335"/>
    <mergeCell ref="N271:N275"/>
    <mergeCell ref="O336:O349"/>
    <mergeCell ref="P114:P120"/>
    <mergeCell ref="P158:P162"/>
    <mergeCell ref="P170:P174"/>
    <mergeCell ref="O169:O174"/>
    <mergeCell ref="C170:C174"/>
    <mergeCell ref="O175:O179"/>
    <mergeCell ref="M235:M239"/>
    <mergeCell ref="M247:M251"/>
    <mergeCell ref="O157:O162"/>
    <mergeCell ref="C158:C162"/>
    <mergeCell ref="N163:N167"/>
    <mergeCell ref="O163:O167"/>
    <mergeCell ref="C164:C167"/>
    <mergeCell ref="O211:O215"/>
    <mergeCell ref="C212:C215"/>
    <mergeCell ref="C242:C246"/>
    <mergeCell ref="O247:O251"/>
    <mergeCell ref="C667:C668"/>
    <mergeCell ref="O204:O210"/>
    <mergeCell ref="A216:A227"/>
    <mergeCell ref="O216:O222"/>
    <mergeCell ref="C218:C222"/>
    <mergeCell ref="N223:N227"/>
    <mergeCell ref="O223:O227"/>
    <mergeCell ref="C224:C227"/>
    <mergeCell ref="O498:O506"/>
    <mergeCell ref="C500:C503"/>
    <mergeCell ref="A425:A433"/>
    <mergeCell ref="O585:O588"/>
    <mergeCell ref="C587:C589"/>
    <mergeCell ref="A498:A506"/>
    <mergeCell ref="A480:A497"/>
    <mergeCell ref="C663:C664"/>
    <mergeCell ref="A657:A664"/>
    <mergeCell ref="C659:C661"/>
    <mergeCell ref="O657:O664"/>
    <mergeCell ref="A416:A424"/>
    <mergeCell ref="C552:C553"/>
    <mergeCell ref="O507:O515"/>
    <mergeCell ref="C556:C558"/>
    <mergeCell ref="C560:C561"/>
    <mergeCell ref="O562:O565"/>
    <mergeCell ref="M559:M561"/>
    <mergeCell ref="N513:N515"/>
    <mergeCell ref="N522:N524"/>
    <mergeCell ref="N535:N540"/>
    <mergeCell ref="A507:A515"/>
    <mergeCell ref="A541:A549"/>
    <mergeCell ref="C547:C549"/>
    <mergeCell ref="N546:N549"/>
    <mergeCell ref="O541:O549"/>
    <mergeCell ref="C543:C545"/>
    <mergeCell ref="A526:A537"/>
    <mergeCell ref="O531:O540"/>
    <mergeCell ref="A593:A599"/>
    <mergeCell ref="A464:A479"/>
    <mergeCell ref="A570:A577"/>
    <mergeCell ref="O575:O577"/>
    <mergeCell ref="C576:C577"/>
    <mergeCell ref="O578:O581"/>
    <mergeCell ref="A585:A592"/>
    <mergeCell ref="C591:C592"/>
    <mergeCell ref="N575:N577"/>
    <mergeCell ref="N582:N584"/>
    <mergeCell ref="N590:N592"/>
    <mergeCell ref="C583:C584"/>
    <mergeCell ref="A578:A584"/>
    <mergeCell ref="O570:O573"/>
    <mergeCell ref="C572:C574"/>
    <mergeCell ref="O516:O524"/>
    <mergeCell ref="C518:C521"/>
    <mergeCell ref="C564:C565"/>
    <mergeCell ref="A566:A569"/>
    <mergeCell ref="O566:O569"/>
    <mergeCell ref="C568:C569"/>
    <mergeCell ref="O550:O553"/>
    <mergeCell ref="N559:N561"/>
    <mergeCell ref="A562:A565"/>
    <mergeCell ref="O295:O299"/>
    <mergeCell ref="C296:C299"/>
    <mergeCell ref="A300:A311"/>
    <mergeCell ref="O300:O306"/>
    <mergeCell ref="C302:C306"/>
    <mergeCell ref="M307:M311"/>
    <mergeCell ref="N307:N311"/>
    <mergeCell ref="O307:O311"/>
    <mergeCell ref="C308:C311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29" orientation="landscape" useFirstPageNumber="1" r:id="rId1"/>
  <headerFooter alignWithMargins="0">
    <oddHeader>&amp;C&amp;"Arial,Kursywa"Wieloletnia prognoza finansowa  Województwa Zachodniopomorskiego&amp;"Arial,Normalny"
_______________________________________________________________________________________________________________________________</oddHeader>
    <oddFooter>&amp;C&amp;8&amp;P</oddFooter>
  </headerFooter>
  <rowBreaks count="7" manualBreakCount="7">
    <brk id="51" max="14" man="1"/>
    <brk id="179" max="14" man="1"/>
    <brk id="227" max="14" man="1"/>
    <brk id="275" max="14" man="1"/>
    <brk id="349" max="14" man="1"/>
    <brk id="524" max="14" man="1"/>
    <brk id="603" max="1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S533"/>
  <sheetViews>
    <sheetView showGridLines="0" view="pageBreakPreview" zoomScale="110" zoomScaleSheetLayoutView="110" workbookViewId="0">
      <pane xSplit="3" ySplit="6" topLeftCell="D80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K104" sqref="K104"/>
    </sheetView>
  </sheetViews>
  <sheetFormatPr defaultColWidth="9.140625" defaultRowHeight="12.75"/>
  <cols>
    <col min="1" max="1" width="4" style="3156" customWidth="1"/>
    <col min="2" max="2" width="53.42578125" style="3155" customWidth="1"/>
    <col min="3" max="3" width="10.42578125" style="3155" customWidth="1"/>
    <col min="4" max="4" width="14.5703125" style="3155" customWidth="1"/>
    <col min="5" max="5" width="12.85546875" style="3155" customWidth="1"/>
    <col min="6" max="6" width="10.42578125" style="3155" customWidth="1"/>
    <col min="7" max="7" width="10.7109375" style="3155" customWidth="1"/>
    <col min="8" max="8" width="11.140625" style="3155" customWidth="1"/>
    <col min="9" max="9" width="11.5703125" style="3155" customWidth="1"/>
    <col min="10" max="10" width="10" style="3155" customWidth="1"/>
    <col min="11" max="11" width="10.85546875" style="3155" customWidth="1"/>
    <col min="12" max="12" width="9.42578125" style="3155" bestFit="1" customWidth="1"/>
    <col min="13" max="13" width="12.7109375" style="3155" hidden="1" customWidth="1"/>
    <col min="14" max="14" width="12.7109375" style="3155" customWidth="1"/>
    <col min="15" max="15" width="14.5703125" style="3155" customWidth="1"/>
    <col min="16" max="16" width="14" style="3155" customWidth="1"/>
    <col min="17" max="17" width="12.140625" style="3155" customWidth="1"/>
    <col min="18" max="18" width="9.5703125" style="3155" customWidth="1"/>
    <col min="19" max="19" width="14.28515625" style="3155" customWidth="1"/>
    <col min="20" max="20" width="12" style="3155" customWidth="1"/>
    <col min="21" max="22" width="9.140625" style="3155"/>
    <col min="23" max="23" width="12.5703125" style="3155" customWidth="1"/>
    <col min="24" max="16384" width="9.140625" style="3155"/>
  </cols>
  <sheetData>
    <row r="1" spans="1:17" s="2433" customFormat="1" ht="15" customHeight="1">
      <c r="A1" s="2454"/>
      <c r="B1" s="2454"/>
      <c r="C1" s="2454"/>
      <c r="D1" s="2454"/>
      <c r="E1" s="2454"/>
      <c r="F1" s="2454"/>
      <c r="G1" s="2454"/>
      <c r="H1" s="2454"/>
      <c r="I1" s="287" t="s">
        <v>776</v>
      </c>
      <c r="J1" s="287"/>
      <c r="K1" s="287"/>
      <c r="L1" s="287"/>
      <c r="M1" s="6"/>
      <c r="N1" s="6"/>
      <c r="O1" s="7"/>
      <c r="P1" s="364"/>
    </row>
    <row r="2" spans="1:17" ht="18.75">
      <c r="A2" s="2454"/>
      <c r="B2" s="2454"/>
      <c r="C2" s="2454"/>
      <c r="D2" s="2455"/>
      <c r="E2" s="2455"/>
      <c r="F2" s="2455"/>
      <c r="G2" s="2455"/>
      <c r="H2" s="2455"/>
      <c r="I2" s="2455"/>
      <c r="J2" s="2455"/>
      <c r="K2" s="2455"/>
      <c r="L2" s="2455"/>
      <c r="M2" s="2455"/>
      <c r="N2" s="2455"/>
      <c r="O2" s="2455"/>
      <c r="P2" s="365"/>
    </row>
    <row r="3" spans="1:17" ht="34.5" customHeight="1" thickBot="1">
      <c r="A3" s="3598" t="s">
        <v>108</v>
      </c>
      <c r="B3" s="3599"/>
      <c r="C3" s="3599"/>
      <c r="D3" s="3599"/>
      <c r="E3" s="3599"/>
      <c r="F3" s="3599"/>
      <c r="G3" s="3599"/>
      <c r="H3" s="3599"/>
      <c r="I3" s="3599"/>
      <c r="J3" s="3599"/>
      <c r="K3" s="3599"/>
      <c r="L3" s="3599"/>
      <c r="M3" s="3599"/>
      <c r="N3" s="3599"/>
      <c r="O3" s="3600"/>
      <c r="P3" s="3156"/>
    </row>
    <row r="4" spans="1:17" ht="52.5" customHeight="1">
      <c r="A4" s="3490" t="s">
        <v>66</v>
      </c>
      <c r="B4" s="3492" t="s">
        <v>67</v>
      </c>
      <c r="C4" s="3601" t="s">
        <v>63</v>
      </c>
      <c r="D4" s="3601" t="s">
        <v>109</v>
      </c>
      <c r="E4" s="2959" t="s">
        <v>255</v>
      </c>
      <c r="F4" s="3488" t="s">
        <v>573</v>
      </c>
      <c r="G4" s="3485" t="s">
        <v>513</v>
      </c>
      <c r="H4" s="3486"/>
      <c r="I4" s="3486"/>
      <c r="J4" s="3486"/>
      <c r="K4" s="3486"/>
      <c r="L4" s="3487"/>
      <c r="M4" s="3606" t="s">
        <v>528</v>
      </c>
      <c r="N4" s="3606" t="s">
        <v>514</v>
      </c>
      <c r="O4" s="3604" t="s">
        <v>65</v>
      </c>
      <c r="P4" s="3157"/>
    </row>
    <row r="5" spans="1:17" ht="20.25" customHeight="1">
      <c r="A5" s="3491"/>
      <c r="B5" s="3493"/>
      <c r="C5" s="3602"/>
      <c r="D5" s="3603"/>
      <c r="E5" s="1200" t="s">
        <v>657</v>
      </c>
      <c r="F5" s="3617"/>
      <c r="G5" s="2956" t="s">
        <v>6</v>
      </c>
      <c r="H5" s="2956" t="s">
        <v>202</v>
      </c>
      <c r="I5" s="2956" t="s">
        <v>204</v>
      </c>
      <c r="J5" s="2956" t="s">
        <v>246</v>
      </c>
      <c r="K5" s="2956" t="s">
        <v>247</v>
      </c>
      <c r="L5" s="2956" t="s">
        <v>245</v>
      </c>
      <c r="M5" s="3607"/>
      <c r="N5" s="3607"/>
      <c r="O5" s="3605"/>
      <c r="P5" s="3157"/>
    </row>
    <row r="6" spans="1:17" ht="13.5" customHeight="1">
      <c r="A6" s="844">
        <v>1</v>
      </c>
      <c r="B6" s="845">
        <v>2</v>
      </c>
      <c r="C6" s="846" t="s">
        <v>110</v>
      </c>
      <c r="D6" s="846" t="s">
        <v>111</v>
      </c>
      <c r="E6" s="1215">
        <v>5</v>
      </c>
      <c r="F6" s="1215">
        <v>6</v>
      </c>
      <c r="G6" s="1215">
        <v>7</v>
      </c>
      <c r="H6" s="1215">
        <v>8</v>
      </c>
      <c r="I6" s="1215">
        <v>9</v>
      </c>
      <c r="J6" s="1215">
        <v>10</v>
      </c>
      <c r="K6" s="1215">
        <v>11</v>
      </c>
      <c r="L6" s="1215">
        <v>12</v>
      </c>
      <c r="M6" s="847">
        <v>13</v>
      </c>
      <c r="N6" s="847">
        <v>13</v>
      </c>
      <c r="O6" s="848">
        <v>14</v>
      </c>
      <c r="P6" s="3157"/>
    </row>
    <row r="7" spans="1:17" ht="14.25" customHeight="1">
      <c r="A7" s="2243"/>
      <c r="B7" s="2244" t="s">
        <v>68</v>
      </c>
      <c r="C7" s="2244"/>
      <c r="D7" s="2245">
        <f>+D8+D9</f>
        <v>138408529</v>
      </c>
      <c r="E7" s="2245">
        <f t="shared" ref="E7:L7" si="0">+E8+E9</f>
        <v>10494544</v>
      </c>
      <c r="F7" s="2245">
        <f t="shared" si="0"/>
        <v>11954047</v>
      </c>
      <c r="G7" s="2245">
        <f t="shared" si="0"/>
        <v>24445506</v>
      </c>
      <c r="H7" s="2245">
        <f t="shared" si="0"/>
        <v>36058250</v>
      </c>
      <c r="I7" s="2245">
        <f t="shared" si="0"/>
        <v>22802075</v>
      </c>
      <c r="J7" s="2245">
        <f t="shared" si="0"/>
        <v>13854760</v>
      </c>
      <c r="K7" s="2245">
        <f t="shared" si="0"/>
        <v>10200659</v>
      </c>
      <c r="L7" s="2245">
        <f t="shared" si="0"/>
        <v>8598688</v>
      </c>
      <c r="M7" s="2246" t="e">
        <f t="shared" ref="M7" si="1">+M8+M9</f>
        <v>#REF!</v>
      </c>
      <c r="N7" s="2246">
        <f t="shared" ref="N7" si="2">+N8+N9</f>
        <v>101490903</v>
      </c>
      <c r="O7" s="2247"/>
      <c r="P7" s="3158">
        <f>+N7-N10</f>
        <v>-14469035</v>
      </c>
      <c r="Q7" s="3159"/>
    </row>
    <row r="8" spans="1:17" ht="11.25" customHeight="1">
      <c r="A8" s="2248"/>
      <c r="B8" s="2244" t="s">
        <v>69</v>
      </c>
      <c r="C8" s="2244"/>
      <c r="D8" s="2245">
        <f t="shared" ref="D8:L8" si="3">+D25+D45+D86+D62+D123+D136+D158+D188+D206+D221+D239+D265+D110-D114</f>
        <v>137672492</v>
      </c>
      <c r="E8" s="2245">
        <f t="shared" si="3"/>
        <v>10468589</v>
      </c>
      <c r="F8" s="2245">
        <f t="shared" si="3"/>
        <v>11874288</v>
      </c>
      <c r="G8" s="2245">
        <f t="shared" si="3"/>
        <v>23815183</v>
      </c>
      <c r="H8" s="2245">
        <f t="shared" si="3"/>
        <v>36058250</v>
      </c>
      <c r="I8" s="2245">
        <f t="shared" si="3"/>
        <v>22802075</v>
      </c>
      <c r="J8" s="2245">
        <f t="shared" si="3"/>
        <v>13854760</v>
      </c>
      <c r="K8" s="2245">
        <f t="shared" si="3"/>
        <v>10200659</v>
      </c>
      <c r="L8" s="2245">
        <f t="shared" si="3"/>
        <v>8598688</v>
      </c>
      <c r="M8" s="2245" t="e">
        <f>+M25+M45+M86+M62+M123+M136+M158+M188+M206+M221+M239</f>
        <v>#REF!</v>
      </c>
      <c r="N8" s="2246">
        <f>+N25+N45+N86+N62+N123+N136+N158+N188+N206+N221+N239</f>
        <v>100860580</v>
      </c>
      <c r="O8" s="2247"/>
      <c r="P8" s="3158"/>
      <c r="Q8" s="3159"/>
    </row>
    <row r="9" spans="1:17" ht="11.25" customHeight="1">
      <c r="A9" s="2248"/>
      <c r="B9" s="2249" t="s">
        <v>9</v>
      </c>
      <c r="C9" s="2250"/>
      <c r="D9" s="2251">
        <f t="shared" ref="D9:N9" si="4">+D74+D98+D148+D176+D254</f>
        <v>736037</v>
      </c>
      <c r="E9" s="2251">
        <f t="shared" si="4"/>
        <v>25955</v>
      </c>
      <c r="F9" s="2251">
        <f t="shared" si="4"/>
        <v>79759</v>
      </c>
      <c r="G9" s="2251">
        <f t="shared" si="4"/>
        <v>630323</v>
      </c>
      <c r="H9" s="2251">
        <f t="shared" si="4"/>
        <v>0</v>
      </c>
      <c r="I9" s="2251">
        <f t="shared" si="4"/>
        <v>0</v>
      </c>
      <c r="J9" s="2251">
        <f t="shared" si="4"/>
        <v>0</v>
      </c>
      <c r="K9" s="2251">
        <f t="shared" si="4"/>
        <v>0</v>
      </c>
      <c r="L9" s="2251">
        <f t="shared" si="4"/>
        <v>0</v>
      </c>
      <c r="M9" s="2251" t="e">
        <f t="shared" si="4"/>
        <v>#REF!</v>
      </c>
      <c r="N9" s="2246">
        <f t="shared" si="4"/>
        <v>630323</v>
      </c>
      <c r="O9" s="2247"/>
      <c r="P9" s="3157"/>
    </row>
    <row r="10" spans="1:17" ht="12.75" customHeight="1">
      <c r="A10" s="2248"/>
      <c r="B10" s="780" t="s">
        <v>10</v>
      </c>
      <c r="C10" s="780"/>
      <c r="D10" s="849">
        <f>+D11+D15</f>
        <v>139044529</v>
      </c>
      <c r="E10" s="849">
        <f t="shared" ref="E10:L10" si="5">+E11+E15</f>
        <v>10494544</v>
      </c>
      <c r="F10" s="849">
        <f t="shared" si="5"/>
        <v>11954047</v>
      </c>
      <c r="G10" s="849">
        <f t="shared" si="5"/>
        <v>24512492</v>
      </c>
      <c r="H10" s="849">
        <f t="shared" si="5"/>
        <v>36369255</v>
      </c>
      <c r="I10" s="849">
        <f t="shared" si="5"/>
        <v>23060084</v>
      </c>
      <c r="J10" s="849">
        <f t="shared" si="5"/>
        <v>13854760</v>
      </c>
      <c r="K10" s="849">
        <f t="shared" si="5"/>
        <v>10200659</v>
      </c>
      <c r="L10" s="849">
        <f t="shared" si="5"/>
        <v>8598688</v>
      </c>
      <c r="M10" s="778">
        <f>M11+M15</f>
        <v>126271445</v>
      </c>
      <c r="N10" s="778">
        <f>N11+N15</f>
        <v>115959938</v>
      </c>
      <c r="O10" s="2252"/>
      <c r="P10" s="3158"/>
      <c r="Q10" s="3159"/>
    </row>
    <row r="11" spans="1:17" s="353" customFormat="1" ht="12.75" customHeight="1">
      <c r="A11" s="2248"/>
      <c r="B11" s="2253" t="s">
        <v>23</v>
      </c>
      <c r="C11" s="2253"/>
      <c r="D11" s="2254">
        <f>D12+D13+D14</f>
        <v>18576496</v>
      </c>
      <c r="E11" s="2254">
        <f t="shared" ref="E11:L11" si="6">E12+E13+E14</f>
        <v>1587046</v>
      </c>
      <c r="F11" s="2254">
        <f t="shared" si="6"/>
        <v>1762110</v>
      </c>
      <c r="G11" s="2254">
        <f t="shared" si="6"/>
        <v>2968115</v>
      </c>
      <c r="H11" s="2254">
        <f t="shared" si="6"/>
        <v>4045295</v>
      </c>
      <c r="I11" s="2254">
        <f t="shared" si="6"/>
        <v>3269251</v>
      </c>
      <c r="J11" s="2254">
        <f t="shared" si="6"/>
        <v>2108867</v>
      </c>
      <c r="K11" s="2254">
        <f t="shared" si="6"/>
        <v>1539628</v>
      </c>
      <c r="L11" s="2254">
        <f t="shared" si="6"/>
        <v>1296184</v>
      </c>
      <c r="M11" s="2255">
        <f>M12+M13</f>
        <v>14710910</v>
      </c>
      <c r="N11" s="2255">
        <f>N12+N13</f>
        <v>14591340</v>
      </c>
      <c r="O11" s="2247"/>
      <c r="P11" s="416"/>
    </row>
    <row r="12" spans="1:17" ht="13.5" customHeight="1">
      <c r="A12" s="2248"/>
      <c r="B12" s="2256" t="s">
        <v>12</v>
      </c>
      <c r="C12" s="2256"/>
      <c r="D12" s="2257">
        <f t="shared" ref="D12:L12" si="7">D47+D88+D64+D76+D27+D100+D112+D125+D160+D178+D190+D223</f>
        <v>14105741</v>
      </c>
      <c r="E12" s="2257">
        <f t="shared" si="7"/>
        <v>1587046</v>
      </c>
      <c r="F12" s="2257">
        <f t="shared" si="7"/>
        <v>1762110</v>
      </c>
      <c r="G12" s="2257">
        <f t="shared" si="7"/>
        <v>2351334</v>
      </c>
      <c r="H12" s="2257">
        <f t="shared" si="7"/>
        <v>2091870</v>
      </c>
      <c r="I12" s="2257">
        <f t="shared" si="7"/>
        <v>1814995</v>
      </c>
      <c r="J12" s="2257">
        <f t="shared" si="7"/>
        <v>1731310</v>
      </c>
      <c r="K12" s="2257">
        <f t="shared" si="7"/>
        <v>1470892</v>
      </c>
      <c r="L12" s="2257">
        <f t="shared" si="7"/>
        <v>1296184</v>
      </c>
      <c r="M12" s="850">
        <f>SUM(F12:L12)</f>
        <v>12518695</v>
      </c>
      <c r="N12" s="850">
        <f>SUM(G12:L12)</f>
        <v>10756585</v>
      </c>
      <c r="O12" s="2247"/>
      <c r="P12" s="3158"/>
    </row>
    <row r="13" spans="1:17" ht="13.5" customHeight="1">
      <c r="A13" s="2248"/>
      <c r="B13" s="2258" t="s">
        <v>13</v>
      </c>
      <c r="C13" s="2256"/>
      <c r="D13" s="585">
        <f t="shared" ref="D13:L13" si="8">D50+D31+D77+D113+D163+D179+D193+D208+D226+D241+D256+D270</f>
        <v>3834755</v>
      </c>
      <c r="E13" s="585">
        <f t="shared" si="8"/>
        <v>0</v>
      </c>
      <c r="F13" s="585">
        <f t="shared" si="8"/>
        <v>0</v>
      </c>
      <c r="G13" s="585">
        <f t="shared" si="8"/>
        <v>549795</v>
      </c>
      <c r="H13" s="585">
        <f t="shared" si="8"/>
        <v>1642420</v>
      </c>
      <c r="I13" s="585">
        <f t="shared" si="8"/>
        <v>1196247</v>
      </c>
      <c r="J13" s="585">
        <f t="shared" si="8"/>
        <v>377557</v>
      </c>
      <c r="K13" s="585">
        <f t="shared" si="8"/>
        <v>68736</v>
      </c>
      <c r="L13" s="585">
        <f t="shared" si="8"/>
        <v>0</v>
      </c>
      <c r="M13" s="2259">
        <f>SUM(F13:H13)</f>
        <v>2192215</v>
      </c>
      <c r="N13" s="2259">
        <f>SUM(G13:L13)</f>
        <v>3834755</v>
      </c>
      <c r="O13" s="2247"/>
      <c r="P13" s="3158">
        <f>D13-D20</f>
        <v>0</v>
      </c>
    </row>
    <row r="14" spans="1:17" s="2749" customFormat="1" ht="13.5" customHeight="1">
      <c r="A14" s="2248"/>
      <c r="B14" s="2260" t="s">
        <v>650</v>
      </c>
      <c r="C14" s="2261"/>
      <c r="D14" s="1368">
        <f>D114</f>
        <v>636000</v>
      </c>
      <c r="E14" s="1368">
        <f t="shared" ref="E14:L14" si="9">E114</f>
        <v>0</v>
      </c>
      <c r="F14" s="1368">
        <f t="shared" si="9"/>
        <v>0</v>
      </c>
      <c r="G14" s="1368">
        <f t="shared" si="9"/>
        <v>66986</v>
      </c>
      <c r="H14" s="1368">
        <f t="shared" si="9"/>
        <v>311005</v>
      </c>
      <c r="I14" s="1368">
        <f t="shared" si="9"/>
        <v>258009</v>
      </c>
      <c r="J14" s="1368">
        <f t="shared" si="9"/>
        <v>0</v>
      </c>
      <c r="K14" s="1368">
        <f t="shared" si="9"/>
        <v>0</v>
      </c>
      <c r="L14" s="1368">
        <f t="shared" si="9"/>
        <v>0</v>
      </c>
      <c r="M14" s="2262"/>
      <c r="N14" s="2262"/>
      <c r="O14" s="2263"/>
      <c r="P14" s="3160"/>
    </row>
    <row r="15" spans="1:17" s="353" customFormat="1" ht="13.5" customHeight="1">
      <c r="A15" s="2248"/>
      <c r="B15" s="2264" t="s">
        <v>18</v>
      </c>
      <c r="C15" s="2264"/>
      <c r="D15" s="2254">
        <f>D17+D16</f>
        <v>120468033</v>
      </c>
      <c r="E15" s="2254">
        <f t="shared" ref="E15:L15" si="10">E17+E16</f>
        <v>8907498</v>
      </c>
      <c r="F15" s="2254">
        <f t="shared" si="10"/>
        <v>10191937</v>
      </c>
      <c r="G15" s="2254">
        <f t="shared" si="10"/>
        <v>21544377</v>
      </c>
      <c r="H15" s="2254">
        <f t="shared" si="10"/>
        <v>32323960</v>
      </c>
      <c r="I15" s="2254">
        <f t="shared" si="10"/>
        <v>19790833</v>
      </c>
      <c r="J15" s="2254">
        <f t="shared" si="10"/>
        <v>11745893</v>
      </c>
      <c r="K15" s="2254">
        <f t="shared" si="10"/>
        <v>8661031</v>
      </c>
      <c r="L15" s="2254">
        <f t="shared" si="10"/>
        <v>7302504</v>
      </c>
      <c r="M15" s="2255">
        <f t="shared" ref="M15" si="11">M17+M16</f>
        <v>111560535</v>
      </c>
      <c r="N15" s="2255">
        <f t="shared" ref="N15" si="12">N17+N16</f>
        <v>101368598</v>
      </c>
      <c r="O15" s="2247"/>
      <c r="P15" s="416"/>
    </row>
    <row r="16" spans="1:17" s="393" customFormat="1" ht="13.5" customHeight="1">
      <c r="A16" s="2248"/>
      <c r="B16" s="2265" t="s">
        <v>19</v>
      </c>
      <c r="C16" s="2264"/>
      <c r="D16" s="2266">
        <f>+D33</f>
        <v>410798</v>
      </c>
      <c r="E16" s="2266">
        <f t="shared" ref="E16:L16" si="13">+E33</f>
        <v>45222</v>
      </c>
      <c r="F16" s="2266">
        <f t="shared" si="13"/>
        <v>172687</v>
      </c>
      <c r="G16" s="2266">
        <f t="shared" si="13"/>
        <v>154321</v>
      </c>
      <c r="H16" s="2266">
        <f t="shared" si="13"/>
        <v>25351</v>
      </c>
      <c r="I16" s="2266">
        <f t="shared" si="13"/>
        <v>13217</v>
      </c>
      <c r="J16" s="2266">
        <f t="shared" si="13"/>
        <v>0</v>
      </c>
      <c r="K16" s="2266">
        <f t="shared" si="13"/>
        <v>0</v>
      </c>
      <c r="L16" s="2266">
        <f t="shared" si="13"/>
        <v>0</v>
      </c>
      <c r="M16" s="850">
        <f>SUM(F16:L16)</f>
        <v>365576</v>
      </c>
      <c r="N16" s="850">
        <f>SUM(G16:L16)</f>
        <v>192889</v>
      </c>
      <c r="O16" s="2247"/>
      <c r="P16" s="416"/>
    </row>
    <row r="17" spans="1:17" ht="13.5" customHeight="1">
      <c r="A17" s="2248"/>
      <c r="B17" s="2267" t="s">
        <v>20</v>
      </c>
      <c r="C17" s="2256"/>
      <c r="D17" s="2268">
        <f t="shared" ref="D17:L17" si="14">+D52+D37+D91+D67+D79+D103+D116+D129+D138+D150+D167+D181+D197+D212+D230+D245+D258+D274</f>
        <v>120057235</v>
      </c>
      <c r="E17" s="2268">
        <f t="shared" si="14"/>
        <v>8862276</v>
      </c>
      <c r="F17" s="2268">
        <f t="shared" si="14"/>
        <v>10019250</v>
      </c>
      <c r="G17" s="2268">
        <f t="shared" si="14"/>
        <v>21390056</v>
      </c>
      <c r="H17" s="2268">
        <f t="shared" si="14"/>
        <v>32298609</v>
      </c>
      <c r="I17" s="2268">
        <f t="shared" si="14"/>
        <v>19777616</v>
      </c>
      <c r="J17" s="2268">
        <f t="shared" si="14"/>
        <v>11745893</v>
      </c>
      <c r="K17" s="2268">
        <f t="shared" si="14"/>
        <v>8661031</v>
      </c>
      <c r="L17" s="2268">
        <f t="shared" si="14"/>
        <v>7302504</v>
      </c>
      <c r="M17" s="850">
        <f>SUM(F17:L17)</f>
        <v>111194959</v>
      </c>
      <c r="N17" s="850">
        <f>SUM(G17:L17)</f>
        <v>101175709</v>
      </c>
      <c r="O17" s="2252"/>
      <c r="P17" s="3158"/>
    </row>
    <row r="18" spans="1:17" ht="13.5" customHeight="1">
      <c r="A18" s="2248"/>
      <c r="B18" s="2269" t="s">
        <v>21</v>
      </c>
      <c r="C18" s="780"/>
      <c r="D18" s="849">
        <f>D19+D21</f>
        <v>124302788</v>
      </c>
      <c r="E18" s="849">
        <f>E19+E21</f>
        <v>8862276</v>
      </c>
      <c r="F18" s="849">
        <f t="shared" ref="F18:L18" si="15">F19+F21</f>
        <v>9934498</v>
      </c>
      <c r="G18" s="849">
        <f t="shared" si="15"/>
        <v>23712141</v>
      </c>
      <c r="H18" s="849">
        <f t="shared" si="15"/>
        <v>33349433</v>
      </c>
      <c r="I18" s="849">
        <f t="shared" si="15"/>
        <v>20288719</v>
      </c>
      <c r="J18" s="849">
        <f t="shared" si="15"/>
        <v>12123450</v>
      </c>
      <c r="K18" s="849">
        <f t="shared" si="15"/>
        <v>8729767</v>
      </c>
      <c r="L18" s="849">
        <f t="shared" si="15"/>
        <v>7302504</v>
      </c>
      <c r="M18" s="3614" t="s">
        <v>53</v>
      </c>
      <c r="N18" s="3614" t="s">
        <v>53</v>
      </c>
      <c r="O18" s="2247"/>
      <c r="P18" s="3161">
        <f>+D7-D10</f>
        <v>-636000</v>
      </c>
    </row>
    <row r="19" spans="1:17" ht="13.5" customHeight="1">
      <c r="A19" s="2248"/>
      <c r="B19" s="2270" t="s">
        <v>23</v>
      </c>
      <c r="C19" s="2271"/>
      <c r="D19" s="2272">
        <f>D20</f>
        <v>3834755</v>
      </c>
      <c r="E19" s="2272">
        <f t="shared" ref="E19:L19" si="16">E20</f>
        <v>0</v>
      </c>
      <c r="F19" s="2272">
        <f t="shared" si="16"/>
        <v>0</v>
      </c>
      <c r="G19" s="2272">
        <f t="shared" si="16"/>
        <v>549795</v>
      </c>
      <c r="H19" s="2272">
        <f t="shared" si="16"/>
        <v>1642420</v>
      </c>
      <c r="I19" s="2272">
        <f t="shared" si="16"/>
        <v>1196247</v>
      </c>
      <c r="J19" s="2272">
        <f t="shared" si="16"/>
        <v>377557</v>
      </c>
      <c r="K19" s="2272">
        <f t="shared" si="16"/>
        <v>68736</v>
      </c>
      <c r="L19" s="2272">
        <f t="shared" si="16"/>
        <v>0</v>
      </c>
      <c r="M19" s="3614"/>
      <c r="N19" s="3614"/>
      <c r="O19" s="2247"/>
      <c r="P19" s="3157"/>
    </row>
    <row r="20" spans="1:17" ht="13.5" customHeight="1">
      <c r="A20" s="2248"/>
      <c r="B20" s="2273" t="s">
        <v>13</v>
      </c>
      <c r="C20" s="2274"/>
      <c r="D20" s="2268">
        <f t="shared" ref="D20:L20" si="17">+D57+D40+D82+D119+D172+D184+D202+D217+D235+D250+D261+D279</f>
        <v>3834755</v>
      </c>
      <c r="E20" s="2268">
        <f t="shared" si="17"/>
        <v>0</v>
      </c>
      <c r="F20" s="2268">
        <f t="shared" si="17"/>
        <v>0</v>
      </c>
      <c r="G20" s="2268">
        <f t="shared" si="17"/>
        <v>549795</v>
      </c>
      <c r="H20" s="2268">
        <f t="shared" si="17"/>
        <v>1642420</v>
      </c>
      <c r="I20" s="2268">
        <f t="shared" si="17"/>
        <v>1196247</v>
      </c>
      <c r="J20" s="2268">
        <f t="shared" si="17"/>
        <v>377557</v>
      </c>
      <c r="K20" s="2268">
        <f t="shared" si="17"/>
        <v>68736</v>
      </c>
      <c r="L20" s="2268">
        <f t="shared" si="17"/>
        <v>0</v>
      </c>
      <c r="M20" s="3614"/>
      <c r="N20" s="3614"/>
      <c r="O20" s="2247"/>
      <c r="P20" s="3157"/>
    </row>
    <row r="21" spans="1:17" s="3163" customFormat="1" ht="13.5" customHeight="1">
      <c r="A21" s="2275"/>
      <c r="B21" s="2276" t="s">
        <v>18</v>
      </c>
      <c r="C21" s="2277"/>
      <c r="D21" s="2272">
        <f>D23+D22</f>
        <v>120468033</v>
      </c>
      <c r="E21" s="2272">
        <f t="shared" ref="E21:L21" si="18">E23+E22</f>
        <v>8862276</v>
      </c>
      <c r="F21" s="2272">
        <f t="shared" si="18"/>
        <v>9934498</v>
      </c>
      <c r="G21" s="2272">
        <f t="shared" si="18"/>
        <v>23162346</v>
      </c>
      <c r="H21" s="2272">
        <f t="shared" si="18"/>
        <v>31707013</v>
      </c>
      <c r="I21" s="2272">
        <f t="shared" si="18"/>
        <v>19092472</v>
      </c>
      <c r="J21" s="2272">
        <f t="shared" si="18"/>
        <v>11745893</v>
      </c>
      <c r="K21" s="2272">
        <f t="shared" si="18"/>
        <v>8661031</v>
      </c>
      <c r="L21" s="2272">
        <f t="shared" si="18"/>
        <v>7302504</v>
      </c>
      <c r="M21" s="3614"/>
      <c r="N21" s="3614"/>
      <c r="O21" s="2278"/>
      <c r="P21" s="3162"/>
    </row>
    <row r="22" spans="1:17" s="3164" customFormat="1" ht="13.5" customHeight="1">
      <c r="A22" s="2275"/>
      <c r="B22" s="2265" t="s">
        <v>19</v>
      </c>
      <c r="C22" s="2277"/>
      <c r="D22" s="2279">
        <f>+D42</f>
        <v>410798</v>
      </c>
      <c r="E22" s="2279">
        <f t="shared" ref="E22:L22" si="19">+E42</f>
        <v>0</v>
      </c>
      <c r="F22" s="2279">
        <f t="shared" si="19"/>
        <v>84212</v>
      </c>
      <c r="G22" s="2279">
        <f t="shared" si="19"/>
        <v>176983</v>
      </c>
      <c r="H22" s="2279">
        <f t="shared" si="19"/>
        <v>114384</v>
      </c>
      <c r="I22" s="2279">
        <f t="shared" si="19"/>
        <v>35219</v>
      </c>
      <c r="J22" s="2279">
        <f t="shared" si="19"/>
        <v>0</v>
      </c>
      <c r="K22" s="2279">
        <f t="shared" si="19"/>
        <v>0</v>
      </c>
      <c r="L22" s="2279">
        <f t="shared" si="19"/>
        <v>0</v>
      </c>
      <c r="M22" s="3615"/>
      <c r="N22" s="3615"/>
      <c r="O22" s="2280"/>
      <c r="P22" s="3162"/>
    </row>
    <row r="23" spans="1:17" ht="13.5" customHeight="1" thickBot="1">
      <c r="A23" s="2281"/>
      <c r="B23" s="2282" t="s">
        <v>20</v>
      </c>
      <c r="C23" s="2282"/>
      <c r="D23" s="2283">
        <f t="shared" ref="D23:L23" si="20">+D59+D43+D60+D96+D72+D84+D108+D121+D134+D146+D156+D174+D186+D204+D219+D237+D252+D263+D281</f>
        <v>120057235</v>
      </c>
      <c r="E23" s="2283">
        <f t="shared" si="20"/>
        <v>8862276</v>
      </c>
      <c r="F23" s="2283">
        <f t="shared" si="20"/>
        <v>9850286</v>
      </c>
      <c r="G23" s="2283">
        <f t="shared" si="20"/>
        <v>22985363</v>
      </c>
      <c r="H23" s="2283">
        <f t="shared" si="20"/>
        <v>31592629</v>
      </c>
      <c r="I23" s="2283">
        <f t="shared" si="20"/>
        <v>19057253</v>
      </c>
      <c r="J23" s="2283">
        <f t="shared" si="20"/>
        <v>11745893</v>
      </c>
      <c r="K23" s="2283">
        <f t="shared" si="20"/>
        <v>8661031</v>
      </c>
      <c r="L23" s="2283">
        <f t="shared" si="20"/>
        <v>7302504</v>
      </c>
      <c r="M23" s="3616"/>
      <c r="N23" s="3616"/>
      <c r="O23" s="2284"/>
      <c r="P23" s="3158">
        <f>D23-D17</f>
        <v>0</v>
      </c>
    </row>
    <row r="24" spans="1:17" ht="38.25" customHeight="1">
      <c r="A24" s="3608" t="s">
        <v>55</v>
      </c>
      <c r="B24" s="2695" t="s">
        <v>300</v>
      </c>
      <c r="C24" s="2696" t="s">
        <v>101</v>
      </c>
      <c r="D24" s="1069"/>
      <c r="E24" s="2638"/>
      <c r="F24" s="2638"/>
      <c r="G24" s="2638"/>
      <c r="H24" s="2638"/>
      <c r="I24" s="2638"/>
      <c r="J24" s="2638"/>
      <c r="K24" s="2638"/>
      <c r="L24" s="41"/>
      <c r="M24" s="778"/>
      <c r="N24" s="778"/>
      <c r="O24" s="3545" t="s">
        <v>309</v>
      </c>
      <c r="P24" s="3157"/>
    </row>
    <row r="25" spans="1:17" s="3163" customFormat="1">
      <c r="A25" s="3589"/>
      <c r="B25" s="779" t="s">
        <v>10</v>
      </c>
      <c r="C25" s="780"/>
      <c r="D25" s="560">
        <f t="shared" ref="D25:J25" si="21">+D26+D32</f>
        <v>487290</v>
      </c>
      <c r="E25" s="560">
        <f t="shared" ref="E25" si="22">+E26+E32</f>
        <v>53431</v>
      </c>
      <c r="F25" s="560">
        <f t="shared" si="21"/>
        <v>203738</v>
      </c>
      <c r="G25" s="560">
        <f t="shared" si="21"/>
        <v>183147</v>
      </c>
      <c r="H25" s="560">
        <f t="shared" si="21"/>
        <v>30624</v>
      </c>
      <c r="I25" s="560">
        <f t="shared" si="21"/>
        <v>16350</v>
      </c>
      <c r="J25" s="1664">
        <f t="shared" si="21"/>
        <v>0</v>
      </c>
      <c r="K25" s="1664">
        <v>0</v>
      </c>
      <c r="L25" s="1664">
        <v>0</v>
      </c>
      <c r="M25" s="781">
        <f>+M26+M32</f>
        <v>433859</v>
      </c>
      <c r="N25" s="781">
        <f>+N26+N32</f>
        <v>230121</v>
      </c>
      <c r="O25" s="3546"/>
      <c r="P25" s="3165"/>
      <c r="Q25" s="3166"/>
    </row>
    <row r="26" spans="1:17" s="3163" customFormat="1" ht="13.5" customHeight="1">
      <c r="A26" s="3589"/>
      <c r="B26" s="1662" t="s">
        <v>23</v>
      </c>
      <c r="C26" s="3548" t="s">
        <v>374</v>
      </c>
      <c r="D26" s="590">
        <f t="shared" ref="D26" si="23">+D27+D31</f>
        <v>76492</v>
      </c>
      <c r="E26" s="590">
        <f t="shared" ref="E26" si="24">+E27+E31</f>
        <v>8209</v>
      </c>
      <c r="F26" s="590">
        <f>+F27+F31</f>
        <v>31051</v>
      </c>
      <c r="G26" s="590">
        <f>+G27+G31</f>
        <v>28826</v>
      </c>
      <c r="H26" s="590">
        <f>+H27+H31</f>
        <v>5273</v>
      </c>
      <c r="I26" s="590">
        <f>+I27</f>
        <v>3133</v>
      </c>
      <c r="J26" s="1665">
        <f>+J27</f>
        <v>0</v>
      </c>
      <c r="K26" s="1665">
        <v>0</v>
      </c>
      <c r="L26" s="1665">
        <v>0</v>
      </c>
      <c r="M26" s="851">
        <f>+M27+M31</f>
        <v>68283</v>
      </c>
      <c r="N26" s="851">
        <f>+N27+N31</f>
        <v>37232</v>
      </c>
      <c r="O26" s="3546"/>
      <c r="P26" s="3162"/>
    </row>
    <row r="27" spans="1:17" s="3163" customFormat="1" ht="11.25" customHeight="1">
      <c r="A27" s="3589"/>
      <c r="B27" s="809" t="s">
        <v>12</v>
      </c>
      <c r="C27" s="3549"/>
      <c r="D27" s="235">
        <f>E27+F27+G27+H27+I27+J27+K27+L27</f>
        <v>76492</v>
      </c>
      <c r="E27" s="265">
        <f>+E29+E30</f>
        <v>8209</v>
      </c>
      <c r="F27" s="579">
        <f t="shared" ref="F27:I27" si="25">+F29+F30</f>
        <v>31051</v>
      </c>
      <c r="G27" s="579">
        <f t="shared" si="25"/>
        <v>28826</v>
      </c>
      <c r="H27" s="579">
        <f t="shared" si="25"/>
        <v>5273</v>
      </c>
      <c r="I27" s="579">
        <f t="shared" si="25"/>
        <v>3133</v>
      </c>
      <c r="J27" s="584">
        <v>0</v>
      </c>
      <c r="K27" s="584">
        <v>0</v>
      </c>
      <c r="L27" s="584">
        <v>0</v>
      </c>
      <c r="M27" s="850">
        <f>SUM(F27:K27)</f>
        <v>68283</v>
      </c>
      <c r="N27" s="850">
        <f>SUM(G27:L27)</f>
        <v>37232</v>
      </c>
      <c r="O27" s="3546"/>
      <c r="P27" s="3162"/>
    </row>
    <row r="28" spans="1:17" s="3167" customFormat="1" ht="13.5" hidden="1" customHeight="1">
      <c r="A28" s="3609"/>
      <c r="B28" s="2697" t="s">
        <v>141</v>
      </c>
      <c r="C28" s="3610"/>
      <c r="D28" s="785"/>
      <c r="E28" s="2698"/>
      <c r="F28" s="2699"/>
      <c r="G28" s="2699"/>
      <c r="H28" s="2699"/>
      <c r="I28" s="2699"/>
      <c r="J28" s="2698"/>
      <c r="K28" s="2698"/>
      <c r="L28" s="584"/>
      <c r="M28" s="784"/>
      <c r="N28" s="784"/>
      <c r="O28" s="3546"/>
      <c r="P28" s="3162"/>
    </row>
    <row r="29" spans="1:17" s="3167" customFormat="1" ht="13.5" hidden="1" customHeight="1">
      <c r="A29" s="3609"/>
      <c r="B29" s="2697" t="s">
        <v>102</v>
      </c>
      <c r="C29" s="3610"/>
      <c r="D29" s="785">
        <f>+E29+F29+G29+H29+I29</f>
        <v>52982</v>
      </c>
      <c r="E29" s="2699">
        <v>3119</v>
      </c>
      <c r="F29" s="2699">
        <f>31679-1297-6985</f>
        <v>23397</v>
      </c>
      <c r="G29" s="2699">
        <f>12591-1089+6985+605</f>
        <v>19092</v>
      </c>
      <c r="H29" s="2699">
        <f>10929-2878-103-3462</f>
        <v>4486</v>
      </c>
      <c r="I29" s="2699">
        <f>2920-32</f>
        <v>2888</v>
      </c>
      <c r="J29" s="2698"/>
      <c r="K29" s="2698"/>
      <c r="L29" s="584"/>
      <c r="M29" s="1663">
        <f t="shared" ref="M29:N31" si="26">SUM(E29:H29)</f>
        <v>50094</v>
      </c>
      <c r="N29" s="1663">
        <f>SUM(G29:I29)</f>
        <v>26466</v>
      </c>
      <c r="O29" s="3546"/>
      <c r="P29" s="3162"/>
    </row>
    <row r="30" spans="1:17" s="3167" customFormat="1" ht="13.5" hidden="1" customHeight="1">
      <c r="A30" s="3609"/>
      <c r="B30" s="2697" t="s">
        <v>288</v>
      </c>
      <c r="C30" s="3610"/>
      <c r="D30" s="785">
        <f>+E30+F30+G30+H30+I30</f>
        <v>23510</v>
      </c>
      <c r="E30" s="2699">
        <f>4426+664</f>
        <v>5090</v>
      </c>
      <c r="F30" s="2699">
        <f>7322+633-301</f>
        <v>7654</v>
      </c>
      <c r="G30" s="2699">
        <f>6473+784+1089+301+1087</f>
        <v>9734</v>
      </c>
      <c r="H30" s="2699">
        <f>599+85+103</f>
        <v>787</v>
      </c>
      <c r="I30" s="2699">
        <f>186+27+32</f>
        <v>245</v>
      </c>
      <c r="J30" s="2698"/>
      <c r="K30" s="2698"/>
      <c r="L30" s="584"/>
      <c r="M30" s="1663">
        <f t="shared" si="26"/>
        <v>23265</v>
      </c>
      <c r="N30" s="1663">
        <f>SUM(G30:I30)</f>
        <v>10766</v>
      </c>
      <c r="O30" s="3546"/>
      <c r="P30" s="3162"/>
    </row>
    <row r="31" spans="1:17" s="3163" customFormat="1" ht="14.25" hidden="1" customHeight="1">
      <c r="A31" s="3589"/>
      <c r="B31" s="809" t="s">
        <v>13</v>
      </c>
      <c r="C31" s="3549"/>
      <c r="D31" s="235">
        <f>E31+F31+G31+H31+I31+J31+K31+L31</f>
        <v>0</v>
      </c>
      <c r="E31" s="584">
        <v>0</v>
      </c>
      <c r="F31" s="579"/>
      <c r="G31" s="579"/>
      <c r="H31" s="579"/>
      <c r="I31" s="579"/>
      <c r="J31" s="584"/>
      <c r="K31" s="584"/>
      <c r="L31" s="584"/>
      <c r="M31" s="784">
        <f t="shared" si="26"/>
        <v>0</v>
      </c>
      <c r="N31" s="784">
        <f t="shared" si="26"/>
        <v>0</v>
      </c>
      <c r="O31" s="3546"/>
      <c r="P31" s="3162"/>
    </row>
    <row r="32" spans="1:17" s="3163" customFormat="1">
      <c r="A32" s="3589"/>
      <c r="B32" s="2700" t="s">
        <v>18</v>
      </c>
      <c r="C32" s="3549"/>
      <c r="D32" s="786">
        <f>+D37+D33</f>
        <v>410798</v>
      </c>
      <c r="E32" s="786">
        <f t="shared" ref="E32" si="27">+E37+E33</f>
        <v>45222</v>
      </c>
      <c r="F32" s="786">
        <f>+F37+F33</f>
        <v>172687</v>
      </c>
      <c r="G32" s="786">
        <f>+G37+G33</f>
        <v>154321</v>
      </c>
      <c r="H32" s="786">
        <f>+H37+H33</f>
        <v>25351</v>
      </c>
      <c r="I32" s="786">
        <f>+I33</f>
        <v>13217</v>
      </c>
      <c r="J32" s="804">
        <v>0</v>
      </c>
      <c r="K32" s="804">
        <v>0</v>
      </c>
      <c r="L32" s="804">
        <v>0</v>
      </c>
      <c r="M32" s="852">
        <f>+M37+M33</f>
        <v>365576</v>
      </c>
      <c r="N32" s="852">
        <f>+N37+N33</f>
        <v>192889</v>
      </c>
      <c r="O32" s="3546"/>
      <c r="P32" s="3162"/>
    </row>
    <row r="33" spans="1:16" s="3164" customFormat="1" ht="12" customHeight="1">
      <c r="A33" s="3589"/>
      <c r="B33" s="809" t="s">
        <v>19</v>
      </c>
      <c r="C33" s="3549"/>
      <c r="D33" s="235">
        <f>E33+F33+G33+H33+I33+J33+K33+L33</f>
        <v>410798</v>
      </c>
      <c r="E33" s="265">
        <f>+E35+E36</f>
        <v>45222</v>
      </c>
      <c r="F33" s="579">
        <f t="shared" ref="F33:I33" si="28">+F35+F36</f>
        <v>172687</v>
      </c>
      <c r="G33" s="579">
        <f t="shared" si="28"/>
        <v>154321</v>
      </c>
      <c r="H33" s="579">
        <f t="shared" si="28"/>
        <v>25351</v>
      </c>
      <c r="I33" s="579">
        <f t="shared" si="28"/>
        <v>13217</v>
      </c>
      <c r="J33" s="584">
        <v>0</v>
      </c>
      <c r="K33" s="584">
        <v>0</v>
      </c>
      <c r="L33" s="584">
        <v>0</v>
      </c>
      <c r="M33" s="850">
        <f>SUM(F33:K33)</f>
        <v>365576</v>
      </c>
      <c r="N33" s="850">
        <f>SUM(G33:L33)</f>
        <v>192889</v>
      </c>
      <c r="O33" s="3546"/>
      <c r="P33" s="3165">
        <f>D33-D42</f>
        <v>0</v>
      </c>
    </row>
    <row r="34" spans="1:16" s="3167" customFormat="1" ht="13.5" hidden="1" customHeight="1">
      <c r="A34" s="3589"/>
      <c r="B34" s="2697" t="s">
        <v>141</v>
      </c>
      <c r="C34" s="3549"/>
      <c r="D34" s="785"/>
      <c r="E34" s="584"/>
      <c r="F34" s="2699"/>
      <c r="G34" s="2699"/>
      <c r="H34" s="2699"/>
      <c r="I34" s="2699"/>
      <c r="J34" s="2698"/>
      <c r="K34" s="2698"/>
      <c r="L34" s="2698"/>
      <c r="M34" s="1663"/>
      <c r="N34" s="1663"/>
      <c r="O34" s="3546"/>
      <c r="P34" s="3162"/>
    </row>
    <row r="35" spans="1:16" s="3167" customFormat="1" ht="13.5" hidden="1" customHeight="1">
      <c r="A35" s="3589"/>
      <c r="B35" s="2697" t="s">
        <v>102</v>
      </c>
      <c r="C35" s="3549"/>
      <c r="D35" s="785">
        <f>+E35+F35+G35+H35+I35</f>
        <v>277590</v>
      </c>
      <c r="E35" s="2699">
        <v>16375</v>
      </c>
      <c r="F35" s="2699">
        <f>1482+28167+1112+84605+3706+47478+5188-7334-35092</f>
        <v>129312</v>
      </c>
      <c r="G35" s="2699">
        <f>1482+13343+1112+47172+3706-6169+35092+3440</f>
        <v>99178</v>
      </c>
      <c r="H35" s="2699">
        <f>1482+15195+1853+32381+6486-16307-582-19617</f>
        <v>20891</v>
      </c>
      <c r="I35" s="2699">
        <f>3706+371+6085+1853-181</f>
        <v>11834</v>
      </c>
      <c r="J35" s="2698"/>
      <c r="K35" s="2698"/>
      <c r="L35" s="2698"/>
      <c r="M35" s="1663">
        <f t="shared" ref="M35:N37" si="29">SUM(E35:H35)</f>
        <v>265756</v>
      </c>
      <c r="N35" s="1663">
        <f>SUM(G35:I35)</f>
        <v>131903</v>
      </c>
      <c r="O35" s="3546"/>
      <c r="P35" s="3162"/>
    </row>
    <row r="36" spans="1:16" s="3167" customFormat="1" ht="13.5" hidden="1" customHeight="1">
      <c r="A36" s="3589"/>
      <c r="B36" s="2697" t="s">
        <v>288</v>
      </c>
      <c r="C36" s="3549"/>
      <c r="D36" s="785">
        <f>+E36+F36+G36+H36+I36</f>
        <v>133208</v>
      </c>
      <c r="E36" s="2699">
        <f>25085+3762</f>
        <v>28847</v>
      </c>
      <c r="F36" s="2699">
        <f>28369+1756+4789+710+1512+4359+3572-1692</f>
        <v>43375</v>
      </c>
      <c r="G36" s="2699">
        <f>28654+2364+4931+731+4444+6169+1692+6158</f>
        <v>55143</v>
      </c>
      <c r="H36" s="2699">
        <f>2663+220+445+67+483+582</f>
        <v>4460</v>
      </c>
      <c r="I36" s="2699">
        <f>672+222+138+21+149+181</f>
        <v>1383</v>
      </c>
      <c r="J36" s="2698"/>
      <c r="K36" s="2698"/>
      <c r="L36" s="2698"/>
      <c r="M36" s="1663">
        <f t="shared" si="29"/>
        <v>131825</v>
      </c>
      <c r="N36" s="1663">
        <f>SUM(G36:I36)</f>
        <v>60986</v>
      </c>
      <c r="O36" s="3546"/>
      <c r="P36" s="3162"/>
    </row>
    <row r="37" spans="1:16" s="3163" customFormat="1" ht="13.5" hidden="1" customHeight="1" collapsed="1">
      <c r="A37" s="3589"/>
      <c r="B37" s="809" t="s">
        <v>20</v>
      </c>
      <c r="C37" s="3549"/>
      <c r="D37" s="235">
        <f>E37+F37+G37+H37+I37+J37+K37+L37</f>
        <v>0</v>
      </c>
      <c r="E37" s="584">
        <v>0</v>
      </c>
      <c r="F37" s="579"/>
      <c r="G37" s="579"/>
      <c r="H37" s="579"/>
      <c r="I37" s="579"/>
      <c r="J37" s="584"/>
      <c r="K37" s="584"/>
      <c r="L37" s="584"/>
      <c r="M37" s="784">
        <f t="shared" si="29"/>
        <v>0</v>
      </c>
      <c r="N37" s="784">
        <f t="shared" si="29"/>
        <v>0</v>
      </c>
      <c r="O37" s="3547"/>
      <c r="P37" s="3165"/>
    </row>
    <row r="38" spans="1:16" s="3163" customFormat="1">
      <c r="A38" s="3590"/>
      <c r="B38" s="779" t="s">
        <v>21</v>
      </c>
      <c r="C38" s="780"/>
      <c r="D38" s="574">
        <f>+D39+D41</f>
        <v>410798</v>
      </c>
      <c r="E38" s="583">
        <v>0</v>
      </c>
      <c r="F38" s="574">
        <f>+F39+F41</f>
        <v>84212</v>
      </c>
      <c r="G38" s="574">
        <f t="shared" ref="G38:J38" si="30">+G39+G41</f>
        <v>176983</v>
      </c>
      <c r="H38" s="574">
        <f t="shared" si="30"/>
        <v>114384</v>
      </c>
      <c r="I38" s="574">
        <f t="shared" si="30"/>
        <v>35219</v>
      </c>
      <c r="J38" s="583">
        <f t="shared" si="30"/>
        <v>0</v>
      </c>
      <c r="K38" s="583">
        <v>0</v>
      </c>
      <c r="L38" s="583">
        <v>0</v>
      </c>
      <c r="M38" s="3596" t="s">
        <v>53</v>
      </c>
      <c r="N38" s="3596" t="s">
        <v>53</v>
      </c>
      <c r="O38" s="2701"/>
      <c r="P38" s="3165">
        <f>G38-'[1]Tab. 6B Polit społ i rozwój prz'!$G$37</f>
        <v>-60809</v>
      </c>
    </row>
    <row r="39" spans="1:16" s="3163" customFormat="1" ht="13.5" hidden="1" customHeight="1">
      <c r="A39" s="3590"/>
      <c r="B39" s="1662" t="s">
        <v>23</v>
      </c>
      <c r="C39" s="3611" t="s">
        <v>301</v>
      </c>
      <c r="D39" s="786">
        <f>+D40</f>
        <v>0</v>
      </c>
      <c r="E39" s="804">
        <v>0</v>
      </c>
      <c r="F39" s="786"/>
      <c r="G39" s="786"/>
      <c r="H39" s="786"/>
      <c r="I39" s="786"/>
      <c r="J39" s="804"/>
      <c r="K39" s="804"/>
      <c r="L39" s="804"/>
      <c r="M39" s="3596"/>
      <c r="N39" s="3596"/>
      <c r="O39" s="2701"/>
      <c r="P39" s="3162"/>
    </row>
    <row r="40" spans="1:16" s="3163" customFormat="1" ht="13.5" hidden="1" customHeight="1">
      <c r="A40" s="3590"/>
      <c r="B40" s="809" t="s">
        <v>13</v>
      </c>
      <c r="C40" s="3549"/>
      <c r="D40" s="235">
        <f>E40+F40+G40+H40+I40+J40+K40+L40</f>
        <v>0</v>
      </c>
      <c r="E40" s="1569"/>
      <c r="F40" s="785"/>
      <c r="G40" s="785"/>
      <c r="H40" s="785"/>
      <c r="I40" s="785"/>
      <c r="J40" s="1569"/>
      <c r="K40" s="1569"/>
      <c r="L40" s="1569"/>
      <c r="M40" s="3596"/>
      <c r="N40" s="3596"/>
      <c r="O40" s="2701"/>
      <c r="P40" s="3162"/>
    </row>
    <row r="41" spans="1:16" s="3163" customFormat="1">
      <c r="A41" s="3590"/>
      <c r="B41" s="2700" t="s">
        <v>18</v>
      </c>
      <c r="C41" s="3612"/>
      <c r="D41" s="786">
        <f>+D43+D42</f>
        <v>410798</v>
      </c>
      <c r="E41" s="804">
        <v>0</v>
      </c>
      <c r="F41" s="786">
        <f t="shared" ref="F41:J41" si="31">+F43+F42</f>
        <v>84212</v>
      </c>
      <c r="G41" s="786">
        <f t="shared" si="31"/>
        <v>176983</v>
      </c>
      <c r="H41" s="786">
        <f>+H43+H42</f>
        <v>114384</v>
      </c>
      <c r="I41" s="786">
        <f t="shared" si="31"/>
        <v>35219</v>
      </c>
      <c r="J41" s="804">
        <f t="shared" si="31"/>
        <v>0</v>
      </c>
      <c r="K41" s="804">
        <v>0</v>
      </c>
      <c r="L41" s="804">
        <v>0</v>
      </c>
      <c r="M41" s="3596"/>
      <c r="N41" s="3596"/>
      <c r="O41" s="2950" t="s">
        <v>102</v>
      </c>
      <c r="P41" s="3162"/>
    </row>
    <row r="42" spans="1:16" s="3164" customFormat="1" ht="15.75" customHeight="1" thickBot="1">
      <c r="A42" s="3590"/>
      <c r="B42" s="809" t="s">
        <v>19</v>
      </c>
      <c r="C42" s="3612"/>
      <c r="D42" s="235">
        <f>E42+F42+G42+H42+I42+J42+K42+L42</f>
        <v>410798</v>
      </c>
      <c r="E42" s="2702">
        <v>0</v>
      </c>
      <c r="F42" s="579">
        <f>88766-60286+55732</f>
        <v>84212</v>
      </c>
      <c r="G42" s="579">
        <f>154696+9365+11231+62500-69130+8321</f>
        <v>176983</v>
      </c>
      <c r="H42" s="579">
        <f>103495-26700+4444-33621+72166-5400</f>
        <v>114384</v>
      </c>
      <c r="I42" s="579">
        <f>60792+32027-15824-25800-3036-12940</f>
        <v>35219</v>
      </c>
      <c r="J42" s="584">
        <f>13068+45594+149-58811</f>
        <v>0</v>
      </c>
      <c r="K42" s="584">
        <v>0</v>
      </c>
      <c r="L42" s="584">
        <v>0</v>
      </c>
      <c r="M42" s="3596"/>
      <c r="N42" s="3596"/>
      <c r="O42" s="2701"/>
      <c r="P42" s="3162"/>
    </row>
    <row r="43" spans="1:16" ht="13.5" hidden="1" customHeight="1" thickBot="1">
      <c r="A43" s="3561"/>
      <c r="B43" s="2703" t="s">
        <v>20</v>
      </c>
      <c r="C43" s="3613"/>
      <c r="D43" s="235">
        <f>E43+F43+G43+H43+I43+J43+K43+L43</f>
        <v>0</v>
      </c>
      <c r="E43" s="805">
        <v>0</v>
      </c>
      <c r="F43" s="408"/>
      <c r="G43" s="408"/>
      <c r="H43" s="408"/>
      <c r="I43" s="408"/>
      <c r="J43" s="408"/>
      <c r="K43" s="408"/>
      <c r="L43" s="408"/>
      <c r="M43" s="3566"/>
      <c r="N43" s="3566"/>
      <c r="O43" s="2704"/>
      <c r="P43" s="3157"/>
    </row>
    <row r="44" spans="1:16" ht="24" customHeight="1">
      <c r="A44" s="3588" t="s">
        <v>304</v>
      </c>
      <c r="B44" s="1134" t="s">
        <v>556</v>
      </c>
      <c r="C44" s="1135" t="s">
        <v>101</v>
      </c>
      <c r="D44" s="1069"/>
      <c r="E44" s="1069"/>
      <c r="F44" s="1069"/>
      <c r="G44" s="1069"/>
      <c r="H44" s="1069"/>
      <c r="I44" s="1069"/>
      <c r="J44" s="1069"/>
      <c r="K44" s="1069"/>
      <c r="L44" s="1069"/>
      <c r="M44" s="1069">
        <f t="shared" ref="M44" si="32">+M48+M53</f>
        <v>0</v>
      </c>
      <c r="N44" s="1069"/>
      <c r="O44" s="3545" t="s">
        <v>310</v>
      </c>
      <c r="P44" s="3157"/>
    </row>
    <row r="45" spans="1:16">
      <c r="A45" s="3589"/>
      <c r="B45" s="779" t="s">
        <v>10</v>
      </c>
      <c r="C45" s="1136"/>
      <c r="D45" s="849">
        <f t="shared" ref="D45" si="33">+D46+D51</f>
        <v>1324368</v>
      </c>
      <c r="E45" s="1664">
        <f t="shared" ref="E45" si="34">+E46+E51</f>
        <v>0</v>
      </c>
      <c r="F45" s="1664">
        <f t="shared" ref="F45:H45" si="35">+F46+F51</f>
        <v>0</v>
      </c>
      <c r="G45" s="560">
        <f t="shared" si="35"/>
        <v>689604</v>
      </c>
      <c r="H45" s="560">
        <f t="shared" si="35"/>
        <v>634764</v>
      </c>
      <c r="I45" s="1664">
        <f t="shared" ref="I45:L45" si="36">+I46+I51</f>
        <v>0</v>
      </c>
      <c r="J45" s="1664">
        <f t="shared" si="36"/>
        <v>0</v>
      </c>
      <c r="K45" s="1664">
        <f t="shared" si="36"/>
        <v>0</v>
      </c>
      <c r="L45" s="1664">
        <f t="shared" si="36"/>
        <v>0</v>
      </c>
      <c r="M45" s="781">
        <f>+M46+M51</f>
        <v>1324368</v>
      </c>
      <c r="N45" s="781">
        <f>+N46+N51</f>
        <v>1324368</v>
      </c>
      <c r="O45" s="3546"/>
      <c r="P45" s="3158"/>
    </row>
    <row r="46" spans="1:16" ht="12.75" customHeight="1">
      <c r="A46" s="3589"/>
      <c r="B46" s="782" t="s">
        <v>23</v>
      </c>
      <c r="C46" s="3591" t="s">
        <v>307</v>
      </c>
      <c r="D46" s="590">
        <f t="shared" ref="D46:N46" si="37">+D47+D50</f>
        <v>198655</v>
      </c>
      <c r="E46" s="1665">
        <f t="shared" ref="E46" si="38">+E47+E50</f>
        <v>0</v>
      </c>
      <c r="F46" s="1665">
        <f t="shared" si="37"/>
        <v>0</v>
      </c>
      <c r="G46" s="590">
        <f t="shared" si="37"/>
        <v>103441</v>
      </c>
      <c r="H46" s="590">
        <f t="shared" si="37"/>
        <v>95214</v>
      </c>
      <c r="I46" s="1665">
        <f t="shared" ref="I46:L46" si="39">+I47+I50</f>
        <v>0</v>
      </c>
      <c r="J46" s="1665">
        <f t="shared" si="39"/>
        <v>0</v>
      </c>
      <c r="K46" s="1665">
        <f t="shared" si="39"/>
        <v>0</v>
      </c>
      <c r="L46" s="1665">
        <f t="shared" si="39"/>
        <v>0</v>
      </c>
      <c r="M46" s="851">
        <f t="shared" ref="M46" si="40">+M47+M50</f>
        <v>198655</v>
      </c>
      <c r="N46" s="851">
        <f t="shared" si="37"/>
        <v>198655</v>
      </c>
      <c r="O46" s="3546"/>
      <c r="P46" s="3157"/>
    </row>
    <row r="47" spans="1:16" ht="12" customHeight="1">
      <c r="A47" s="3589"/>
      <c r="B47" s="783" t="s">
        <v>12</v>
      </c>
      <c r="C47" s="3592"/>
      <c r="D47" s="235">
        <f>E47+F47+G47+H47+I47+J47+K47+L47</f>
        <v>198655</v>
      </c>
      <c r="E47" s="1667">
        <f t="shared" ref="E47:H47" si="41">+E48+E49</f>
        <v>0</v>
      </c>
      <c r="F47" s="1667">
        <f t="shared" si="41"/>
        <v>0</v>
      </c>
      <c r="G47" s="579">
        <f t="shared" si="41"/>
        <v>103441</v>
      </c>
      <c r="H47" s="579">
        <f t="shared" si="41"/>
        <v>95214</v>
      </c>
      <c r="I47" s="1667">
        <f t="shared" ref="I47:L47" si="42">+I48+I49</f>
        <v>0</v>
      </c>
      <c r="J47" s="1667">
        <f t="shared" si="42"/>
        <v>0</v>
      </c>
      <c r="K47" s="1667">
        <f t="shared" si="42"/>
        <v>0</v>
      </c>
      <c r="L47" s="1667">
        <f t="shared" si="42"/>
        <v>0</v>
      </c>
      <c r="M47" s="850">
        <f>SUM(F47:K47)</f>
        <v>198655</v>
      </c>
      <c r="N47" s="831">
        <f>SUM(G47:L47)</f>
        <v>198655</v>
      </c>
      <c r="O47" s="3546"/>
      <c r="P47" s="3157"/>
    </row>
    <row r="48" spans="1:16" s="3168" customFormat="1" ht="13.5" hidden="1" customHeight="1">
      <c r="A48" s="3589"/>
      <c r="B48" s="1668" t="s">
        <v>288</v>
      </c>
      <c r="C48" s="3592"/>
      <c r="D48" s="1669">
        <f>SUM(E48:L48)</f>
        <v>101173</v>
      </c>
      <c r="E48" s="1670">
        <v>0</v>
      </c>
      <c r="F48" s="1671">
        <v>0</v>
      </c>
      <c r="G48" s="1672">
        <v>51272</v>
      </c>
      <c r="H48" s="1672">
        <v>49901</v>
      </c>
      <c r="I48" s="1671">
        <v>0</v>
      </c>
      <c r="J48" s="1671">
        <v>0</v>
      </c>
      <c r="K48" s="1671">
        <v>0</v>
      </c>
      <c r="L48" s="1671">
        <v>0</v>
      </c>
      <c r="M48" s="784"/>
      <c r="N48" s="850">
        <f t="shared" ref="N48:N49" si="43">SUM(G48:L48)</f>
        <v>101173</v>
      </c>
      <c r="O48" s="3546"/>
      <c r="P48" s="3157"/>
    </row>
    <row r="49" spans="1:16" s="3168" customFormat="1" ht="13.5" hidden="1" customHeight="1">
      <c r="A49" s="3589"/>
      <c r="B49" s="1673" t="s">
        <v>305</v>
      </c>
      <c r="C49" s="3592"/>
      <c r="D49" s="1674">
        <f>SUM(E49:L49)</f>
        <v>97482</v>
      </c>
      <c r="E49" s="1675">
        <v>0</v>
      </c>
      <c r="F49" s="1676">
        <v>0</v>
      </c>
      <c r="G49" s="1677">
        <v>52169</v>
      </c>
      <c r="H49" s="1677">
        <v>45313</v>
      </c>
      <c r="I49" s="1676">
        <v>0</v>
      </c>
      <c r="J49" s="1676">
        <v>0</v>
      </c>
      <c r="K49" s="1676">
        <v>0</v>
      </c>
      <c r="L49" s="1676">
        <v>0</v>
      </c>
      <c r="M49" s="784"/>
      <c r="N49" s="850">
        <f t="shared" si="43"/>
        <v>97482</v>
      </c>
      <c r="O49" s="3546"/>
      <c r="P49" s="3157"/>
    </row>
    <row r="50" spans="1:16" ht="12.75" hidden="1" customHeight="1">
      <c r="A50" s="3589"/>
      <c r="B50" s="783" t="s">
        <v>13</v>
      </c>
      <c r="C50" s="3592"/>
      <c r="D50" s="785">
        <f>SUM(E50:G50)</f>
        <v>0</v>
      </c>
      <c r="E50" s="584">
        <v>0</v>
      </c>
      <c r="F50" s="584"/>
      <c r="G50" s="579"/>
      <c r="H50" s="579"/>
      <c r="I50" s="584"/>
      <c r="J50" s="584"/>
      <c r="K50" s="584"/>
      <c r="L50" s="584"/>
      <c r="M50" s="784">
        <f>SUM(E50:K50)</f>
        <v>0</v>
      </c>
      <c r="N50" s="1663">
        <f>SUM(F50:L50)</f>
        <v>0</v>
      </c>
      <c r="O50" s="3546"/>
      <c r="P50" s="3157"/>
    </row>
    <row r="51" spans="1:16" ht="12" customHeight="1">
      <c r="A51" s="3589"/>
      <c r="B51" s="782" t="s">
        <v>18</v>
      </c>
      <c r="C51" s="3592"/>
      <c r="D51" s="786">
        <f>+D52</f>
        <v>1125713</v>
      </c>
      <c r="E51" s="804">
        <f t="shared" ref="E51:L51" si="44">+E52</f>
        <v>0</v>
      </c>
      <c r="F51" s="804">
        <f t="shared" si="44"/>
        <v>0</v>
      </c>
      <c r="G51" s="786">
        <f t="shared" si="44"/>
        <v>586163</v>
      </c>
      <c r="H51" s="786">
        <f t="shared" si="44"/>
        <v>539550</v>
      </c>
      <c r="I51" s="804">
        <f t="shared" si="44"/>
        <v>0</v>
      </c>
      <c r="J51" s="804">
        <f t="shared" si="44"/>
        <v>0</v>
      </c>
      <c r="K51" s="804">
        <f t="shared" si="44"/>
        <v>0</v>
      </c>
      <c r="L51" s="804">
        <f t="shared" si="44"/>
        <v>0</v>
      </c>
      <c r="M51" s="852">
        <f>+M52</f>
        <v>1125713</v>
      </c>
      <c r="N51" s="852">
        <f>+N52</f>
        <v>1125713</v>
      </c>
      <c r="O51" s="3546"/>
      <c r="P51" s="3157"/>
    </row>
    <row r="52" spans="1:16" ht="12" customHeight="1" collapsed="1">
      <c r="A52" s="3589"/>
      <c r="B52" s="783" t="s">
        <v>20</v>
      </c>
      <c r="C52" s="3592"/>
      <c r="D52" s="235">
        <f>E52+F52+G52+H52+I52+J52+K52+L52</f>
        <v>1125713</v>
      </c>
      <c r="E52" s="584">
        <f t="shared" ref="E52:H52" si="45">+E53+E54</f>
        <v>0</v>
      </c>
      <c r="F52" s="584">
        <f t="shared" si="45"/>
        <v>0</v>
      </c>
      <c r="G52" s="579">
        <f t="shared" si="45"/>
        <v>586163</v>
      </c>
      <c r="H52" s="579">
        <f t="shared" si="45"/>
        <v>539550</v>
      </c>
      <c r="I52" s="584">
        <f t="shared" ref="I52:L52" si="46">+I53+I54</f>
        <v>0</v>
      </c>
      <c r="J52" s="584">
        <f t="shared" si="46"/>
        <v>0</v>
      </c>
      <c r="K52" s="584">
        <f t="shared" si="46"/>
        <v>0</v>
      </c>
      <c r="L52" s="584">
        <f t="shared" si="46"/>
        <v>0</v>
      </c>
      <c r="M52" s="850">
        <f>SUM(F52:K52)</f>
        <v>1125713</v>
      </c>
      <c r="N52" s="850">
        <f>SUM(G52:L52)</f>
        <v>1125713</v>
      </c>
      <c r="O52" s="3547"/>
      <c r="P52" s="3157"/>
    </row>
    <row r="53" spans="1:16" s="3168" customFormat="1" ht="13.5" hidden="1" customHeight="1">
      <c r="A53" s="3589"/>
      <c r="B53" s="1678" t="s">
        <v>288</v>
      </c>
      <c r="C53" s="810"/>
      <c r="D53" s="1679">
        <f>SUM(E53:L53)</f>
        <v>573315</v>
      </c>
      <c r="E53" s="1680">
        <v>0</v>
      </c>
      <c r="F53" s="1681">
        <v>0</v>
      </c>
      <c r="G53" s="1682">
        <v>290542</v>
      </c>
      <c r="H53" s="1682">
        <v>282773</v>
      </c>
      <c r="I53" s="1681">
        <v>0</v>
      </c>
      <c r="J53" s="1681">
        <v>0</v>
      </c>
      <c r="K53" s="1681">
        <v>0</v>
      </c>
      <c r="L53" s="1681">
        <v>0</v>
      </c>
      <c r="M53" s="784"/>
      <c r="N53" s="850">
        <f t="shared" ref="N53:N54" si="47">SUM(G53:L53)</f>
        <v>573315</v>
      </c>
      <c r="O53" s="1799"/>
      <c r="P53" s="3157"/>
    </row>
    <row r="54" spans="1:16" s="3168" customFormat="1" ht="12.75" hidden="1" customHeight="1">
      <c r="A54" s="3589"/>
      <c r="B54" s="1683" t="s">
        <v>305</v>
      </c>
      <c r="C54" s="1684"/>
      <c r="D54" s="1685">
        <f>SUM(E54:L54)</f>
        <v>552398</v>
      </c>
      <c r="E54" s="1686">
        <v>0</v>
      </c>
      <c r="F54" s="1687">
        <v>0</v>
      </c>
      <c r="G54" s="1688">
        <v>295621</v>
      </c>
      <c r="H54" s="1688">
        <v>256777</v>
      </c>
      <c r="I54" s="1687">
        <v>0</v>
      </c>
      <c r="J54" s="1687">
        <v>0</v>
      </c>
      <c r="K54" s="1687">
        <v>0</v>
      </c>
      <c r="L54" s="1687">
        <v>0</v>
      </c>
      <c r="M54" s="784"/>
      <c r="N54" s="850">
        <f t="shared" si="47"/>
        <v>552398</v>
      </c>
      <c r="O54" s="1799"/>
      <c r="P54" s="3157"/>
    </row>
    <row r="55" spans="1:16">
      <c r="A55" s="3590"/>
      <c r="B55" s="779" t="s">
        <v>21</v>
      </c>
      <c r="C55" s="780"/>
      <c r="D55" s="787">
        <f t="shared" ref="D55:H55" si="48">+D56+D58</f>
        <v>1125713</v>
      </c>
      <c r="E55" s="1689">
        <f t="shared" ref="E55" si="49">+E56+E58</f>
        <v>0</v>
      </c>
      <c r="F55" s="1689">
        <f t="shared" si="48"/>
        <v>0</v>
      </c>
      <c r="G55" s="787">
        <f t="shared" si="48"/>
        <v>586163</v>
      </c>
      <c r="H55" s="787">
        <f t="shared" si="48"/>
        <v>539550</v>
      </c>
      <c r="I55" s="1689">
        <f t="shared" ref="I55:L55" si="50">+I56+I58</f>
        <v>0</v>
      </c>
      <c r="J55" s="1689">
        <f t="shared" si="50"/>
        <v>0</v>
      </c>
      <c r="K55" s="1689">
        <f t="shared" si="50"/>
        <v>0</v>
      </c>
      <c r="L55" s="1689">
        <f t="shared" si="50"/>
        <v>0</v>
      </c>
      <c r="M55" s="3596" t="s">
        <v>53</v>
      </c>
      <c r="N55" s="3596" t="s">
        <v>53</v>
      </c>
      <c r="O55" s="3568" t="s">
        <v>305</v>
      </c>
      <c r="P55" s="3158">
        <f>G55-'[1]Tab. 6B Polit społ i rozwój prz'!$G$54</f>
        <v>0</v>
      </c>
    </row>
    <row r="56" spans="1:16" ht="13.5" hidden="1" customHeight="1">
      <c r="A56" s="3590"/>
      <c r="B56" s="782" t="s">
        <v>23</v>
      </c>
      <c r="C56" s="3593" t="s">
        <v>306</v>
      </c>
      <c r="D56" s="786">
        <f>+D57</f>
        <v>0</v>
      </c>
      <c r="E56" s="804">
        <f t="shared" ref="E56:L56" si="51">+E57</f>
        <v>0</v>
      </c>
      <c r="F56" s="804">
        <f t="shared" si="51"/>
        <v>0</v>
      </c>
      <c r="G56" s="786">
        <f t="shared" si="51"/>
        <v>0</v>
      </c>
      <c r="H56" s="786">
        <f t="shared" si="51"/>
        <v>0</v>
      </c>
      <c r="I56" s="804">
        <f t="shared" si="51"/>
        <v>0</v>
      </c>
      <c r="J56" s="804">
        <f t="shared" si="51"/>
        <v>0</v>
      </c>
      <c r="K56" s="804">
        <f t="shared" si="51"/>
        <v>0</v>
      </c>
      <c r="L56" s="804">
        <f t="shared" si="51"/>
        <v>0</v>
      </c>
      <c r="M56" s="3596"/>
      <c r="N56" s="3596"/>
      <c r="O56" s="3568"/>
      <c r="P56" s="3157"/>
    </row>
    <row r="57" spans="1:16" ht="13.5" hidden="1" customHeight="1">
      <c r="A57" s="3590"/>
      <c r="B57" s="783" t="s">
        <v>13</v>
      </c>
      <c r="C57" s="3594"/>
      <c r="D57" s="785">
        <f>SUM(E57:G57)</f>
        <v>0</v>
      </c>
      <c r="E57" s="1569"/>
      <c r="F57" s="1569"/>
      <c r="G57" s="785"/>
      <c r="H57" s="785"/>
      <c r="I57" s="1569"/>
      <c r="J57" s="1569"/>
      <c r="K57" s="1569"/>
      <c r="L57" s="1569"/>
      <c r="M57" s="3596"/>
      <c r="N57" s="3596"/>
      <c r="O57" s="3568"/>
      <c r="P57" s="3157"/>
    </row>
    <row r="58" spans="1:16" ht="12.75" customHeight="1">
      <c r="A58" s="3590"/>
      <c r="B58" s="782" t="s">
        <v>18</v>
      </c>
      <c r="C58" s="3594"/>
      <c r="D58" s="786">
        <f t="shared" ref="D58:L58" si="52">+D59</f>
        <v>1125713</v>
      </c>
      <c r="E58" s="804">
        <f t="shared" si="52"/>
        <v>0</v>
      </c>
      <c r="F58" s="804">
        <f t="shared" si="52"/>
        <v>0</v>
      </c>
      <c r="G58" s="786">
        <f t="shared" si="52"/>
        <v>586163</v>
      </c>
      <c r="H58" s="786">
        <f t="shared" si="52"/>
        <v>539550</v>
      </c>
      <c r="I58" s="804">
        <f t="shared" si="52"/>
        <v>0</v>
      </c>
      <c r="J58" s="804">
        <f t="shared" si="52"/>
        <v>0</v>
      </c>
      <c r="K58" s="804">
        <f t="shared" si="52"/>
        <v>0</v>
      </c>
      <c r="L58" s="804">
        <f t="shared" si="52"/>
        <v>0</v>
      </c>
      <c r="M58" s="3596"/>
      <c r="N58" s="3596"/>
      <c r="O58" s="3568"/>
      <c r="P58" s="3157"/>
    </row>
    <row r="59" spans="1:16" ht="11.25" customHeight="1" thickBot="1">
      <c r="A59" s="3561"/>
      <c r="B59" s="527" t="s">
        <v>20</v>
      </c>
      <c r="C59" s="3595"/>
      <c r="D59" s="766">
        <f>E59+F59+G59+H59+I59+J59+K59+L59</f>
        <v>1125713</v>
      </c>
      <c r="E59" s="510">
        <v>0</v>
      </c>
      <c r="F59" s="805">
        <v>0</v>
      </c>
      <c r="G59" s="408">
        <v>586163</v>
      </c>
      <c r="H59" s="408">
        <v>539550</v>
      </c>
      <c r="I59" s="805">
        <v>0</v>
      </c>
      <c r="J59" s="805">
        <v>0</v>
      </c>
      <c r="K59" s="805">
        <v>0</v>
      </c>
      <c r="L59" s="805">
        <v>0</v>
      </c>
      <c r="M59" s="3566"/>
      <c r="N59" s="3566"/>
      <c r="O59" s="3569"/>
      <c r="P59" s="3157"/>
    </row>
    <row r="60" spans="1:16" ht="0.6" customHeight="1">
      <c r="A60" s="2953"/>
      <c r="B60" s="809" t="s">
        <v>20</v>
      </c>
      <c r="C60" s="2954"/>
      <c r="D60" s="2648">
        <f>SUM(E60:G60)</f>
        <v>0</v>
      </c>
      <c r="E60" s="1319">
        <v>0</v>
      </c>
      <c r="F60" s="1319"/>
      <c r="G60" s="1319"/>
      <c r="H60" s="1319"/>
      <c r="I60" s="1319"/>
      <c r="J60" s="1319"/>
      <c r="K60" s="1319"/>
      <c r="L60" s="1319"/>
      <c r="M60" s="2955"/>
      <c r="N60" s="2955"/>
      <c r="O60" s="1817"/>
      <c r="P60" s="3157"/>
    </row>
    <row r="61" spans="1:16" ht="27" customHeight="1">
      <c r="A61" s="3583" t="s">
        <v>57</v>
      </c>
      <c r="B61" s="1850" t="s">
        <v>595</v>
      </c>
      <c r="C61" s="1851" t="s">
        <v>101</v>
      </c>
      <c r="D61" s="1069"/>
      <c r="E61" s="2638"/>
      <c r="F61" s="2638"/>
      <c r="G61" s="2638"/>
      <c r="H61" s="2638"/>
      <c r="I61" s="2638"/>
      <c r="J61" s="2638"/>
      <c r="K61" s="2638"/>
      <c r="L61" s="41"/>
      <c r="M61" s="1340"/>
      <c r="N61" s="1340"/>
      <c r="O61" s="3597" t="s">
        <v>521</v>
      </c>
      <c r="P61" s="3157"/>
    </row>
    <row r="62" spans="1:16" ht="12" customHeight="1">
      <c r="A62" s="3583"/>
      <c r="B62" s="1852" t="s">
        <v>10</v>
      </c>
      <c r="C62" s="1376"/>
      <c r="D62" s="1339">
        <f t="shared" ref="D62:L62" si="53">+D63+D66</f>
        <v>12441351</v>
      </c>
      <c r="E62" s="1339">
        <f t="shared" ref="E62" si="54">+E63+E66</f>
        <v>1741141</v>
      </c>
      <c r="F62" s="1339">
        <f t="shared" si="53"/>
        <v>1271441</v>
      </c>
      <c r="G62" s="1339">
        <f t="shared" si="53"/>
        <v>2030017</v>
      </c>
      <c r="H62" s="1339">
        <f t="shared" si="53"/>
        <v>1885382</v>
      </c>
      <c r="I62" s="1339">
        <f t="shared" si="53"/>
        <v>1885382</v>
      </c>
      <c r="J62" s="1339">
        <f t="shared" si="53"/>
        <v>1855719</v>
      </c>
      <c r="K62" s="1339">
        <f t="shared" si="53"/>
        <v>886134</v>
      </c>
      <c r="L62" s="1339">
        <f t="shared" si="53"/>
        <v>886135</v>
      </c>
      <c r="M62" s="1286">
        <f>+M63+M66</f>
        <v>9814075</v>
      </c>
      <c r="N62" s="1286">
        <f>+N63+N66</f>
        <v>9428769</v>
      </c>
      <c r="O62" s="3546"/>
      <c r="P62" s="3157"/>
    </row>
    <row r="63" spans="1:16" ht="12" customHeight="1">
      <c r="A63" s="3583"/>
      <c r="B63" s="1853" t="s">
        <v>23</v>
      </c>
      <c r="C63" s="3580" t="s">
        <v>112</v>
      </c>
      <c r="D63" s="1575">
        <f t="shared" ref="D63:L63" si="55">+D64+D65</f>
        <v>1955780</v>
      </c>
      <c r="E63" s="1575">
        <f t="shared" ref="E63" si="56">+E64+E65</f>
        <v>273708</v>
      </c>
      <c r="F63" s="1575">
        <f t="shared" si="55"/>
        <v>199870</v>
      </c>
      <c r="G63" s="1575">
        <f t="shared" si="55"/>
        <v>319119</v>
      </c>
      <c r="H63" s="1575">
        <f t="shared" si="55"/>
        <v>296382</v>
      </c>
      <c r="I63" s="1575">
        <f t="shared" si="55"/>
        <v>296382</v>
      </c>
      <c r="J63" s="1575">
        <f t="shared" si="55"/>
        <v>291719</v>
      </c>
      <c r="K63" s="1575">
        <f t="shared" si="55"/>
        <v>139300</v>
      </c>
      <c r="L63" s="1575">
        <f t="shared" si="55"/>
        <v>139300</v>
      </c>
      <c r="M63" s="1585">
        <f>+M64+M65</f>
        <v>1542772</v>
      </c>
      <c r="N63" s="1585">
        <f>+N64+N65</f>
        <v>1482202</v>
      </c>
      <c r="O63" s="3546"/>
      <c r="P63" s="3157"/>
    </row>
    <row r="64" spans="1:16" ht="12" customHeight="1">
      <c r="A64" s="3583"/>
      <c r="B64" s="1854" t="s">
        <v>12</v>
      </c>
      <c r="C64" s="3550"/>
      <c r="D64" s="1216">
        <f>E64+F64+G64+H64+I64+J64+K64+L64</f>
        <v>1955780</v>
      </c>
      <c r="E64" s="1262">
        <v>273708</v>
      </c>
      <c r="F64" s="1297">
        <f>219137+39195+186-30030-28618</f>
        <v>199870</v>
      </c>
      <c r="G64" s="1297">
        <f>219137+40716-186+30030+29422</f>
        <v>319119</v>
      </c>
      <c r="H64" s="1297">
        <f>354390-58008</f>
        <v>296382</v>
      </c>
      <c r="I64" s="1297">
        <f>354390-58008</f>
        <v>296382</v>
      </c>
      <c r="J64" s="1297">
        <v>291719</v>
      </c>
      <c r="K64" s="1297">
        <v>139300</v>
      </c>
      <c r="L64" s="1297">
        <v>139300</v>
      </c>
      <c r="M64" s="1595">
        <f>SUM(F64:K64)</f>
        <v>1542772</v>
      </c>
      <c r="N64" s="1595">
        <f>SUM(G64:L64)</f>
        <v>1482202</v>
      </c>
      <c r="O64" s="3546"/>
      <c r="P64" s="3157"/>
    </row>
    <row r="65" spans="1:16" ht="12" hidden="1" customHeight="1">
      <c r="A65" s="3583"/>
      <c r="B65" s="1854" t="s">
        <v>13</v>
      </c>
      <c r="C65" s="3550"/>
      <c r="D65" s="1305"/>
      <c r="E65" s="1297"/>
      <c r="F65" s="1297"/>
      <c r="G65" s="1297"/>
      <c r="H65" s="1297"/>
      <c r="I65" s="1297"/>
      <c r="J65" s="1297"/>
      <c r="K65" s="1297"/>
      <c r="L65" s="1297"/>
      <c r="M65" s="1595">
        <f>SUM(F65:K65)</f>
        <v>0</v>
      </c>
      <c r="N65" s="1595">
        <f>SUM(G65:L65)</f>
        <v>0</v>
      </c>
      <c r="O65" s="3546"/>
      <c r="P65" s="3157"/>
    </row>
    <row r="66" spans="1:16" ht="12" customHeight="1">
      <c r="A66" s="3583"/>
      <c r="B66" s="1855" t="s">
        <v>18</v>
      </c>
      <c r="C66" s="3550"/>
      <c r="D66" s="1294">
        <f>+D67</f>
        <v>10485571</v>
      </c>
      <c r="E66" s="1294">
        <f t="shared" ref="E66:L66" si="57">+E67</f>
        <v>1467433</v>
      </c>
      <c r="F66" s="1294">
        <f t="shared" si="57"/>
        <v>1071571</v>
      </c>
      <c r="G66" s="1294">
        <f t="shared" si="57"/>
        <v>1710898</v>
      </c>
      <c r="H66" s="1294">
        <f t="shared" si="57"/>
        <v>1589000</v>
      </c>
      <c r="I66" s="1294">
        <f t="shared" si="57"/>
        <v>1589000</v>
      </c>
      <c r="J66" s="1294">
        <f t="shared" si="57"/>
        <v>1564000</v>
      </c>
      <c r="K66" s="1294">
        <f t="shared" si="57"/>
        <v>746834</v>
      </c>
      <c r="L66" s="1294">
        <f t="shared" si="57"/>
        <v>746835</v>
      </c>
      <c r="M66" s="1373">
        <f>+M67</f>
        <v>8271303</v>
      </c>
      <c r="N66" s="1373">
        <f>+N67</f>
        <v>7946567</v>
      </c>
      <c r="O66" s="3546"/>
      <c r="P66" s="3157"/>
    </row>
    <row r="67" spans="1:16" ht="11.25" customHeight="1">
      <c r="A67" s="3583"/>
      <c r="B67" s="1854" t="s">
        <v>20</v>
      </c>
      <c r="C67" s="3550"/>
      <c r="D67" s="1216">
        <f>E67+F67+G67+H67+I67+J67+K67+L67</f>
        <v>10485571</v>
      </c>
      <c r="E67" s="1262">
        <v>1467433</v>
      </c>
      <c r="F67" s="1297">
        <f>1174863+210137+1000-161000-153429</f>
        <v>1071571</v>
      </c>
      <c r="G67" s="1297">
        <f>1174863+218294-1000+161000+157741</f>
        <v>1710898</v>
      </c>
      <c r="H67" s="1297">
        <f>1900000-311000</f>
        <v>1589000</v>
      </c>
      <c r="I67" s="1297">
        <f>1900000-311000</f>
        <v>1589000</v>
      </c>
      <c r="J67" s="1297">
        <v>1564000</v>
      </c>
      <c r="K67" s="1297">
        <v>746834</v>
      </c>
      <c r="L67" s="1297">
        <v>746835</v>
      </c>
      <c r="M67" s="1595">
        <f>SUM(F67:K67)</f>
        <v>8271303</v>
      </c>
      <c r="N67" s="1595">
        <f>SUM(G67:L67)</f>
        <v>7946567</v>
      </c>
      <c r="O67" s="3547"/>
      <c r="P67" s="3157"/>
    </row>
    <row r="68" spans="1:16">
      <c r="A68" s="3583"/>
      <c r="B68" s="1852" t="s">
        <v>21</v>
      </c>
      <c r="C68" s="1376"/>
      <c r="D68" s="1596">
        <f t="shared" ref="D68" si="58">+D69+D71</f>
        <v>10485571</v>
      </c>
      <c r="E68" s="1596">
        <f t="shared" ref="E68" si="59">+E69+E71</f>
        <v>1467433</v>
      </c>
      <c r="F68" s="1596">
        <f>+F69+F71</f>
        <v>1071571</v>
      </c>
      <c r="G68" s="1596">
        <f>+G69+G71</f>
        <v>1710898</v>
      </c>
      <c r="H68" s="1596">
        <f t="shared" ref="H68:L68" si="60">+H69+H71</f>
        <v>1589000</v>
      </c>
      <c r="I68" s="1596">
        <f t="shared" si="60"/>
        <v>1589000</v>
      </c>
      <c r="J68" s="1596">
        <f t="shared" si="60"/>
        <v>1564000</v>
      </c>
      <c r="K68" s="1596">
        <f t="shared" si="60"/>
        <v>746834</v>
      </c>
      <c r="L68" s="1596">
        <f t="shared" si="60"/>
        <v>746835</v>
      </c>
      <c r="M68" s="3551" t="s">
        <v>53</v>
      </c>
      <c r="N68" s="3551" t="s">
        <v>53</v>
      </c>
      <c r="O68" s="2149"/>
      <c r="P68" s="3169">
        <f>'[2]Tab. 6B Polit społ i rozwój prz'!$M$162+'[2]Tab. 6B Polit społ i rozwój prz'!$P$162-E68</f>
        <v>0</v>
      </c>
    </row>
    <row r="69" spans="1:16" ht="12" hidden="1" customHeight="1">
      <c r="A69" s="3583"/>
      <c r="B69" s="1853" t="s">
        <v>23</v>
      </c>
      <c r="C69" s="3585" t="s">
        <v>112</v>
      </c>
      <c r="D69" s="1294">
        <f t="shared" ref="D69:L69" si="61">+D70</f>
        <v>0</v>
      </c>
      <c r="E69" s="1294">
        <f t="shared" si="61"/>
        <v>0</v>
      </c>
      <c r="F69" s="1294">
        <f t="shared" si="61"/>
        <v>0</v>
      </c>
      <c r="G69" s="1294">
        <f t="shared" si="61"/>
        <v>0</v>
      </c>
      <c r="H69" s="1294">
        <f t="shared" si="61"/>
        <v>0</v>
      </c>
      <c r="I69" s="1294">
        <f t="shared" si="61"/>
        <v>0</v>
      </c>
      <c r="J69" s="1294">
        <f t="shared" si="61"/>
        <v>0</v>
      </c>
      <c r="K69" s="1294">
        <f t="shared" si="61"/>
        <v>0</v>
      </c>
      <c r="L69" s="1294">
        <f t="shared" si="61"/>
        <v>0</v>
      </c>
      <c r="M69" s="3551"/>
      <c r="N69" s="3551"/>
      <c r="O69" s="2149"/>
      <c r="P69" s="3157"/>
    </row>
    <row r="70" spans="1:16" ht="12" hidden="1" customHeight="1">
      <c r="A70" s="3583"/>
      <c r="B70" s="1854" t="s">
        <v>13</v>
      </c>
      <c r="C70" s="3550"/>
      <c r="D70" s="1305"/>
      <c r="E70" s="1305">
        <v>0</v>
      </c>
      <c r="F70" s="1305"/>
      <c r="G70" s="1305"/>
      <c r="H70" s="1305"/>
      <c r="I70" s="1305"/>
      <c r="J70" s="1305"/>
      <c r="K70" s="1305"/>
      <c r="L70" s="1305"/>
      <c r="M70" s="3551"/>
      <c r="N70" s="3551"/>
      <c r="O70" s="2149"/>
      <c r="P70" s="3157"/>
    </row>
    <row r="71" spans="1:16" ht="12" customHeight="1">
      <c r="A71" s="3583"/>
      <c r="B71" s="1855" t="s">
        <v>18</v>
      </c>
      <c r="C71" s="3586"/>
      <c r="D71" s="1294">
        <f t="shared" ref="D71:L71" si="62">+D72</f>
        <v>10485571</v>
      </c>
      <c r="E71" s="1294">
        <f t="shared" si="62"/>
        <v>1467433</v>
      </c>
      <c r="F71" s="1294">
        <f t="shared" si="62"/>
        <v>1071571</v>
      </c>
      <c r="G71" s="1294">
        <f t="shared" si="62"/>
        <v>1710898</v>
      </c>
      <c r="H71" s="1294">
        <f t="shared" si="62"/>
        <v>1589000</v>
      </c>
      <c r="I71" s="1294">
        <f t="shared" si="62"/>
        <v>1589000</v>
      </c>
      <c r="J71" s="1294">
        <f t="shared" si="62"/>
        <v>1564000</v>
      </c>
      <c r="K71" s="1294">
        <f t="shared" si="62"/>
        <v>746834</v>
      </c>
      <c r="L71" s="1294">
        <f t="shared" si="62"/>
        <v>746835</v>
      </c>
      <c r="M71" s="3551"/>
      <c r="N71" s="3551"/>
      <c r="O71" s="2957" t="s">
        <v>639</v>
      </c>
      <c r="P71" s="3158">
        <f>G68-'[1]Tab. 6B Polit społ i rozwój prz'!$G$67</f>
        <v>157741</v>
      </c>
    </row>
    <row r="72" spans="1:16" ht="12" customHeight="1" thickBot="1">
      <c r="A72" s="3584"/>
      <c r="B72" s="1856" t="s">
        <v>20</v>
      </c>
      <c r="C72" s="3587"/>
      <c r="D72" s="1382">
        <f>E72+F72+G72+H72+I72+J72+K72+L72</f>
        <v>10485571</v>
      </c>
      <c r="E72" s="1382">
        <v>1467433</v>
      </c>
      <c r="F72" s="1586">
        <f>1174863+210137+1000-161000-153429</f>
        <v>1071571</v>
      </c>
      <c r="G72" s="1586">
        <f>1174863+218294-1000+161000+157741</f>
        <v>1710898</v>
      </c>
      <c r="H72" s="1586">
        <f>1900000-311000</f>
        <v>1589000</v>
      </c>
      <c r="I72" s="1586">
        <f>1900000-311000</f>
        <v>1589000</v>
      </c>
      <c r="J72" s="1586">
        <v>1564000</v>
      </c>
      <c r="K72" s="1586">
        <v>746834</v>
      </c>
      <c r="L72" s="1586">
        <v>746835</v>
      </c>
      <c r="M72" s="3369"/>
      <c r="N72" s="3369"/>
      <c r="O72" s="2150"/>
      <c r="P72" s="3157"/>
    </row>
    <row r="73" spans="1:16" ht="25.5" customHeight="1">
      <c r="A73" s="3628" t="s">
        <v>58</v>
      </c>
      <c r="B73" s="2927" t="s">
        <v>635</v>
      </c>
      <c r="C73" s="1135" t="s">
        <v>74</v>
      </c>
      <c r="D73" s="1069"/>
      <c r="E73" s="2638"/>
      <c r="F73" s="2638"/>
      <c r="G73" s="2638"/>
      <c r="H73" s="2638"/>
      <c r="I73" s="2638"/>
      <c r="J73" s="2638"/>
      <c r="K73" s="2638"/>
      <c r="L73" s="41"/>
      <c r="M73" s="526"/>
      <c r="N73" s="526"/>
      <c r="O73" s="3545" t="s">
        <v>522</v>
      </c>
      <c r="P73" s="3157"/>
    </row>
    <row r="74" spans="1:16" ht="14.25" customHeight="1">
      <c r="A74" s="3629"/>
      <c r="B74" s="1852" t="s">
        <v>10</v>
      </c>
      <c r="C74" s="1376"/>
      <c r="D74" s="1339">
        <f t="shared" ref="D74:F74" si="63">+D75+D78</f>
        <v>31387</v>
      </c>
      <c r="E74" s="1339">
        <f t="shared" ref="E74" si="64">+E75+E78</f>
        <v>18705</v>
      </c>
      <c r="F74" s="1339">
        <f t="shared" si="63"/>
        <v>12682</v>
      </c>
      <c r="G74" s="1339"/>
      <c r="H74" s="1339"/>
      <c r="I74" s="1339"/>
      <c r="J74" s="1339"/>
      <c r="K74" s="1339"/>
      <c r="L74" s="1339"/>
      <c r="M74" s="1286">
        <f>+M75+M78</f>
        <v>12682</v>
      </c>
      <c r="N74" s="1286">
        <f>+N75+N78</f>
        <v>0</v>
      </c>
      <c r="O74" s="3546"/>
      <c r="P74" s="3157"/>
    </row>
    <row r="75" spans="1:16" ht="12" customHeight="1">
      <c r="A75" s="3629"/>
      <c r="B75" s="1853" t="s">
        <v>23</v>
      </c>
      <c r="C75" s="3580" t="s">
        <v>112</v>
      </c>
      <c r="D75" s="1575">
        <f t="shared" ref="D75:F75" si="65">+D76+D77</f>
        <v>4934</v>
      </c>
      <c r="E75" s="1575">
        <f t="shared" ref="E75" si="66">+E76+E77</f>
        <v>2940</v>
      </c>
      <c r="F75" s="1575">
        <f t="shared" si="65"/>
        <v>1994</v>
      </c>
      <c r="G75" s="1575"/>
      <c r="H75" s="1575"/>
      <c r="I75" s="1575"/>
      <c r="J75" s="1575"/>
      <c r="K75" s="1575"/>
      <c r="L75" s="1575"/>
      <c r="M75" s="1585">
        <f>+M76+M77</f>
        <v>1994</v>
      </c>
      <c r="N75" s="1585">
        <f>+N76+N77</f>
        <v>0</v>
      </c>
      <c r="O75" s="3546"/>
      <c r="P75" s="3157"/>
    </row>
    <row r="76" spans="1:16" ht="12" customHeight="1">
      <c r="A76" s="3629"/>
      <c r="B76" s="1854" t="s">
        <v>12</v>
      </c>
      <c r="C76" s="3550"/>
      <c r="D76" s="1216">
        <f>E76+F76+G76+H76+I76+J76+K76+L76</f>
        <v>4934</v>
      </c>
      <c r="E76" s="1262">
        <v>2940</v>
      </c>
      <c r="F76" s="1297">
        <f>2798-804</f>
        <v>1994</v>
      </c>
      <c r="G76" s="1297"/>
      <c r="H76" s="1297"/>
      <c r="I76" s="1297"/>
      <c r="J76" s="1297"/>
      <c r="K76" s="1297"/>
      <c r="L76" s="1297"/>
      <c r="M76" s="1595">
        <f>SUM(F76:K76)</f>
        <v>1994</v>
      </c>
      <c r="N76" s="1595">
        <f>SUM(G76:L76)</f>
        <v>0</v>
      </c>
      <c r="O76" s="3546"/>
      <c r="P76" s="3157"/>
    </row>
    <row r="77" spans="1:16" ht="12" hidden="1" customHeight="1">
      <c r="A77" s="3629"/>
      <c r="B77" s="1854" t="s">
        <v>13</v>
      </c>
      <c r="C77" s="3550"/>
      <c r="D77" s="1305"/>
      <c r="E77" s="1297"/>
      <c r="F77" s="1297"/>
      <c r="G77" s="1297"/>
      <c r="H77" s="1297"/>
      <c r="I77" s="1297"/>
      <c r="J77" s="1297"/>
      <c r="K77" s="1297"/>
      <c r="L77" s="1297"/>
      <c r="M77" s="1595">
        <f>SUM(F77:K77)</f>
        <v>0</v>
      </c>
      <c r="N77" s="1595">
        <f>SUM(G77:L77)</f>
        <v>0</v>
      </c>
      <c r="O77" s="3546"/>
      <c r="P77" s="3157"/>
    </row>
    <row r="78" spans="1:16" ht="12" customHeight="1">
      <c r="A78" s="3629"/>
      <c r="B78" s="1855" t="s">
        <v>18</v>
      </c>
      <c r="C78" s="3550"/>
      <c r="D78" s="1294">
        <f>+D79</f>
        <v>26453</v>
      </c>
      <c r="E78" s="1294">
        <f t="shared" ref="E78:F78" si="67">+E79</f>
        <v>15765</v>
      </c>
      <c r="F78" s="1294">
        <f t="shared" si="67"/>
        <v>10688</v>
      </c>
      <c r="G78" s="1294"/>
      <c r="H78" s="1294"/>
      <c r="I78" s="1294"/>
      <c r="J78" s="1294"/>
      <c r="K78" s="1294"/>
      <c r="L78" s="1294"/>
      <c r="M78" s="1373">
        <f>+M79</f>
        <v>10688</v>
      </c>
      <c r="N78" s="1373">
        <f>+N79</f>
        <v>0</v>
      </c>
      <c r="O78" s="3546"/>
      <c r="P78" s="3157"/>
    </row>
    <row r="79" spans="1:16" ht="12" customHeight="1">
      <c r="A79" s="3629"/>
      <c r="B79" s="1854" t="s">
        <v>20</v>
      </c>
      <c r="C79" s="3550"/>
      <c r="D79" s="1216">
        <f>E79+F79+G79+H79+I79+J79+K79+L79</f>
        <v>26453</v>
      </c>
      <c r="E79" s="1262">
        <v>15765</v>
      </c>
      <c r="F79" s="1297">
        <f>15000-4312</f>
        <v>10688</v>
      </c>
      <c r="G79" s="1297"/>
      <c r="H79" s="1297"/>
      <c r="I79" s="1297"/>
      <c r="J79" s="1297"/>
      <c r="K79" s="1297"/>
      <c r="L79" s="1297"/>
      <c r="M79" s="1595">
        <f>SUM(F79:K79)</f>
        <v>10688</v>
      </c>
      <c r="N79" s="1595">
        <f>SUM(G79:L79)</f>
        <v>0</v>
      </c>
      <c r="O79" s="3547"/>
      <c r="P79" s="3157"/>
    </row>
    <row r="80" spans="1:16">
      <c r="A80" s="3629"/>
      <c r="B80" s="1852" t="s">
        <v>21</v>
      </c>
      <c r="C80" s="1376"/>
      <c r="D80" s="1596">
        <f t="shared" ref="D80" si="68">+D81+D83</f>
        <v>26453</v>
      </c>
      <c r="E80" s="1596">
        <f t="shared" ref="E80" si="69">+E81+E83</f>
        <v>15765</v>
      </c>
      <c r="F80" s="1596">
        <f>+F81+F83</f>
        <v>10688</v>
      </c>
      <c r="G80" s="1596"/>
      <c r="H80" s="1596"/>
      <c r="I80" s="1596"/>
      <c r="J80" s="1596"/>
      <c r="K80" s="1596"/>
      <c r="L80" s="1596"/>
      <c r="M80" s="3551" t="s">
        <v>53</v>
      </c>
      <c r="N80" s="3551" t="s">
        <v>53</v>
      </c>
      <c r="O80" s="3541" t="s">
        <v>639</v>
      </c>
      <c r="P80" s="3157"/>
    </row>
    <row r="81" spans="1:19" ht="12" hidden="1" customHeight="1">
      <c r="A81" s="3629"/>
      <c r="B81" s="1853" t="s">
        <v>23</v>
      </c>
      <c r="C81" s="3585" t="s">
        <v>112</v>
      </c>
      <c r="D81" s="1294">
        <f t="shared" ref="D81:E81" si="70">+D82</f>
        <v>0</v>
      </c>
      <c r="E81" s="1294">
        <f t="shared" si="70"/>
        <v>0</v>
      </c>
      <c r="F81" s="1294"/>
      <c r="G81" s="1294"/>
      <c r="H81" s="1294"/>
      <c r="I81" s="1294"/>
      <c r="J81" s="1294"/>
      <c r="K81" s="1294"/>
      <c r="L81" s="1294"/>
      <c r="M81" s="3551"/>
      <c r="N81" s="3551"/>
      <c r="O81" s="3542"/>
      <c r="P81" s="3157"/>
    </row>
    <row r="82" spans="1:19" ht="12" hidden="1" customHeight="1">
      <c r="A82" s="3629"/>
      <c r="B82" s="1854" t="s">
        <v>13</v>
      </c>
      <c r="C82" s="3550"/>
      <c r="D82" s="1305"/>
      <c r="E82" s="1305">
        <v>0</v>
      </c>
      <c r="F82" s="1305"/>
      <c r="G82" s="1305"/>
      <c r="H82" s="1305"/>
      <c r="I82" s="1305"/>
      <c r="J82" s="1305"/>
      <c r="K82" s="1305"/>
      <c r="L82" s="1305"/>
      <c r="M82" s="3551"/>
      <c r="N82" s="3551"/>
      <c r="O82" s="3542"/>
      <c r="P82" s="3157"/>
    </row>
    <row r="83" spans="1:19" ht="12" customHeight="1">
      <c r="A83" s="3629"/>
      <c r="B83" s="1855" t="s">
        <v>18</v>
      </c>
      <c r="C83" s="3586"/>
      <c r="D83" s="1294">
        <f t="shared" ref="D83:F83" si="71">+D84</f>
        <v>26453</v>
      </c>
      <c r="E83" s="1294">
        <f t="shared" si="71"/>
        <v>15765</v>
      </c>
      <c r="F83" s="1294">
        <f t="shared" si="71"/>
        <v>10688</v>
      </c>
      <c r="G83" s="1294"/>
      <c r="H83" s="1294"/>
      <c r="I83" s="1294"/>
      <c r="J83" s="1294"/>
      <c r="K83" s="1294"/>
      <c r="L83" s="1294"/>
      <c r="M83" s="3551"/>
      <c r="N83" s="3581"/>
      <c r="O83" s="3542"/>
      <c r="P83" s="3157"/>
    </row>
    <row r="84" spans="1:19" ht="12" customHeight="1" thickBot="1">
      <c r="A84" s="3584"/>
      <c r="B84" s="1381" t="s">
        <v>20</v>
      </c>
      <c r="C84" s="3587"/>
      <c r="D84" s="1570">
        <f>E84+F84+G84+H84+I84+J84+K84+L84</f>
        <v>26453</v>
      </c>
      <c r="E84" s="1570">
        <v>15765</v>
      </c>
      <c r="F84" s="1586">
        <f>15000-4312</f>
        <v>10688</v>
      </c>
      <c r="G84" s="1586"/>
      <c r="H84" s="1586"/>
      <c r="I84" s="1586"/>
      <c r="J84" s="1586"/>
      <c r="K84" s="1586"/>
      <c r="L84" s="1586"/>
      <c r="M84" s="3369"/>
      <c r="N84" s="3582"/>
      <c r="O84" s="3543"/>
      <c r="P84" s="3157"/>
    </row>
    <row r="85" spans="1:19" ht="18" customHeight="1">
      <c r="A85" s="3628" t="s">
        <v>59</v>
      </c>
      <c r="B85" s="2927" t="s">
        <v>296</v>
      </c>
      <c r="C85" s="1135" t="s">
        <v>101</v>
      </c>
      <c r="D85" s="1069"/>
      <c r="E85" s="2638"/>
      <c r="F85" s="2638"/>
      <c r="G85" s="2638"/>
      <c r="H85" s="2638"/>
      <c r="I85" s="2638"/>
      <c r="J85" s="2638"/>
      <c r="K85" s="2638"/>
      <c r="L85" s="41"/>
      <c r="M85" s="526"/>
      <c r="N85" s="3270"/>
      <c r="O85" s="3545" t="s">
        <v>638</v>
      </c>
      <c r="P85" s="3157"/>
      <c r="S85" s="3170"/>
    </row>
    <row r="86" spans="1:19" ht="12" customHeight="1">
      <c r="A86" s="3629"/>
      <c r="B86" s="1852" t="s">
        <v>10</v>
      </c>
      <c r="C86" s="1376"/>
      <c r="D86" s="1339">
        <f>+D87+D90</f>
        <v>75113491</v>
      </c>
      <c r="E86" s="1339">
        <f t="shared" ref="E86" si="72">+E87+E90</f>
        <v>8674017</v>
      </c>
      <c r="F86" s="1339">
        <f t="shared" ref="F86:N86" si="73">+F87+F90</f>
        <v>9468946</v>
      </c>
      <c r="G86" s="1339">
        <f t="shared" si="73"/>
        <v>10487875</v>
      </c>
      <c r="H86" s="1339">
        <f t="shared" si="73"/>
        <v>10594275</v>
      </c>
      <c r="I86" s="1339">
        <f t="shared" si="73"/>
        <v>9701275</v>
      </c>
      <c r="J86" s="1339">
        <f t="shared" si="73"/>
        <v>9597275</v>
      </c>
      <c r="K86" s="1339">
        <f t="shared" si="73"/>
        <v>8877275</v>
      </c>
      <c r="L86" s="1339">
        <f t="shared" si="73"/>
        <v>7712553</v>
      </c>
      <c r="M86" s="1286">
        <f t="shared" ref="M86" si="74">+M87+M90</f>
        <v>66439474</v>
      </c>
      <c r="N86" s="2539">
        <f t="shared" si="73"/>
        <v>56970528</v>
      </c>
      <c r="O86" s="3546"/>
      <c r="P86" s="3158"/>
      <c r="Q86" s="3159"/>
      <c r="R86" s="3159"/>
      <c r="S86" s="3159"/>
    </row>
    <row r="87" spans="1:19" ht="14.25" customHeight="1">
      <c r="A87" s="3629"/>
      <c r="B87" s="1853" t="s">
        <v>23</v>
      </c>
      <c r="C87" s="3580" t="s">
        <v>112</v>
      </c>
      <c r="D87" s="1575">
        <f t="shared" ref="D87" si="75">+D88+D89</f>
        <v>11267023</v>
      </c>
      <c r="E87" s="1575">
        <f t="shared" ref="E87" si="76">+E88+E89</f>
        <v>1301102</v>
      </c>
      <c r="F87" s="1575">
        <f t="shared" ref="F87:N87" si="77">+F88+F89</f>
        <v>1420342</v>
      </c>
      <c r="G87" s="1575">
        <f t="shared" si="77"/>
        <v>1573180</v>
      </c>
      <c r="H87" s="1575">
        <f t="shared" si="77"/>
        <v>1589141</v>
      </c>
      <c r="I87" s="1575">
        <f t="shared" si="77"/>
        <v>1455191</v>
      </c>
      <c r="J87" s="1575">
        <f t="shared" si="77"/>
        <v>1439591</v>
      </c>
      <c r="K87" s="1575">
        <f t="shared" si="77"/>
        <v>1331592</v>
      </c>
      <c r="L87" s="1575">
        <f t="shared" si="77"/>
        <v>1156884</v>
      </c>
      <c r="M87" s="1585">
        <f t="shared" ref="M87" si="78">+M88+M89</f>
        <v>9965921</v>
      </c>
      <c r="N87" s="2553">
        <f t="shared" si="77"/>
        <v>8545579</v>
      </c>
      <c r="O87" s="3546"/>
      <c r="P87" s="3157"/>
    </row>
    <row r="88" spans="1:19" ht="13.5" customHeight="1" thickBot="1">
      <c r="A88" s="3629"/>
      <c r="B88" s="1854" t="s">
        <v>12</v>
      </c>
      <c r="C88" s="3550"/>
      <c r="D88" s="1216">
        <f>E88+F88+G88+H88+I88+J88+K88+L88</f>
        <v>11267023</v>
      </c>
      <c r="E88" s="1262">
        <v>1301102</v>
      </c>
      <c r="F88" s="1249">
        <f>1467941+1868-1500+27303+9532-84702-100</f>
        <v>1420342</v>
      </c>
      <c r="G88" s="1249">
        <f>1467941+12137+74749+18353</f>
        <v>1573180</v>
      </c>
      <c r="H88" s="1249">
        <f>1452191+69000+67950</f>
        <v>1589141</v>
      </c>
      <c r="I88" s="1249">
        <v>1455191</v>
      </c>
      <c r="J88" s="1249">
        <v>1439591</v>
      </c>
      <c r="K88" s="1249">
        <v>1331592</v>
      </c>
      <c r="L88" s="1249">
        <f>1299583-74749-67950</f>
        <v>1156884</v>
      </c>
      <c r="M88" s="1595">
        <f>SUM(F88:L88)</f>
        <v>9965921</v>
      </c>
      <c r="N88" s="2554">
        <f>SUM(G88:L88)</f>
        <v>8545579</v>
      </c>
      <c r="O88" s="3546"/>
      <c r="P88" s="3158">
        <f>+N88-D88</f>
        <v>-2721444</v>
      </c>
    </row>
    <row r="89" spans="1:19" ht="13.5" hidden="1" customHeight="1" thickBot="1">
      <c r="A89" s="3642"/>
      <c r="B89" s="1854" t="s">
        <v>13</v>
      </c>
      <c r="C89" s="3550"/>
      <c r="D89" s="1216">
        <f>E89+F89+G89+H89+I89+J89+K89+L89</f>
        <v>0</v>
      </c>
      <c r="E89" s="1297">
        <v>0</v>
      </c>
      <c r="F89" s="1297"/>
      <c r="G89" s="1297"/>
      <c r="H89" s="1297"/>
      <c r="I89" s="1297"/>
      <c r="J89" s="1297"/>
      <c r="K89" s="1297"/>
      <c r="L89" s="1297"/>
      <c r="M89" s="1595">
        <f>SUM(F89:K89)</f>
        <v>0</v>
      </c>
      <c r="N89" s="2554">
        <f>SUM(G89:L89)</f>
        <v>0</v>
      </c>
      <c r="O89" s="3554"/>
      <c r="P89" s="3157"/>
    </row>
    <row r="90" spans="1:19" ht="13.5" customHeight="1" thickBot="1">
      <c r="A90" s="3633"/>
      <c r="B90" s="1855" t="s">
        <v>18</v>
      </c>
      <c r="C90" s="3550"/>
      <c r="D90" s="1294">
        <f>+D91</f>
        <v>63846468</v>
      </c>
      <c r="E90" s="1294">
        <f t="shared" ref="E90:N90" si="79">+E91</f>
        <v>7372915</v>
      </c>
      <c r="F90" s="1294">
        <f t="shared" si="79"/>
        <v>8048604</v>
      </c>
      <c r="G90" s="1294">
        <f t="shared" si="79"/>
        <v>8914695</v>
      </c>
      <c r="H90" s="1294">
        <f t="shared" si="79"/>
        <v>9005134</v>
      </c>
      <c r="I90" s="1294">
        <f t="shared" si="79"/>
        <v>8246084</v>
      </c>
      <c r="J90" s="1294">
        <f t="shared" si="79"/>
        <v>8157684</v>
      </c>
      <c r="K90" s="1294">
        <f t="shared" si="79"/>
        <v>7545683</v>
      </c>
      <c r="L90" s="1294">
        <f t="shared" si="79"/>
        <v>6555669</v>
      </c>
      <c r="M90" s="1373">
        <f t="shared" si="79"/>
        <v>56473553</v>
      </c>
      <c r="N90" s="2555">
        <f t="shared" si="79"/>
        <v>48424949</v>
      </c>
      <c r="O90" s="3544"/>
      <c r="P90" s="3158">
        <f>+N90-D90</f>
        <v>-15421519</v>
      </c>
    </row>
    <row r="91" spans="1:19" ht="13.5" customHeight="1">
      <c r="A91" s="3633"/>
      <c r="B91" s="1854" t="s">
        <v>20</v>
      </c>
      <c r="C91" s="3550"/>
      <c r="D91" s="1216">
        <f>E91+F91+G91+H91+I91+J91+K91+L91</f>
        <v>63846468</v>
      </c>
      <c r="E91" s="1262">
        <v>7372915</v>
      </c>
      <c r="F91" s="2016">
        <f>8318334+10585-8500+154719+54018-479988-564</f>
        <v>8048604</v>
      </c>
      <c r="G91" s="1874">
        <f>8318334+68767+423581+104013</f>
        <v>8914695</v>
      </c>
      <c r="H91" s="1874">
        <f>8229084+391000+385050</f>
        <v>9005134</v>
      </c>
      <c r="I91" s="1874">
        <v>8246084</v>
      </c>
      <c r="J91" s="1874">
        <v>8157684</v>
      </c>
      <c r="K91" s="1874">
        <v>7545683</v>
      </c>
      <c r="L91" s="1874">
        <f>7364300-423581-385050</f>
        <v>6555669</v>
      </c>
      <c r="M91" s="1595">
        <f>SUM(F91:L91)</f>
        <v>56473553</v>
      </c>
      <c r="N91" s="2554">
        <f>SUM(G91:L91)</f>
        <v>48424949</v>
      </c>
      <c r="O91" s="3555"/>
      <c r="P91" s="3157"/>
    </row>
    <row r="92" spans="1:19" s="3163" customFormat="1" ht="13.5" customHeight="1" thickBot="1">
      <c r="A92" s="3633"/>
      <c r="B92" s="1852" t="s">
        <v>21</v>
      </c>
      <c r="C92" s="1376"/>
      <c r="D92" s="1345">
        <f t="shared" ref="D92" si="80">+D93+D95</f>
        <v>63846468</v>
      </c>
      <c r="E92" s="1345">
        <f t="shared" ref="E92" si="81">+E93+E95</f>
        <v>7372915</v>
      </c>
      <c r="F92" s="1345">
        <f>+F93+F95</f>
        <v>8048604</v>
      </c>
      <c r="G92" s="1345">
        <f t="shared" ref="G92:L92" si="82">+G93+G95</f>
        <v>8914695</v>
      </c>
      <c r="H92" s="1345">
        <f t="shared" si="82"/>
        <v>9005134</v>
      </c>
      <c r="I92" s="1345">
        <f t="shared" si="82"/>
        <v>8246084</v>
      </c>
      <c r="J92" s="1345">
        <f t="shared" si="82"/>
        <v>8157684</v>
      </c>
      <c r="K92" s="1345">
        <f t="shared" si="82"/>
        <v>7545683</v>
      </c>
      <c r="L92" s="1345">
        <f t="shared" si="82"/>
        <v>6555669</v>
      </c>
      <c r="M92" s="3551" t="s">
        <v>53</v>
      </c>
      <c r="N92" s="3581" t="s">
        <v>53</v>
      </c>
      <c r="O92" s="3541" t="s">
        <v>312</v>
      </c>
      <c r="P92" s="3165">
        <f>G92-'[1]Tab. 6B Polit społ i rozwój prz'!$G$91</f>
        <v>104013</v>
      </c>
    </row>
    <row r="93" spans="1:19" ht="11.25" hidden="1" customHeight="1" thickBot="1">
      <c r="A93" s="3632"/>
      <c r="B93" s="1853" t="s">
        <v>23</v>
      </c>
      <c r="C93" s="3552" t="s">
        <v>237</v>
      </c>
      <c r="D93" s="1294">
        <f t="shared" ref="D93:L93" si="83">+D94</f>
        <v>0</v>
      </c>
      <c r="E93" s="1294">
        <f t="shared" si="83"/>
        <v>0</v>
      </c>
      <c r="F93" s="1294">
        <f t="shared" si="83"/>
        <v>0</v>
      </c>
      <c r="G93" s="1294">
        <f t="shared" si="83"/>
        <v>0</v>
      </c>
      <c r="H93" s="1294">
        <f t="shared" si="83"/>
        <v>0</v>
      </c>
      <c r="I93" s="1294">
        <f t="shared" si="83"/>
        <v>0</v>
      </c>
      <c r="J93" s="1294">
        <f t="shared" si="83"/>
        <v>0</v>
      </c>
      <c r="K93" s="1294">
        <f t="shared" si="83"/>
        <v>0</v>
      </c>
      <c r="L93" s="1294">
        <f t="shared" si="83"/>
        <v>0</v>
      </c>
      <c r="M93" s="3551"/>
      <c r="N93" s="3581"/>
      <c r="O93" s="3542"/>
      <c r="P93" s="3171"/>
    </row>
    <row r="94" spans="1:19" ht="11.25" hidden="1" customHeight="1" thickBot="1">
      <c r="A94" s="3630"/>
      <c r="B94" s="1854" t="s">
        <v>13</v>
      </c>
      <c r="C94" s="3552"/>
      <c r="D94" s="1216">
        <f>E94+F94+G94+H94+I94+J94+K94+L94</f>
        <v>0</v>
      </c>
      <c r="E94" s="1305"/>
      <c r="F94" s="1305"/>
      <c r="G94" s="1305"/>
      <c r="H94" s="1305"/>
      <c r="I94" s="1305"/>
      <c r="J94" s="1305"/>
      <c r="K94" s="1305"/>
      <c r="L94" s="1305"/>
      <c r="M94" s="3551"/>
      <c r="N94" s="3581"/>
      <c r="O94" s="3542"/>
      <c r="P94" s="3171"/>
    </row>
    <row r="95" spans="1:19" ht="13.5" customHeight="1" thickBot="1">
      <c r="A95" s="3630"/>
      <c r="B95" s="1855" t="s">
        <v>18</v>
      </c>
      <c r="C95" s="3552"/>
      <c r="D95" s="1294">
        <f t="shared" ref="D95:L95" si="84">+D96</f>
        <v>63846468</v>
      </c>
      <c r="E95" s="1294">
        <f t="shared" si="84"/>
        <v>7372915</v>
      </c>
      <c r="F95" s="1294">
        <f t="shared" si="84"/>
        <v>8048604</v>
      </c>
      <c r="G95" s="1294">
        <f t="shared" si="84"/>
        <v>8914695</v>
      </c>
      <c r="H95" s="1294">
        <f t="shared" si="84"/>
        <v>9005134</v>
      </c>
      <c r="I95" s="1294">
        <f t="shared" si="84"/>
        <v>8246084</v>
      </c>
      <c r="J95" s="1294">
        <f t="shared" si="84"/>
        <v>8157684</v>
      </c>
      <c r="K95" s="1294">
        <f t="shared" si="84"/>
        <v>7545683</v>
      </c>
      <c r="L95" s="1294">
        <f t="shared" si="84"/>
        <v>6555669</v>
      </c>
      <c r="M95" s="3551"/>
      <c r="N95" s="3581"/>
      <c r="O95" s="3542"/>
      <c r="P95" s="3171"/>
    </row>
    <row r="96" spans="1:19" ht="15" customHeight="1" thickBot="1">
      <c r="A96" s="3630"/>
      <c r="B96" s="2017" t="s">
        <v>20</v>
      </c>
      <c r="C96" s="3553"/>
      <c r="D96" s="1570">
        <f>E96+F96+G96+H96+I96+J96+K96+L96</f>
        <v>63846468</v>
      </c>
      <c r="E96" s="1570">
        <v>7372915</v>
      </c>
      <c r="F96" s="1532">
        <f>8318334+10585-8500+154719+54018-479988-564</f>
        <v>8048604</v>
      </c>
      <c r="G96" s="1532">
        <f>8318334+68767+423581+104013</f>
        <v>8914695</v>
      </c>
      <c r="H96" s="1532">
        <f>8229084+391000+385050</f>
        <v>9005134</v>
      </c>
      <c r="I96" s="1532">
        <v>8246084</v>
      </c>
      <c r="J96" s="1532">
        <v>8157684</v>
      </c>
      <c r="K96" s="1532">
        <v>7545683</v>
      </c>
      <c r="L96" s="1532">
        <f>7364300-423581-385050</f>
        <v>6555669</v>
      </c>
      <c r="M96" s="3369"/>
      <c r="N96" s="3582"/>
      <c r="O96" s="3543"/>
      <c r="P96" s="3171"/>
    </row>
    <row r="97" spans="1:16" ht="24" customHeight="1" thickBot="1">
      <c r="A97" s="3630" t="s">
        <v>107</v>
      </c>
      <c r="B97" s="1857" t="s">
        <v>363</v>
      </c>
      <c r="C97" s="1858" t="s">
        <v>74</v>
      </c>
      <c r="D97" s="1069"/>
      <c r="E97" s="2638"/>
      <c r="F97" s="2638"/>
      <c r="G97" s="2638"/>
      <c r="H97" s="2638"/>
      <c r="I97" s="2638"/>
      <c r="J97" s="2638"/>
      <c r="K97" s="2638"/>
      <c r="L97" s="41"/>
      <c r="M97" s="1859"/>
      <c r="N97" s="2410"/>
      <c r="O97" s="3554" t="s">
        <v>638</v>
      </c>
      <c r="P97" s="3171"/>
    </row>
    <row r="98" spans="1:16">
      <c r="A98" s="3631"/>
      <c r="B98" s="1852" t="s">
        <v>10</v>
      </c>
      <c r="C98" s="1376"/>
      <c r="D98" s="1339">
        <f t="shared" ref="D98:N98" si="85">+D99+D102</f>
        <v>65574</v>
      </c>
      <c r="E98" s="1339">
        <f t="shared" ref="E98" si="86">+E99+E102</f>
        <v>7250</v>
      </c>
      <c r="F98" s="1339">
        <f t="shared" si="85"/>
        <v>58324</v>
      </c>
      <c r="G98" s="1339">
        <f t="shared" si="85"/>
        <v>0</v>
      </c>
      <c r="H98" s="1339">
        <f t="shared" si="85"/>
        <v>0</v>
      </c>
      <c r="I98" s="1339">
        <f t="shared" si="85"/>
        <v>0</v>
      </c>
      <c r="J98" s="1339">
        <f t="shared" si="85"/>
        <v>0</v>
      </c>
      <c r="K98" s="1339">
        <f t="shared" si="85"/>
        <v>0</v>
      </c>
      <c r="L98" s="1339">
        <f t="shared" si="85"/>
        <v>0</v>
      </c>
      <c r="M98" s="2539">
        <f t="shared" ref="M98" si="87">+M99+M102</f>
        <v>58324</v>
      </c>
      <c r="N98" s="2586">
        <f t="shared" si="85"/>
        <v>0</v>
      </c>
      <c r="O98" s="3545"/>
      <c r="P98" s="3171"/>
    </row>
    <row r="99" spans="1:16" ht="13.5" thickBot="1">
      <c r="A99" s="3632"/>
      <c r="B99" s="1853" t="s">
        <v>23</v>
      </c>
      <c r="C99" s="3580" t="s">
        <v>112</v>
      </c>
      <c r="D99" s="1575">
        <f t="shared" ref="D99:N99" si="88">+D100+D101</f>
        <v>9836</v>
      </c>
      <c r="E99" s="1575">
        <f t="shared" ref="E99" si="89">+E100+E101</f>
        <v>1087</v>
      </c>
      <c r="F99" s="1575">
        <f t="shared" si="88"/>
        <v>8749</v>
      </c>
      <c r="G99" s="1575">
        <f t="shared" si="88"/>
        <v>0</v>
      </c>
      <c r="H99" s="1575">
        <f t="shared" si="88"/>
        <v>0</v>
      </c>
      <c r="I99" s="1575">
        <f t="shared" si="88"/>
        <v>0</v>
      </c>
      <c r="J99" s="1575">
        <f t="shared" si="88"/>
        <v>0</v>
      </c>
      <c r="K99" s="1575">
        <f t="shared" si="88"/>
        <v>0</v>
      </c>
      <c r="L99" s="1575">
        <f t="shared" si="88"/>
        <v>0</v>
      </c>
      <c r="M99" s="1585">
        <f t="shared" ref="M99" si="90">+M100+M101</f>
        <v>8749</v>
      </c>
      <c r="N99" s="2587">
        <f t="shared" si="88"/>
        <v>0</v>
      </c>
      <c r="O99" s="3554"/>
      <c r="P99" s="3171"/>
    </row>
    <row r="100" spans="1:16" ht="13.5" thickBot="1">
      <c r="A100" s="3630"/>
      <c r="B100" s="1854" t="s">
        <v>12</v>
      </c>
      <c r="C100" s="3635"/>
      <c r="D100" s="1262">
        <f>E100+F100+G100+H100+I100+J100+K100+L100</f>
        <v>9836</v>
      </c>
      <c r="E100" s="1262">
        <v>1087</v>
      </c>
      <c r="F100" s="1249">
        <f>1500+9900-2651</f>
        <v>8749</v>
      </c>
      <c r="G100" s="1249"/>
      <c r="H100" s="1249"/>
      <c r="I100" s="1249"/>
      <c r="J100" s="1249"/>
      <c r="K100" s="1249"/>
      <c r="L100" s="1249"/>
      <c r="M100" s="1595">
        <f>SUM(F100:K100)</f>
        <v>8749</v>
      </c>
      <c r="N100" s="2588">
        <f>SUM(G100:L100)</f>
        <v>0</v>
      </c>
      <c r="O100" s="3555"/>
      <c r="P100" s="3171"/>
    </row>
    <row r="101" spans="1:16" ht="12.75" hidden="1" customHeight="1">
      <c r="A101" s="3630"/>
      <c r="B101" s="2499" t="s">
        <v>13</v>
      </c>
      <c r="C101" s="3636"/>
      <c r="D101" s="2300">
        <f>E101+F101+G101+H101+I101+J101+K101+L101</f>
        <v>0</v>
      </c>
      <c r="E101" s="54">
        <v>0</v>
      </c>
      <c r="F101" s="54"/>
      <c r="G101" s="54"/>
      <c r="H101" s="54"/>
      <c r="I101" s="54"/>
      <c r="J101" s="54"/>
      <c r="K101" s="54"/>
      <c r="L101" s="54"/>
      <c r="M101" s="2509">
        <f>SUM(F101:K101)</f>
        <v>0</v>
      </c>
      <c r="N101" s="2509">
        <f>SUM(G101:L101)</f>
        <v>0</v>
      </c>
      <c r="O101" s="3554"/>
      <c r="P101" s="3157"/>
    </row>
    <row r="102" spans="1:16">
      <c r="A102" s="3633"/>
      <c r="B102" s="1855" t="s">
        <v>18</v>
      </c>
      <c r="C102" s="3637"/>
      <c r="D102" s="1294">
        <f>+D103</f>
        <v>55738</v>
      </c>
      <c r="E102" s="1294">
        <f t="shared" ref="E102:N102" si="91">+E103</f>
        <v>6163</v>
      </c>
      <c r="F102" s="1294">
        <f t="shared" si="91"/>
        <v>49575</v>
      </c>
      <c r="G102" s="1294">
        <f t="shared" si="91"/>
        <v>0</v>
      </c>
      <c r="H102" s="1294">
        <f t="shared" si="91"/>
        <v>0</v>
      </c>
      <c r="I102" s="1294">
        <f t="shared" si="91"/>
        <v>0</v>
      </c>
      <c r="J102" s="1294">
        <f t="shared" si="91"/>
        <v>0</v>
      </c>
      <c r="K102" s="1294">
        <f t="shared" si="91"/>
        <v>0</v>
      </c>
      <c r="L102" s="1294">
        <f t="shared" si="91"/>
        <v>0</v>
      </c>
      <c r="M102" s="2443">
        <f t="shared" si="91"/>
        <v>49575</v>
      </c>
      <c r="N102" s="1373">
        <f t="shared" si="91"/>
        <v>0</v>
      </c>
      <c r="O102" s="3546"/>
      <c r="P102" s="3157"/>
    </row>
    <row r="103" spans="1:16">
      <c r="A103" s="3634"/>
      <c r="B103" s="1854" t="s">
        <v>20</v>
      </c>
      <c r="C103" s="3638"/>
      <c r="D103" s="1267">
        <f>E103+F103+G103+H103+I103+J103+K103+L103</f>
        <v>55738</v>
      </c>
      <c r="E103" s="1267">
        <v>6163</v>
      </c>
      <c r="F103" s="2016">
        <f>8500+56100-15025</f>
        <v>49575</v>
      </c>
      <c r="G103" s="1874"/>
      <c r="H103" s="1874"/>
      <c r="I103" s="1874"/>
      <c r="J103" s="1874"/>
      <c r="K103" s="1874"/>
      <c r="L103" s="1874"/>
      <c r="M103" s="2473">
        <f>SUM(F103:K103)</f>
        <v>49575</v>
      </c>
      <c r="N103" s="1595">
        <f>SUM(G103:L103)</f>
        <v>0</v>
      </c>
      <c r="O103" s="3547"/>
      <c r="P103" s="3157"/>
    </row>
    <row r="104" spans="1:16" ht="13.5" thickBot="1">
      <c r="A104" s="3634"/>
      <c r="B104" s="2474" t="s">
        <v>21</v>
      </c>
      <c r="C104" s="1376"/>
      <c r="D104" s="1345">
        <f t="shared" ref="D104" si="92">+D105+D107</f>
        <v>55738</v>
      </c>
      <c r="E104" s="1345">
        <f t="shared" ref="E104" si="93">+E105+E107</f>
        <v>6163</v>
      </c>
      <c r="F104" s="1345">
        <f>+F105+F107</f>
        <v>49575</v>
      </c>
      <c r="G104" s="1345">
        <f t="shared" ref="G104:L104" si="94">+G105+G107</f>
        <v>0</v>
      </c>
      <c r="H104" s="1345">
        <f t="shared" si="94"/>
        <v>0</v>
      </c>
      <c r="I104" s="1345">
        <f t="shared" si="94"/>
        <v>0</v>
      </c>
      <c r="J104" s="1345">
        <f t="shared" si="94"/>
        <v>0</v>
      </c>
      <c r="K104" s="1345">
        <f t="shared" si="94"/>
        <v>0</v>
      </c>
      <c r="L104" s="1345">
        <f t="shared" si="94"/>
        <v>0</v>
      </c>
      <c r="M104" s="3626" t="s">
        <v>53</v>
      </c>
      <c r="N104" s="3626" t="s">
        <v>53</v>
      </c>
      <c r="O104" s="3541" t="s">
        <v>312</v>
      </c>
      <c r="P104" s="3157"/>
    </row>
    <row r="105" spans="1:16" ht="12.75" hidden="1" customHeight="1">
      <c r="A105" s="3634"/>
      <c r="B105" s="2534" t="s">
        <v>23</v>
      </c>
      <c r="C105" s="3640" t="s">
        <v>237</v>
      </c>
      <c r="D105" s="2456">
        <f t="shared" ref="D105:L105" si="95">+D106</f>
        <v>0</v>
      </c>
      <c r="E105" s="2456">
        <f t="shared" si="95"/>
        <v>0</v>
      </c>
      <c r="F105" s="2456">
        <f t="shared" si="95"/>
        <v>0</v>
      </c>
      <c r="G105" s="2456">
        <f t="shared" si="95"/>
        <v>0</v>
      </c>
      <c r="H105" s="2456">
        <f t="shared" si="95"/>
        <v>0</v>
      </c>
      <c r="I105" s="2456">
        <f t="shared" si="95"/>
        <v>0</v>
      </c>
      <c r="J105" s="2456">
        <f t="shared" si="95"/>
        <v>0</v>
      </c>
      <c r="K105" s="2456">
        <f t="shared" si="95"/>
        <v>0</v>
      </c>
      <c r="L105" s="2456">
        <f t="shared" si="95"/>
        <v>0</v>
      </c>
      <c r="M105" s="3626"/>
      <c r="N105" s="3626"/>
      <c r="O105" s="3542"/>
      <c r="P105" s="3157"/>
    </row>
    <row r="106" spans="1:16" ht="12.75" hidden="1" customHeight="1">
      <c r="A106" s="3632"/>
      <c r="B106" s="2521" t="s">
        <v>13</v>
      </c>
      <c r="C106" s="3641"/>
      <c r="D106" s="825">
        <f>E106+F106+G106+H106+I106+J106+K106+L106</f>
        <v>0</v>
      </c>
      <c r="E106" s="2522"/>
      <c r="F106" s="2522"/>
      <c r="G106" s="2522"/>
      <c r="H106" s="2522"/>
      <c r="I106" s="2522"/>
      <c r="J106" s="2522"/>
      <c r="K106" s="2522"/>
      <c r="L106" s="2522"/>
      <c r="M106" s="3627"/>
      <c r="N106" s="3639"/>
      <c r="O106" s="3542"/>
      <c r="P106" s="3157"/>
    </row>
    <row r="107" spans="1:16" ht="13.5" thickBot="1">
      <c r="A107" s="3630"/>
      <c r="B107" s="1855" t="s">
        <v>18</v>
      </c>
      <c r="C107" s="3552"/>
      <c r="D107" s="1294">
        <f t="shared" ref="D107:L107" si="96">+D108</f>
        <v>55738</v>
      </c>
      <c r="E107" s="1294">
        <f t="shared" si="96"/>
        <v>6163</v>
      </c>
      <c r="F107" s="1294">
        <f t="shared" si="96"/>
        <v>49575</v>
      </c>
      <c r="G107" s="1294">
        <f t="shared" si="96"/>
        <v>0</v>
      </c>
      <c r="H107" s="1294">
        <f t="shared" si="96"/>
        <v>0</v>
      </c>
      <c r="I107" s="1294">
        <f t="shared" si="96"/>
        <v>0</v>
      </c>
      <c r="J107" s="1294">
        <f t="shared" si="96"/>
        <v>0</v>
      </c>
      <c r="K107" s="1294">
        <f t="shared" si="96"/>
        <v>0</v>
      </c>
      <c r="L107" s="1294">
        <f t="shared" si="96"/>
        <v>0</v>
      </c>
      <c r="M107" s="3551"/>
      <c r="N107" s="3581"/>
      <c r="O107" s="3542"/>
      <c r="P107" s="3157"/>
    </row>
    <row r="108" spans="1:16" ht="13.5" thickBot="1">
      <c r="A108" s="3630"/>
      <c r="B108" s="2017" t="s">
        <v>20</v>
      </c>
      <c r="C108" s="3553"/>
      <c r="D108" s="1570">
        <f>E108+F108+G108+H108+I108+J108+K108+L108</f>
        <v>55738</v>
      </c>
      <c r="E108" s="1955">
        <v>6163</v>
      </c>
      <c r="F108" s="1532">
        <f>8500+56100-15025</f>
        <v>49575</v>
      </c>
      <c r="G108" s="1532"/>
      <c r="H108" s="1532"/>
      <c r="I108" s="1532"/>
      <c r="J108" s="1532"/>
      <c r="K108" s="1532"/>
      <c r="L108" s="1532"/>
      <c r="M108" s="3369"/>
      <c r="N108" s="3582"/>
      <c r="O108" s="3543"/>
      <c r="P108" s="3157"/>
    </row>
    <row r="109" spans="1:16" s="2749" customFormat="1" ht="24.75" thickBot="1">
      <c r="A109" s="3630" t="s">
        <v>80</v>
      </c>
      <c r="B109" s="1857" t="s">
        <v>649</v>
      </c>
      <c r="C109" s="1858" t="s">
        <v>101</v>
      </c>
      <c r="D109" s="1069"/>
      <c r="E109" s="1069"/>
      <c r="F109" s="1069"/>
      <c r="G109" s="1069"/>
      <c r="H109" s="1069"/>
      <c r="I109" s="1069"/>
      <c r="J109" s="1069"/>
      <c r="K109" s="1069"/>
      <c r="L109" s="1069"/>
      <c r="M109" s="1069"/>
      <c r="N109" s="1069"/>
      <c r="O109" s="3544" t="s">
        <v>638</v>
      </c>
      <c r="P109" s="3171"/>
    </row>
    <row r="110" spans="1:16" s="2749" customFormat="1" ht="13.5" thickBot="1">
      <c r="A110" s="3630"/>
      <c r="B110" s="779" t="s">
        <v>10</v>
      </c>
      <c r="C110" s="780"/>
      <c r="D110" s="560">
        <f t="shared" ref="D110:N110" si="97">+D111+D115</f>
        <v>13992000</v>
      </c>
      <c r="E110" s="560">
        <f t="shared" si="97"/>
        <v>0</v>
      </c>
      <c r="F110" s="560">
        <f t="shared" si="97"/>
        <v>0</v>
      </c>
      <c r="G110" s="560">
        <f t="shared" si="97"/>
        <v>1530586</v>
      </c>
      <c r="H110" s="560">
        <f t="shared" si="97"/>
        <v>6811005</v>
      </c>
      <c r="I110" s="560">
        <f t="shared" si="97"/>
        <v>5650409</v>
      </c>
      <c r="J110" s="560">
        <f t="shared" si="97"/>
        <v>0</v>
      </c>
      <c r="K110" s="560">
        <f t="shared" si="97"/>
        <v>0</v>
      </c>
      <c r="L110" s="560">
        <f t="shared" si="97"/>
        <v>0</v>
      </c>
      <c r="M110" s="781">
        <f t="shared" si="97"/>
        <v>13356000</v>
      </c>
      <c r="N110" s="2539">
        <f t="shared" si="97"/>
        <v>13356000</v>
      </c>
      <c r="O110" s="3544"/>
      <c r="P110" s="3171" t="s">
        <v>698</v>
      </c>
    </row>
    <row r="111" spans="1:16" s="2749" customFormat="1" ht="12.75" customHeight="1" thickBot="1">
      <c r="A111" s="3630"/>
      <c r="B111" s="782" t="s">
        <v>23</v>
      </c>
      <c r="C111" s="3548" t="s">
        <v>577</v>
      </c>
      <c r="D111" s="590">
        <f>+D112+D113+D114</f>
        <v>2098800</v>
      </c>
      <c r="E111" s="590">
        <f t="shared" ref="E111:L111" si="98">+E112+E113+E114</f>
        <v>0</v>
      </c>
      <c r="F111" s="590">
        <f t="shared" si="98"/>
        <v>0</v>
      </c>
      <c r="G111" s="590">
        <f t="shared" si="98"/>
        <v>278006</v>
      </c>
      <c r="H111" s="590">
        <f t="shared" si="98"/>
        <v>995455</v>
      </c>
      <c r="I111" s="590">
        <f t="shared" si="98"/>
        <v>825339</v>
      </c>
      <c r="J111" s="590">
        <f t="shared" si="98"/>
        <v>0</v>
      </c>
      <c r="K111" s="590">
        <f t="shared" si="98"/>
        <v>0</v>
      </c>
      <c r="L111" s="590">
        <f t="shared" si="98"/>
        <v>0</v>
      </c>
      <c r="M111" s="588">
        <f t="shared" ref="M111:N111" si="99">+M112+M113</f>
        <v>1462800</v>
      </c>
      <c r="N111" s="2553">
        <f t="shared" si="99"/>
        <v>1462800</v>
      </c>
      <c r="O111" s="3544"/>
      <c r="P111" s="3171"/>
    </row>
    <row r="112" spans="1:16" s="2749" customFormat="1" ht="13.5" thickBot="1">
      <c r="A112" s="3630"/>
      <c r="B112" s="783" t="s">
        <v>12</v>
      </c>
      <c r="C112" s="3549"/>
      <c r="D112" s="235">
        <f>E112+F112+G112+H112+I112+J112+K112+L112</f>
        <v>63600</v>
      </c>
      <c r="E112" s="265"/>
      <c r="F112" s="536"/>
      <c r="G112" s="536">
        <v>63600</v>
      </c>
      <c r="H112" s="536">
        <v>0</v>
      </c>
      <c r="I112" s="536">
        <v>0</v>
      </c>
      <c r="J112" s="536"/>
      <c r="K112" s="536"/>
      <c r="L112" s="536"/>
      <c r="M112" s="850">
        <f>SUM(F112:K112)</f>
        <v>63600</v>
      </c>
      <c r="N112" s="2554">
        <f>SUM(G112:L112)</f>
        <v>63600</v>
      </c>
      <c r="O112" s="3544"/>
      <c r="P112" s="3171"/>
    </row>
    <row r="113" spans="1:16" s="2749" customFormat="1" ht="13.5" thickBot="1">
      <c r="A113" s="3630"/>
      <c r="B113" s="783" t="s">
        <v>13</v>
      </c>
      <c r="C113" s="3549"/>
      <c r="D113" s="235">
        <f>E113+F113+G113+H113+I113+J113+K113+L113</f>
        <v>1399200</v>
      </c>
      <c r="E113" s="579">
        <v>0</v>
      </c>
      <c r="F113" s="579"/>
      <c r="G113" s="579">
        <v>147420</v>
      </c>
      <c r="H113" s="579">
        <v>684450</v>
      </c>
      <c r="I113" s="579">
        <v>567330</v>
      </c>
      <c r="J113" s="579"/>
      <c r="K113" s="579"/>
      <c r="L113" s="579"/>
      <c r="M113" s="850">
        <f>SUM(F113:K113)</f>
        <v>1399200</v>
      </c>
      <c r="N113" s="2554">
        <f>SUM(G113:L113)</f>
        <v>1399200</v>
      </c>
      <c r="O113" s="3544"/>
      <c r="P113" s="3171"/>
    </row>
    <row r="114" spans="1:16" s="2749" customFormat="1">
      <c r="A114" s="3628"/>
      <c r="B114" s="1854" t="s">
        <v>650</v>
      </c>
      <c r="C114" s="3550"/>
      <c r="D114" s="235">
        <f>E114+F114+G114+H114+I114+J114+K114+L114</f>
        <v>636000</v>
      </c>
      <c r="E114" s="1297"/>
      <c r="F114" s="1297"/>
      <c r="G114" s="1297">
        <v>66986</v>
      </c>
      <c r="H114" s="1297">
        <v>311005</v>
      </c>
      <c r="I114" s="1297">
        <v>258009</v>
      </c>
      <c r="J114" s="1297"/>
      <c r="K114" s="1297"/>
      <c r="L114" s="1297"/>
      <c r="M114" s="1595"/>
      <c r="N114" s="2926">
        <v>0</v>
      </c>
      <c r="O114" s="3545"/>
      <c r="P114" s="3171"/>
    </row>
    <row r="115" spans="1:16" s="2749" customFormat="1">
      <c r="A115" s="3583"/>
      <c r="B115" s="1855" t="s">
        <v>18</v>
      </c>
      <c r="C115" s="3550"/>
      <c r="D115" s="1294">
        <f>+D116</f>
        <v>11893200</v>
      </c>
      <c r="E115" s="1294">
        <f t="shared" ref="E115:N115" si="100">+E116</f>
        <v>0</v>
      </c>
      <c r="F115" s="1294">
        <f t="shared" si="100"/>
        <v>0</v>
      </c>
      <c r="G115" s="1294">
        <f t="shared" si="100"/>
        <v>1252580</v>
      </c>
      <c r="H115" s="1294">
        <f t="shared" si="100"/>
        <v>5815550</v>
      </c>
      <c r="I115" s="1294">
        <f t="shared" si="100"/>
        <v>4825070</v>
      </c>
      <c r="J115" s="1294">
        <f t="shared" si="100"/>
        <v>0</v>
      </c>
      <c r="K115" s="1294">
        <f t="shared" si="100"/>
        <v>0</v>
      </c>
      <c r="L115" s="1294">
        <f t="shared" si="100"/>
        <v>0</v>
      </c>
      <c r="M115" s="1373">
        <f t="shared" si="100"/>
        <v>11893200</v>
      </c>
      <c r="N115" s="2555">
        <f t="shared" si="100"/>
        <v>11893200</v>
      </c>
      <c r="O115" s="3546"/>
      <c r="P115" s="3171"/>
    </row>
    <row r="116" spans="1:16" s="2749" customFormat="1">
      <c r="A116" s="3583"/>
      <c r="B116" s="1854" t="s">
        <v>20</v>
      </c>
      <c r="C116" s="3550"/>
      <c r="D116" s="773">
        <f>E116+F116+G116+H116+I116+J116+K116+L116</f>
        <v>11893200</v>
      </c>
      <c r="E116" s="1262"/>
      <c r="F116" s="2016"/>
      <c r="G116" s="1874">
        <v>1252580</v>
      </c>
      <c r="H116" s="1874">
        <v>5815550</v>
      </c>
      <c r="I116" s="1874">
        <v>4825070</v>
      </c>
      <c r="J116" s="1874"/>
      <c r="K116" s="1874"/>
      <c r="L116" s="1874"/>
      <c r="M116" s="1595">
        <f>SUM(F116:K116)</f>
        <v>11893200</v>
      </c>
      <c r="N116" s="2554">
        <f>SUM(G116:L116)</f>
        <v>11893200</v>
      </c>
      <c r="O116" s="3547"/>
      <c r="P116" s="3171"/>
    </row>
    <row r="117" spans="1:16" s="2749" customFormat="1">
      <c r="A117" s="3583"/>
      <c r="B117" s="1852" t="s">
        <v>21</v>
      </c>
      <c r="C117" s="1376"/>
      <c r="D117" s="1345">
        <f t="shared" ref="D117:E117" si="101">+D118+D120</f>
        <v>13292400</v>
      </c>
      <c r="E117" s="1345">
        <f t="shared" si="101"/>
        <v>0</v>
      </c>
      <c r="F117" s="1345">
        <f>+F118+F120</f>
        <v>0</v>
      </c>
      <c r="G117" s="1345">
        <f t="shared" ref="G117:L117" si="102">+G118+G120</f>
        <v>1400000</v>
      </c>
      <c r="H117" s="1345">
        <f t="shared" si="102"/>
        <v>6500000</v>
      </c>
      <c r="I117" s="1345">
        <f t="shared" si="102"/>
        <v>5392400</v>
      </c>
      <c r="J117" s="1345">
        <f t="shared" si="102"/>
        <v>0</v>
      </c>
      <c r="K117" s="1345">
        <f t="shared" si="102"/>
        <v>0</v>
      </c>
      <c r="L117" s="1345">
        <f t="shared" si="102"/>
        <v>0</v>
      </c>
      <c r="M117" s="3551" t="s">
        <v>53</v>
      </c>
      <c r="N117" s="3551" t="s">
        <v>53</v>
      </c>
      <c r="O117" s="2149"/>
      <c r="P117" s="3171"/>
    </row>
    <row r="118" spans="1:16" s="2749" customFormat="1">
      <c r="A118" s="3583"/>
      <c r="B118" s="1853" t="s">
        <v>23</v>
      </c>
      <c r="C118" s="3552" t="s">
        <v>237</v>
      </c>
      <c r="D118" s="1294">
        <f t="shared" ref="D118:L118" si="103">+D119</f>
        <v>1399200</v>
      </c>
      <c r="E118" s="1294">
        <f t="shared" si="103"/>
        <v>0</v>
      </c>
      <c r="F118" s="1294">
        <f t="shared" si="103"/>
        <v>0</v>
      </c>
      <c r="G118" s="1294">
        <f t="shared" si="103"/>
        <v>147420</v>
      </c>
      <c r="H118" s="1294">
        <f t="shared" si="103"/>
        <v>684450</v>
      </c>
      <c r="I118" s="1294">
        <f t="shared" si="103"/>
        <v>567330</v>
      </c>
      <c r="J118" s="1294">
        <f t="shared" si="103"/>
        <v>0</v>
      </c>
      <c r="K118" s="1294">
        <f t="shared" si="103"/>
        <v>0</v>
      </c>
      <c r="L118" s="1294">
        <f t="shared" si="103"/>
        <v>0</v>
      </c>
      <c r="M118" s="3551"/>
      <c r="N118" s="3551"/>
      <c r="O118" s="2149"/>
      <c r="P118" s="3171"/>
    </row>
    <row r="119" spans="1:16" s="2749" customFormat="1">
      <c r="A119" s="3583"/>
      <c r="B119" s="1854" t="s">
        <v>13</v>
      </c>
      <c r="C119" s="3552"/>
      <c r="D119" s="773">
        <f>E119+F119+G119+H119+I119+J119+K119+L119</f>
        <v>1399200</v>
      </c>
      <c r="E119" s="1305"/>
      <c r="F119" s="1305"/>
      <c r="G119" s="1305">
        <v>147420</v>
      </c>
      <c r="H119" s="1305">
        <v>684450</v>
      </c>
      <c r="I119" s="1305">
        <v>567330</v>
      </c>
      <c r="J119" s="1305"/>
      <c r="K119" s="1305"/>
      <c r="L119" s="1305"/>
      <c r="M119" s="3551"/>
      <c r="N119" s="3551"/>
      <c r="O119" s="2149"/>
      <c r="P119" s="3171"/>
    </row>
    <row r="120" spans="1:16" s="2749" customFormat="1">
      <c r="A120" s="3583"/>
      <c r="B120" s="1855" t="s">
        <v>18</v>
      </c>
      <c r="C120" s="3552"/>
      <c r="D120" s="1294">
        <f t="shared" ref="D120:L120" si="104">+D121</f>
        <v>11893200</v>
      </c>
      <c r="E120" s="1294">
        <f t="shared" si="104"/>
        <v>0</v>
      </c>
      <c r="F120" s="1294">
        <f t="shared" si="104"/>
        <v>0</v>
      </c>
      <c r="G120" s="1294">
        <f t="shared" si="104"/>
        <v>1252580</v>
      </c>
      <c r="H120" s="1294">
        <f t="shared" si="104"/>
        <v>5815550</v>
      </c>
      <c r="I120" s="1294">
        <f t="shared" si="104"/>
        <v>4825070</v>
      </c>
      <c r="J120" s="1294">
        <f t="shared" si="104"/>
        <v>0</v>
      </c>
      <c r="K120" s="1294">
        <f t="shared" si="104"/>
        <v>0</v>
      </c>
      <c r="L120" s="1294">
        <f t="shared" si="104"/>
        <v>0</v>
      </c>
      <c r="M120" s="3551"/>
      <c r="N120" s="3551"/>
      <c r="O120" s="2957" t="s">
        <v>312</v>
      </c>
      <c r="P120" s="3171"/>
    </row>
    <row r="121" spans="1:16" s="2749" customFormat="1" ht="12.75" customHeight="1" thickBot="1">
      <c r="A121" s="3584"/>
      <c r="B121" s="2017" t="s">
        <v>20</v>
      </c>
      <c r="C121" s="3553"/>
      <c r="D121" s="773">
        <f>E121+F121+G121+H121+I121+J121+K121+L121</f>
        <v>11893200</v>
      </c>
      <c r="E121" s="1262"/>
      <c r="F121" s="1532"/>
      <c r="G121" s="1532">
        <v>1252580</v>
      </c>
      <c r="H121" s="1532">
        <v>5815550</v>
      </c>
      <c r="I121" s="1532">
        <v>4825070</v>
      </c>
      <c r="J121" s="1532"/>
      <c r="K121" s="1532"/>
      <c r="L121" s="1532"/>
      <c r="M121" s="3369"/>
      <c r="N121" s="3369"/>
      <c r="O121" s="2150"/>
      <c r="P121" s="3171"/>
    </row>
    <row r="122" spans="1:16" ht="36" customHeight="1">
      <c r="A122" s="3588" t="s">
        <v>81</v>
      </c>
      <c r="B122" s="1134" t="s">
        <v>434</v>
      </c>
      <c r="C122" s="1135" t="s">
        <v>101</v>
      </c>
      <c r="D122" s="1069"/>
      <c r="E122" s="2638"/>
      <c r="F122" s="2638"/>
      <c r="G122" s="2638"/>
      <c r="H122" s="2638"/>
      <c r="I122" s="2638"/>
      <c r="J122" s="2638"/>
      <c r="K122" s="2638"/>
      <c r="L122" s="41"/>
      <c r="M122" s="526"/>
      <c r="N122" s="526"/>
      <c r="O122" s="3545" t="s">
        <v>310</v>
      </c>
    </row>
    <row r="123" spans="1:16">
      <c r="A123" s="3558"/>
      <c r="B123" s="1852" t="s">
        <v>10</v>
      </c>
      <c r="C123" s="1136"/>
      <c r="D123" s="1864">
        <f t="shared" ref="D123:N123" si="105">+D124+D128</f>
        <v>1698344</v>
      </c>
      <c r="E123" s="1339">
        <f t="shared" ref="E123" si="106">+E124+E128</f>
        <v>0</v>
      </c>
      <c r="F123" s="1339">
        <f t="shared" si="105"/>
        <v>667359</v>
      </c>
      <c r="G123" s="1339">
        <f t="shared" si="105"/>
        <v>1030985</v>
      </c>
      <c r="H123" s="1339">
        <f t="shared" si="105"/>
        <v>0</v>
      </c>
      <c r="I123" s="1339">
        <f t="shared" si="105"/>
        <v>0</v>
      </c>
      <c r="J123" s="1339">
        <f t="shared" si="105"/>
        <v>0</v>
      </c>
      <c r="K123" s="1339">
        <f t="shared" si="105"/>
        <v>0</v>
      </c>
      <c r="L123" s="1339">
        <f t="shared" si="105"/>
        <v>0</v>
      </c>
      <c r="M123" s="1286">
        <f t="shared" ref="M123" si="107">+M124+M128</f>
        <v>1698344</v>
      </c>
      <c r="N123" s="1286">
        <f t="shared" si="105"/>
        <v>1030985</v>
      </c>
      <c r="O123" s="3546"/>
    </row>
    <row r="124" spans="1:16">
      <c r="A124" s="3558"/>
      <c r="B124" s="1853" t="s">
        <v>23</v>
      </c>
      <c r="C124" s="3625" t="s">
        <v>307</v>
      </c>
      <c r="D124" s="1575">
        <f>+D125</f>
        <v>254752</v>
      </c>
      <c r="E124" s="1575">
        <f t="shared" ref="E124" si="108">+E125</f>
        <v>0</v>
      </c>
      <c r="F124" s="1575">
        <f t="shared" ref="F124:N124" si="109">+F125</f>
        <v>100104</v>
      </c>
      <c r="G124" s="1575">
        <f t="shared" si="109"/>
        <v>154648</v>
      </c>
      <c r="H124" s="1575">
        <f t="shared" si="109"/>
        <v>0</v>
      </c>
      <c r="I124" s="1575">
        <f t="shared" si="109"/>
        <v>0</v>
      </c>
      <c r="J124" s="1575">
        <f t="shared" si="109"/>
        <v>0</v>
      </c>
      <c r="K124" s="1575">
        <f t="shared" si="109"/>
        <v>0</v>
      </c>
      <c r="L124" s="1575">
        <f t="shared" si="109"/>
        <v>0</v>
      </c>
      <c r="M124" s="2018">
        <f t="shared" si="109"/>
        <v>254752</v>
      </c>
      <c r="N124" s="2018">
        <f t="shared" si="109"/>
        <v>154648</v>
      </c>
      <c r="O124" s="3546"/>
    </row>
    <row r="125" spans="1:16">
      <c r="A125" s="3558"/>
      <c r="B125" s="1854" t="s">
        <v>12</v>
      </c>
      <c r="C125" s="3564"/>
      <c r="D125" s="773">
        <f>E125+F125+G125+H125+I125+J125+K125+L125</f>
        <v>254752</v>
      </c>
      <c r="E125" s="1262">
        <v>0</v>
      </c>
      <c r="F125" s="1626">
        <f t="shared" ref="F125:L125" si="110">+F126+F127</f>
        <v>100104</v>
      </c>
      <c r="G125" s="1626">
        <f t="shared" si="110"/>
        <v>154648</v>
      </c>
      <c r="H125" s="1297">
        <f t="shared" si="110"/>
        <v>0</v>
      </c>
      <c r="I125" s="1297">
        <f t="shared" si="110"/>
        <v>0</v>
      </c>
      <c r="J125" s="1297">
        <f t="shared" si="110"/>
        <v>0</v>
      </c>
      <c r="K125" s="1297">
        <f t="shared" si="110"/>
        <v>0</v>
      </c>
      <c r="L125" s="1297">
        <f t="shared" si="110"/>
        <v>0</v>
      </c>
      <c r="M125" s="1595">
        <f>SUM(F125:K125)</f>
        <v>254752</v>
      </c>
      <c r="N125" s="1595">
        <f>SUM(G125:L125)</f>
        <v>154648</v>
      </c>
      <c r="O125" s="3546"/>
    </row>
    <row r="126" spans="1:16" ht="12.75" hidden="1" customHeight="1">
      <c r="A126" s="3558"/>
      <c r="B126" s="2019" t="s">
        <v>288</v>
      </c>
      <c r="C126" s="3564"/>
      <c r="D126" s="2020">
        <f>SUM(E126:L126)</f>
        <v>66119</v>
      </c>
      <c r="E126" s="2021">
        <v>0</v>
      </c>
      <c r="F126" s="2022">
        <f>31970-5265</f>
        <v>26705</v>
      </c>
      <c r="G126" s="2022">
        <f>34149+5265</f>
        <v>39414</v>
      </c>
      <c r="H126" s="2021"/>
      <c r="I126" s="2021"/>
      <c r="J126" s="2021"/>
      <c r="K126" s="2021"/>
      <c r="L126" s="2021"/>
      <c r="M126" s="2023"/>
      <c r="N126" s="2023"/>
      <c r="O126" s="3546"/>
    </row>
    <row r="127" spans="1:16" ht="12.75" hidden="1" customHeight="1">
      <c r="A127" s="3558"/>
      <c r="B127" s="2024" t="s">
        <v>305</v>
      </c>
      <c r="C127" s="3564"/>
      <c r="D127" s="2025">
        <f>SUM(E127:L127)</f>
        <v>188633</v>
      </c>
      <c r="E127" s="2026">
        <v>0</v>
      </c>
      <c r="F127" s="2027">
        <f>86239-12840</f>
        <v>73399</v>
      </c>
      <c r="G127" s="2027">
        <f>102394+12840</f>
        <v>115234</v>
      </c>
      <c r="H127" s="2026"/>
      <c r="I127" s="2026"/>
      <c r="J127" s="2026"/>
      <c r="K127" s="2026"/>
      <c r="L127" s="2026"/>
      <c r="M127" s="2023"/>
      <c r="N127" s="2023"/>
      <c r="O127" s="3546"/>
    </row>
    <row r="128" spans="1:16">
      <c r="A128" s="3558"/>
      <c r="B128" s="1853" t="s">
        <v>18</v>
      </c>
      <c r="C128" s="3564"/>
      <c r="D128" s="1294">
        <f>+D129</f>
        <v>1443592</v>
      </c>
      <c r="E128" s="1294">
        <f t="shared" ref="E128:L128" si="111">+E129</f>
        <v>0</v>
      </c>
      <c r="F128" s="1294">
        <f t="shared" si="111"/>
        <v>567255</v>
      </c>
      <c r="G128" s="1294">
        <f t="shared" si="111"/>
        <v>876337</v>
      </c>
      <c r="H128" s="1294">
        <f t="shared" si="111"/>
        <v>0</v>
      </c>
      <c r="I128" s="1294">
        <f t="shared" si="111"/>
        <v>0</v>
      </c>
      <c r="J128" s="1294">
        <f t="shared" si="111"/>
        <v>0</v>
      </c>
      <c r="K128" s="1294">
        <f t="shared" si="111"/>
        <v>0</v>
      </c>
      <c r="L128" s="1294">
        <f t="shared" si="111"/>
        <v>0</v>
      </c>
      <c r="M128" s="1597">
        <f>+M129</f>
        <v>1443592</v>
      </c>
      <c r="N128" s="1597">
        <f>+N129</f>
        <v>876337</v>
      </c>
      <c r="O128" s="3546"/>
    </row>
    <row r="129" spans="1:16">
      <c r="A129" s="3558"/>
      <c r="B129" s="1854" t="s">
        <v>20</v>
      </c>
      <c r="C129" s="3564"/>
      <c r="D129" s="773">
        <f>E129+F129+G129+H129+I129+J129+K129+L129</f>
        <v>1443592</v>
      </c>
      <c r="E129" s="1262">
        <v>0</v>
      </c>
      <c r="F129" s="1297">
        <f t="shared" ref="F129:L129" si="112">+F130+F131</f>
        <v>567255</v>
      </c>
      <c r="G129" s="1297">
        <f t="shared" si="112"/>
        <v>876337</v>
      </c>
      <c r="H129" s="1297">
        <f t="shared" si="112"/>
        <v>0</v>
      </c>
      <c r="I129" s="1297">
        <f t="shared" si="112"/>
        <v>0</v>
      </c>
      <c r="J129" s="1297">
        <f t="shared" si="112"/>
        <v>0</v>
      </c>
      <c r="K129" s="1297">
        <f t="shared" si="112"/>
        <v>0</v>
      </c>
      <c r="L129" s="1297">
        <f t="shared" si="112"/>
        <v>0</v>
      </c>
      <c r="M129" s="1595">
        <f>SUM(F129:K129)</f>
        <v>1443592</v>
      </c>
      <c r="N129" s="1595">
        <f>SUM(G129:L129)</f>
        <v>876337</v>
      </c>
      <c r="O129" s="3547"/>
    </row>
    <row r="130" spans="1:16" ht="12.75" hidden="1" customHeight="1">
      <c r="A130" s="3558"/>
      <c r="B130" s="2019" t="s">
        <v>288</v>
      </c>
      <c r="C130" s="2952"/>
      <c r="D130" s="2020">
        <f>SUM(E130:L130)</f>
        <v>374677</v>
      </c>
      <c r="E130" s="2021">
        <v>0</v>
      </c>
      <c r="F130" s="2021">
        <f>181163-29833</f>
        <v>151330</v>
      </c>
      <c r="G130" s="2021">
        <f>193514+29833</f>
        <v>223347</v>
      </c>
      <c r="H130" s="2021"/>
      <c r="I130" s="2021"/>
      <c r="J130" s="2021"/>
      <c r="K130" s="2021"/>
      <c r="L130" s="2021"/>
      <c r="M130" s="2023"/>
      <c r="N130" s="2023"/>
      <c r="O130" s="1799"/>
    </row>
    <row r="131" spans="1:16" ht="12.75" hidden="1" customHeight="1">
      <c r="A131" s="3558"/>
      <c r="B131" s="2024" t="s">
        <v>305</v>
      </c>
      <c r="C131" s="2028"/>
      <c r="D131" s="2025">
        <f>SUM(E131:L131)</f>
        <v>1068915</v>
      </c>
      <c r="E131" s="2026">
        <v>0</v>
      </c>
      <c r="F131" s="2026">
        <f>488685-72760</f>
        <v>415925</v>
      </c>
      <c r="G131" s="2026">
        <f>580230+72760</f>
        <v>652990</v>
      </c>
      <c r="H131" s="2026"/>
      <c r="I131" s="2026"/>
      <c r="J131" s="2026"/>
      <c r="K131" s="2026"/>
      <c r="L131" s="2026"/>
      <c r="M131" s="2023"/>
      <c r="N131" s="2023"/>
      <c r="O131" s="1799"/>
    </row>
    <row r="132" spans="1:16">
      <c r="A132" s="3560"/>
      <c r="B132" s="1852" t="s">
        <v>21</v>
      </c>
      <c r="C132" s="1376"/>
      <c r="D132" s="1596">
        <f>D133</f>
        <v>1443592</v>
      </c>
      <c r="E132" s="1596">
        <f>+E133</f>
        <v>0</v>
      </c>
      <c r="F132" s="1596">
        <f>+F133</f>
        <v>669848</v>
      </c>
      <c r="G132" s="1596">
        <f>+G133</f>
        <v>773744</v>
      </c>
      <c r="H132" s="1596">
        <f>+H133</f>
        <v>0</v>
      </c>
      <c r="I132" s="1596">
        <f>I133</f>
        <v>0</v>
      </c>
      <c r="J132" s="1596">
        <f>+J133</f>
        <v>0</v>
      </c>
      <c r="K132" s="1596">
        <f>+K133</f>
        <v>0</v>
      </c>
      <c r="L132" s="1596">
        <f>L133</f>
        <v>0</v>
      </c>
      <c r="M132" s="3551" t="s">
        <v>53</v>
      </c>
      <c r="N132" s="3551" t="s">
        <v>53</v>
      </c>
      <c r="O132" s="3568" t="s">
        <v>305</v>
      </c>
    </row>
    <row r="133" spans="1:16">
      <c r="A133" s="3560"/>
      <c r="B133" s="1853" t="s">
        <v>18</v>
      </c>
      <c r="C133" s="3620" t="s">
        <v>435</v>
      </c>
      <c r="D133" s="1294">
        <f t="shared" ref="D133:L133" si="113">+D134</f>
        <v>1443592</v>
      </c>
      <c r="E133" s="1294">
        <f t="shared" si="113"/>
        <v>0</v>
      </c>
      <c r="F133" s="1294">
        <f t="shared" si="113"/>
        <v>669848</v>
      </c>
      <c r="G133" s="1294">
        <f t="shared" si="113"/>
        <v>773744</v>
      </c>
      <c r="H133" s="1294">
        <f t="shared" si="113"/>
        <v>0</v>
      </c>
      <c r="I133" s="1294">
        <f t="shared" si="113"/>
        <v>0</v>
      </c>
      <c r="J133" s="1294">
        <f t="shared" si="113"/>
        <v>0</v>
      </c>
      <c r="K133" s="1294">
        <f t="shared" si="113"/>
        <v>0</v>
      </c>
      <c r="L133" s="1294">
        <f t="shared" si="113"/>
        <v>0</v>
      </c>
      <c r="M133" s="3551"/>
      <c r="N133" s="3551"/>
      <c r="O133" s="3568"/>
    </row>
    <row r="134" spans="1:16" ht="13.5" thickBot="1">
      <c r="A134" s="3561"/>
      <c r="B134" s="2017" t="s">
        <v>20</v>
      </c>
      <c r="C134" s="3621"/>
      <c r="D134" s="1955">
        <f>E134+F134+G134+H134+I134+J134+K134+L134</f>
        <v>1443592</v>
      </c>
      <c r="E134" s="1955">
        <v>0</v>
      </c>
      <c r="F134" s="1586">
        <v>669848</v>
      </c>
      <c r="G134" s="1586">
        <v>773744</v>
      </c>
      <c r="H134" s="1586">
        <v>0</v>
      </c>
      <c r="I134" s="1586">
        <v>0</v>
      </c>
      <c r="J134" s="1586">
        <v>0</v>
      </c>
      <c r="K134" s="1586">
        <v>0</v>
      </c>
      <c r="L134" s="1586">
        <v>0</v>
      </c>
      <c r="M134" s="3369"/>
      <c r="N134" s="3369"/>
      <c r="O134" s="3569"/>
    </row>
    <row r="135" spans="1:16" ht="37.5" customHeight="1">
      <c r="A135" s="3588" t="s">
        <v>82</v>
      </c>
      <c r="B135" s="1134" t="s">
        <v>533</v>
      </c>
      <c r="C135" s="1135" t="s">
        <v>101</v>
      </c>
      <c r="D135" s="1069"/>
      <c r="E135" s="2638"/>
      <c r="F135" s="2638"/>
      <c r="G135" s="2638"/>
      <c r="H135" s="2638"/>
      <c r="I135" s="2638"/>
      <c r="J135" s="2638"/>
      <c r="K135" s="2638"/>
      <c r="L135" s="41"/>
      <c r="M135" s="526"/>
      <c r="N135" s="526"/>
      <c r="O135" s="3545" t="s">
        <v>515</v>
      </c>
    </row>
    <row r="136" spans="1:16" ht="16.149999999999999" customHeight="1">
      <c r="A136" s="3558"/>
      <c r="B136" s="1852" t="s">
        <v>10</v>
      </c>
      <c r="C136" s="1136"/>
      <c r="D136" s="1864">
        <f>+D137</f>
        <v>13580221</v>
      </c>
      <c r="E136" s="1339">
        <f t="shared" ref="E136" si="114">+E137</f>
        <v>0</v>
      </c>
      <c r="F136" s="1339">
        <f t="shared" ref="F136:H136" si="115">+F137</f>
        <v>262804</v>
      </c>
      <c r="G136" s="1339">
        <f t="shared" si="115"/>
        <v>3911618</v>
      </c>
      <c r="H136" s="1339">
        <f t="shared" si="115"/>
        <v>8685436</v>
      </c>
      <c r="I136" s="1339">
        <f t="shared" ref="I136" si="116">+I137</f>
        <v>720363</v>
      </c>
      <c r="J136" s="1339">
        <f t="shared" ref="J136" si="117">+J137</f>
        <v>0</v>
      </c>
      <c r="K136" s="1339">
        <f t="shared" ref="K136" si="118">+K137</f>
        <v>0</v>
      </c>
      <c r="L136" s="1339">
        <f t="shared" ref="L136" si="119">+L137</f>
        <v>0</v>
      </c>
      <c r="M136" s="1286">
        <f>+M137</f>
        <v>13580221</v>
      </c>
      <c r="N136" s="1286">
        <f>+N137</f>
        <v>13317417</v>
      </c>
      <c r="O136" s="3546"/>
      <c r="P136" s="3159">
        <f>G136-'[1]Tab. 6B Polit społ i rozwój prz'!$G$122</f>
        <v>-3908082</v>
      </c>
    </row>
    <row r="137" spans="1:16" ht="15" customHeight="1">
      <c r="A137" s="3558"/>
      <c r="B137" s="1865" t="s">
        <v>18</v>
      </c>
      <c r="C137" s="3570" t="s">
        <v>439</v>
      </c>
      <c r="D137" s="1294">
        <f>+D138</f>
        <v>13580221</v>
      </c>
      <c r="E137" s="1294">
        <f>+E138</f>
        <v>0</v>
      </c>
      <c r="F137" s="1294">
        <f>+F138</f>
        <v>262804</v>
      </c>
      <c r="G137" s="1294">
        <f t="shared" ref="G137:L137" si="120">+G138</f>
        <v>3911618</v>
      </c>
      <c r="H137" s="1294">
        <f t="shared" si="120"/>
        <v>8685436</v>
      </c>
      <c r="I137" s="1294">
        <f t="shared" si="120"/>
        <v>720363</v>
      </c>
      <c r="J137" s="1294">
        <f t="shared" si="120"/>
        <v>0</v>
      </c>
      <c r="K137" s="1294">
        <f t="shared" si="120"/>
        <v>0</v>
      </c>
      <c r="L137" s="1294">
        <f t="shared" si="120"/>
        <v>0</v>
      </c>
      <c r="M137" s="1597">
        <f>+M138</f>
        <v>13580221</v>
      </c>
      <c r="N137" s="1597">
        <f>+N138</f>
        <v>13317417</v>
      </c>
      <c r="O137" s="3546"/>
    </row>
    <row r="138" spans="1:16" ht="21" customHeight="1" thickBot="1">
      <c r="A138" s="3622"/>
      <c r="B138" s="2636" t="s">
        <v>20</v>
      </c>
      <c r="C138" s="3572"/>
      <c r="D138" s="1267">
        <f>E138+F138+G138+H138+I138+J138+K138+L138</f>
        <v>13580221</v>
      </c>
      <c r="E138" s="1262">
        <v>0</v>
      </c>
      <c r="F138" s="1297">
        <f>+F139+F140+F141+F142+F143</f>
        <v>262804</v>
      </c>
      <c r="G138" s="1297">
        <f t="shared" ref="G138:H138" si="121">+G139+G140+G141+G142+G143</f>
        <v>3911618</v>
      </c>
      <c r="H138" s="1297">
        <f t="shared" si="121"/>
        <v>8685436</v>
      </c>
      <c r="I138" s="1297">
        <f t="shared" ref="I138" si="122">+I139+I140+I141+I142+I143</f>
        <v>720363</v>
      </c>
      <c r="J138" s="1297">
        <f t="shared" ref="J138" si="123">+J139+J140+J141+J142+J143</f>
        <v>0</v>
      </c>
      <c r="K138" s="1297">
        <f t="shared" ref="K138" si="124">+K139+K140+K141+K142+K143</f>
        <v>0</v>
      </c>
      <c r="L138" s="1297">
        <f t="shared" ref="L138" si="125">+L139+L140+L141+L142+L143</f>
        <v>0</v>
      </c>
      <c r="M138" s="1595">
        <f>SUM(F138:K138)</f>
        <v>13580221</v>
      </c>
      <c r="N138" s="1595">
        <f>SUM(G138:L138)</f>
        <v>13317417</v>
      </c>
      <c r="O138" s="3546"/>
    </row>
    <row r="139" spans="1:16" s="353" customFormat="1" ht="12.75" hidden="1" customHeight="1">
      <c r="A139" s="3623"/>
      <c r="B139" s="1992" t="s">
        <v>437</v>
      </c>
      <c r="C139" s="3571"/>
      <c r="D139" s="1993">
        <f>SUM(E139:L139)</f>
        <v>9576521</v>
      </c>
      <c r="E139" s="1994">
        <v>0</v>
      </c>
      <c r="F139" s="1994">
        <f>2700000-2610000</f>
        <v>90000</v>
      </c>
      <c r="G139" s="1994">
        <f>3169000+2619500+1103984-4102953</f>
        <v>2789531</v>
      </c>
      <c r="H139" s="1994">
        <f>2044159+946725-929847+3957590</f>
        <v>6018627</v>
      </c>
      <c r="I139" s="1994">
        <f>0+537137-4137+145363</f>
        <v>678363</v>
      </c>
      <c r="J139" s="1994">
        <v>0</v>
      </c>
      <c r="K139" s="1994">
        <v>0</v>
      </c>
      <c r="L139" s="1994">
        <v>0</v>
      </c>
      <c r="M139" s="1995"/>
      <c r="N139" s="1595">
        <f>SUM(G139:L139)</f>
        <v>9486521</v>
      </c>
      <c r="O139" s="1799"/>
    </row>
    <row r="140" spans="1:16" s="353" customFormat="1" ht="12.75" hidden="1" customHeight="1">
      <c r="A140" s="3558"/>
      <c r="B140" s="2151" t="s">
        <v>438</v>
      </c>
      <c r="C140" s="3571"/>
      <c r="D140" s="2152">
        <f>SUM(E140:L140)</f>
        <v>1008500</v>
      </c>
      <c r="E140" s="1795">
        <v>0</v>
      </c>
      <c r="F140" s="1795">
        <f>293500-190200-8805</f>
        <v>94495</v>
      </c>
      <c r="G140" s="1795">
        <f>483000-13800+130805-259123</f>
        <v>340882</v>
      </c>
      <c r="H140" s="1795">
        <f>378000-92000+28000+259123</f>
        <v>573123</v>
      </c>
      <c r="I140" s="1795">
        <v>0</v>
      </c>
      <c r="J140" s="1795">
        <v>0</v>
      </c>
      <c r="K140" s="1795">
        <v>0</v>
      </c>
      <c r="L140" s="1795">
        <v>0</v>
      </c>
      <c r="M140" s="1708"/>
      <c r="N140" s="1595">
        <f>SUM(G140:L140)</f>
        <v>914005</v>
      </c>
      <c r="O140" s="1799"/>
    </row>
    <row r="141" spans="1:16" s="1796" customFormat="1" ht="12.75" hidden="1" customHeight="1">
      <c r="A141" s="3558"/>
      <c r="B141" s="2151" t="s">
        <v>102</v>
      </c>
      <c r="C141" s="3571"/>
      <c r="D141" s="2152">
        <f>SUM(E141:L141)</f>
        <v>603500</v>
      </c>
      <c r="E141" s="1795">
        <v>0</v>
      </c>
      <c r="F141" s="1795">
        <f>174000-30000-144000</f>
        <v>0</v>
      </c>
      <c r="G141" s="1795">
        <f>453000-110000-139686</f>
        <v>203314</v>
      </c>
      <c r="H141" s="1795">
        <f>228000+32500+139686</f>
        <v>400186</v>
      </c>
      <c r="I141" s="1795">
        <v>0</v>
      </c>
      <c r="J141" s="1795">
        <v>0</v>
      </c>
      <c r="K141" s="1795">
        <v>0</v>
      </c>
      <c r="L141" s="1795">
        <v>0</v>
      </c>
      <c r="M141" s="1708"/>
      <c r="N141" s="1595">
        <f>SUM(G141:L141)</f>
        <v>603500</v>
      </c>
      <c r="O141" s="1799"/>
    </row>
    <row r="142" spans="1:16" s="1796" customFormat="1" ht="12.75" hidden="1" customHeight="1">
      <c r="A142" s="3558"/>
      <c r="B142" s="2151" t="s">
        <v>219</v>
      </c>
      <c r="C142" s="3571"/>
      <c r="D142" s="2152">
        <f>SUM(E142:L142)</f>
        <v>1894000</v>
      </c>
      <c r="E142" s="1795">
        <v>0</v>
      </c>
      <c r="F142" s="1795">
        <f>1015500-784500-231000</f>
        <v>0</v>
      </c>
      <c r="G142" s="1795">
        <f>926500+110500+47050-701550</f>
        <v>382500</v>
      </c>
      <c r="H142" s="1795">
        <f>342000+284000+183950+701550</f>
        <v>1511500</v>
      </c>
      <c r="I142" s="1795">
        <v>0</v>
      </c>
      <c r="J142" s="1795">
        <v>0</v>
      </c>
      <c r="K142" s="1795">
        <v>0</v>
      </c>
      <c r="L142" s="1795">
        <v>0</v>
      </c>
      <c r="M142" s="1708"/>
      <c r="N142" s="1595">
        <f>SUM(G142:L142)</f>
        <v>1894000</v>
      </c>
      <c r="O142" s="1799"/>
    </row>
    <row r="143" spans="1:16" s="1796" customFormat="1" ht="12.75" hidden="1" customHeight="1">
      <c r="A143" s="3558"/>
      <c r="B143" s="2151" t="s">
        <v>288</v>
      </c>
      <c r="C143" s="3624"/>
      <c r="D143" s="2152">
        <f>SUM(E143:L143)</f>
        <v>497700</v>
      </c>
      <c r="E143" s="1795">
        <v>0</v>
      </c>
      <c r="F143" s="1795">
        <f>140000-48300-13391</f>
        <v>78309</v>
      </c>
      <c r="G143" s="1795">
        <f>260000-78000+13391</f>
        <v>195391</v>
      </c>
      <c r="H143" s="1795">
        <f>260000-78000</f>
        <v>182000</v>
      </c>
      <c r="I143" s="1795">
        <f>0+42000</f>
        <v>42000</v>
      </c>
      <c r="J143" s="1795">
        <v>0</v>
      </c>
      <c r="K143" s="1795">
        <v>0</v>
      </c>
      <c r="L143" s="1795">
        <v>0</v>
      </c>
      <c r="M143" s="1708"/>
      <c r="N143" s="1595">
        <f>SUM(G143:L143)</f>
        <v>419391</v>
      </c>
      <c r="O143" s="1799"/>
    </row>
    <row r="144" spans="1:16">
      <c r="A144" s="3560"/>
      <c r="B144" s="1852" t="s">
        <v>21</v>
      </c>
      <c r="C144" s="1376"/>
      <c r="D144" s="1596">
        <f>D145</f>
        <v>13580221</v>
      </c>
      <c r="E144" s="1596">
        <f>+E145</f>
        <v>0</v>
      </c>
      <c r="F144" s="1596">
        <f>+F145</f>
        <v>0</v>
      </c>
      <c r="G144" s="1596">
        <f>+G145</f>
        <v>5600765</v>
      </c>
      <c r="H144" s="1596">
        <f>+H145</f>
        <v>7979456</v>
      </c>
      <c r="I144" s="1596">
        <f>I145</f>
        <v>0</v>
      </c>
      <c r="J144" s="1596">
        <f>+J145</f>
        <v>0</v>
      </c>
      <c r="K144" s="1596">
        <f>+K145</f>
        <v>0</v>
      </c>
      <c r="L144" s="1596">
        <f>L145</f>
        <v>0</v>
      </c>
      <c r="M144" s="3551" t="s">
        <v>53</v>
      </c>
      <c r="N144" s="3551" t="s">
        <v>53</v>
      </c>
      <c r="O144" s="3567" t="s">
        <v>437</v>
      </c>
      <c r="P144" s="3159">
        <f>G144-'[1]Tab. 6B Polit społ i rozwój prz'!$G$130</f>
        <v>-2734935</v>
      </c>
    </row>
    <row r="145" spans="1:16" s="3163" customFormat="1" ht="13.5" customHeight="1">
      <c r="A145" s="3560"/>
      <c r="B145" s="1865" t="s">
        <v>18</v>
      </c>
      <c r="C145" s="3570" t="s">
        <v>436</v>
      </c>
      <c r="D145" s="1294">
        <f t="shared" ref="D145:L145" si="126">+D146</f>
        <v>13580221</v>
      </c>
      <c r="E145" s="1294">
        <f t="shared" si="126"/>
        <v>0</v>
      </c>
      <c r="F145" s="1294">
        <f t="shared" si="126"/>
        <v>0</v>
      </c>
      <c r="G145" s="1294">
        <f t="shared" si="126"/>
        <v>5600765</v>
      </c>
      <c r="H145" s="1294">
        <f t="shared" si="126"/>
        <v>7979456</v>
      </c>
      <c r="I145" s="1294">
        <f t="shared" si="126"/>
        <v>0</v>
      </c>
      <c r="J145" s="1294">
        <f t="shared" si="126"/>
        <v>0</v>
      </c>
      <c r="K145" s="1294">
        <f t="shared" si="126"/>
        <v>0</v>
      </c>
      <c r="L145" s="1294">
        <f t="shared" si="126"/>
        <v>0</v>
      </c>
      <c r="M145" s="3551"/>
      <c r="N145" s="3551"/>
      <c r="O145" s="3568"/>
    </row>
    <row r="146" spans="1:16" s="3163" customFormat="1" ht="15" customHeight="1" thickBot="1">
      <c r="A146" s="3561"/>
      <c r="B146" s="1866" t="s">
        <v>20</v>
      </c>
      <c r="C146" s="3572"/>
      <c r="D146" s="1955">
        <f>E146+F146+G146+H146+I146+J146+K146+L146</f>
        <v>13580221</v>
      </c>
      <c r="E146" s="1570">
        <v>0</v>
      </c>
      <c r="F146" s="1629">
        <f>4323000-30000-4293000</f>
        <v>0</v>
      </c>
      <c r="G146" s="1629">
        <f>5291500+3044200+3368437-6103372</f>
        <v>5600765</v>
      </c>
      <c r="H146" s="1586">
        <f>3252159+1093225-2469300+6103372</f>
        <v>7979456</v>
      </c>
      <c r="I146" s="1586">
        <f>0+579137-579137</f>
        <v>0</v>
      </c>
      <c r="J146" s="1586">
        <v>0</v>
      </c>
      <c r="K146" s="1586">
        <v>0</v>
      </c>
      <c r="L146" s="1586">
        <v>0</v>
      </c>
      <c r="M146" s="3369"/>
      <c r="N146" s="3369"/>
      <c r="O146" s="3569"/>
      <c r="P146" s="3166">
        <f>D146-'[3]Tab. 6B Polit społ i rozwój prz'!$D$258</f>
        <v>743562</v>
      </c>
    </row>
    <row r="147" spans="1:16" ht="39" customHeight="1">
      <c r="A147" s="3588" t="s">
        <v>83</v>
      </c>
      <c r="B147" s="1134" t="s">
        <v>534</v>
      </c>
      <c r="C147" s="1135" t="s">
        <v>74</v>
      </c>
      <c r="D147" s="1069"/>
      <c r="E147" s="2638"/>
      <c r="F147" s="2638"/>
      <c r="G147" s="2638"/>
      <c r="H147" s="2638"/>
      <c r="I147" s="2638"/>
      <c r="J147" s="2638"/>
      <c r="K147" s="2638"/>
      <c r="L147" s="41"/>
      <c r="M147" s="526"/>
      <c r="N147" s="526"/>
      <c r="O147" s="3545" t="s">
        <v>660</v>
      </c>
    </row>
    <row r="148" spans="1:16">
      <c r="A148" s="3557"/>
      <c r="B148" s="1219" t="s">
        <v>10</v>
      </c>
      <c r="C148" s="1136"/>
      <c r="D148" s="1220">
        <f>+D149</f>
        <v>35876</v>
      </c>
      <c r="E148" s="1221">
        <f t="shared" ref="E148" si="127">E149</f>
        <v>0</v>
      </c>
      <c r="F148" s="1221">
        <f t="shared" ref="F148:L148" si="128">F149</f>
        <v>8753</v>
      </c>
      <c r="G148" s="1221">
        <f t="shared" si="128"/>
        <v>27123</v>
      </c>
      <c r="H148" s="1221">
        <f t="shared" si="128"/>
        <v>0</v>
      </c>
      <c r="I148" s="1221">
        <f t="shared" si="128"/>
        <v>0</v>
      </c>
      <c r="J148" s="1221">
        <f t="shared" si="128"/>
        <v>0</v>
      </c>
      <c r="K148" s="1221">
        <f t="shared" si="128"/>
        <v>0</v>
      </c>
      <c r="L148" s="1221">
        <f t="shared" si="128"/>
        <v>0</v>
      </c>
      <c r="M148" s="1222">
        <f>M149</f>
        <v>35876</v>
      </c>
      <c r="N148" s="1222">
        <f>N149</f>
        <v>27123</v>
      </c>
      <c r="O148" s="3546"/>
    </row>
    <row r="149" spans="1:16" ht="13.15" customHeight="1">
      <c r="A149" s="3557"/>
      <c r="B149" s="1223" t="s">
        <v>18</v>
      </c>
      <c r="C149" s="3618" t="s">
        <v>440</v>
      </c>
      <c r="D149" s="1232">
        <f>+D150</f>
        <v>35876</v>
      </c>
      <c r="E149" s="1232">
        <f t="shared" ref="E149:L149" si="129">+E150</f>
        <v>0</v>
      </c>
      <c r="F149" s="1232">
        <f t="shared" si="129"/>
        <v>8753</v>
      </c>
      <c r="G149" s="1232">
        <f t="shared" si="129"/>
        <v>27123</v>
      </c>
      <c r="H149" s="1232">
        <f t="shared" si="129"/>
        <v>0</v>
      </c>
      <c r="I149" s="1232">
        <f t="shared" si="129"/>
        <v>0</v>
      </c>
      <c r="J149" s="1232">
        <f t="shared" si="129"/>
        <v>0</v>
      </c>
      <c r="K149" s="1232">
        <f t="shared" si="129"/>
        <v>0</v>
      </c>
      <c r="L149" s="1232">
        <f t="shared" si="129"/>
        <v>0</v>
      </c>
      <c r="M149" s="1233">
        <f>+M150</f>
        <v>35876</v>
      </c>
      <c r="N149" s="1233">
        <f>+N150</f>
        <v>27123</v>
      </c>
      <c r="O149" s="3546"/>
    </row>
    <row r="150" spans="1:16">
      <c r="A150" s="3557"/>
      <c r="B150" s="1226" t="s">
        <v>20</v>
      </c>
      <c r="C150" s="3619"/>
      <c r="D150" s="1216">
        <f>E150+F150+G150+H150+I150+J150+K150+L150</f>
        <v>35876</v>
      </c>
      <c r="E150" s="1227">
        <v>0</v>
      </c>
      <c r="F150" s="1229">
        <f>+F151+F152+F153</f>
        <v>8753</v>
      </c>
      <c r="G150" s="1229">
        <f t="shared" ref="G150:K150" si="130">+G151+G152+G153</f>
        <v>27123</v>
      </c>
      <c r="H150" s="1229">
        <f t="shared" si="130"/>
        <v>0</v>
      </c>
      <c r="I150" s="1229">
        <f t="shared" si="130"/>
        <v>0</v>
      </c>
      <c r="J150" s="1229">
        <f t="shared" si="130"/>
        <v>0</v>
      </c>
      <c r="K150" s="1229">
        <f t="shared" si="130"/>
        <v>0</v>
      </c>
      <c r="L150" s="1229">
        <f t="shared" ref="L150" si="131">+L151+L152</f>
        <v>0</v>
      </c>
      <c r="M150" s="850">
        <f>SUM(F150:K150)</f>
        <v>35876</v>
      </c>
      <c r="N150" s="850">
        <f>SUM(G150:L150)</f>
        <v>27123</v>
      </c>
      <c r="O150" s="3546"/>
    </row>
    <row r="151" spans="1:16" ht="12" hidden="1" customHeight="1">
      <c r="A151" s="3557"/>
      <c r="B151" s="1867" t="s">
        <v>437</v>
      </c>
      <c r="C151" s="1632"/>
      <c r="D151" s="1231">
        <f>SUM(E151:L151)</f>
        <v>0</v>
      </c>
      <c r="E151" s="1229">
        <v>0</v>
      </c>
      <c r="F151" s="1229">
        <f>30000-30000</f>
        <v>0</v>
      </c>
      <c r="G151" s="1229">
        <f>500000-398000-102000</f>
        <v>0</v>
      </c>
      <c r="H151" s="1229">
        <f>100000-49000-51000</f>
        <v>0</v>
      </c>
      <c r="I151" s="1229">
        <f>0+17000-17000</f>
        <v>0</v>
      </c>
      <c r="J151" s="1229">
        <v>0</v>
      </c>
      <c r="K151" s="1229">
        <v>0</v>
      </c>
      <c r="L151" s="1229">
        <v>0</v>
      </c>
      <c r="M151" s="1230"/>
      <c r="N151" s="1230"/>
      <c r="O151" s="1799"/>
      <c r="P151" s="3159">
        <f>D150-D156</f>
        <v>0</v>
      </c>
    </row>
    <row r="152" spans="1:16" ht="12" hidden="1" customHeight="1">
      <c r="A152" s="3557"/>
      <c r="B152" s="1867" t="s">
        <v>438</v>
      </c>
      <c r="C152" s="2951"/>
      <c r="D152" s="1231">
        <f>SUM(E152:L152)</f>
        <v>0</v>
      </c>
      <c r="E152" s="1229">
        <v>0</v>
      </c>
      <c r="F152" s="1229">
        <f>80000-80000</f>
        <v>0</v>
      </c>
      <c r="G152" s="1229">
        <f>130000-130000</f>
        <v>0</v>
      </c>
      <c r="H152" s="1229">
        <f>20000-20000</f>
        <v>0</v>
      </c>
      <c r="I152" s="1229">
        <v>0</v>
      </c>
      <c r="J152" s="1229">
        <v>0</v>
      </c>
      <c r="K152" s="1229">
        <v>0</v>
      </c>
      <c r="L152" s="1229">
        <v>0</v>
      </c>
      <c r="M152" s="1230"/>
      <c r="N152" s="1230"/>
      <c r="O152" s="1799"/>
    </row>
    <row r="153" spans="1:16" s="3172" customFormat="1" ht="12" hidden="1" customHeight="1">
      <c r="A153" s="3557"/>
      <c r="B153" s="1867" t="s">
        <v>102</v>
      </c>
      <c r="C153" s="2951"/>
      <c r="D153" s="1231">
        <f>SUM(E153:L153)</f>
        <v>35876</v>
      </c>
      <c r="E153" s="1229"/>
      <c r="F153" s="1229">
        <f>30000-21247</f>
        <v>8753</v>
      </c>
      <c r="G153" s="1229">
        <f>0+27123</f>
        <v>27123</v>
      </c>
      <c r="H153" s="1229">
        <v>0</v>
      </c>
      <c r="I153" s="1229">
        <v>0</v>
      </c>
      <c r="J153" s="1229">
        <v>0</v>
      </c>
      <c r="K153" s="1229">
        <v>0</v>
      </c>
      <c r="L153" s="1229">
        <v>0</v>
      </c>
      <c r="M153" s="1230"/>
      <c r="N153" s="1230"/>
      <c r="O153" s="1799"/>
    </row>
    <row r="154" spans="1:16">
      <c r="A154" s="3559"/>
      <c r="B154" s="1219" t="s">
        <v>21</v>
      </c>
      <c r="C154" s="1234"/>
      <c r="D154" s="1235">
        <f>D155</f>
        <v>35876</v>
      </c>
      <c r="E154" s="1235">
        <f>+E155</f>
        <v>0</v>
      </c>
      <c r="F154" s="1235">
        <f>+F155</f>
        <v>0</v>
      </c>
      <c r="G154" s="1235">
        <f>+G155</f>
        <v>35876</v>
      </c>
      <c r="H154" s="1235">
        <f>+H155</f>
        <v>0</v>
      </c>
      <c r="I154" s="1235">
        <f>I155</f>
        <v>0</v>
      </c>
      <c r="J154" s="1235">
        <f>+J155</f>
        <v>0</v>
      </c>
      <c r="K154" s="1235">
        <f>+K155</f>
        <v>0</v>
      </c>
      <c r="L154" s="1235">
        <f>L155</f>
        <v>0</v>
      </c>
      <c r="M154" s="3565" t="s">
        <v>53</v>
      </c>
      <c r="N154" s="3565" t="s">
        <v>53</v>
      </c>
      <c r="O154" s="3567" t="s">
        <v>437</v>
      </c>
    </row>
    <row r="155" spans="1:16">
      <c r="A155" s="3559"/>
      <c r="B155" s="1223" t="s">
        <v>18</v>
      </c>
      <c r="C155" s="3620" t="s">
        <v>436</v>
      </c>
      <c r="D155" s="1232">
        <f t="shared" ref="D155:L155" si="132">+D156</f>
        <v>35876</v>
      </c>
      <c r="E155" s="1232">
        <f t="shared" si="132"/>
        <v>0</v>
      </c>
      <c r="F155" s="1232">
        <f t="shared" si="132"/>
        <v>0</v>
      </c>
      <c r="G155" s="1232">
        <f t="shared" si="132"/>
        <v>35876</v>
      </c>
      <c r="H155" s="1232">
        <f t="shared" si="132"/>
        <v>0</v>
      </c>
      <c r="I155" s="1232">
        <f t="shared" si="132"/>
        <v>0</v>
      </c>
      <c r="J155" s="1232">
        <f t="shared" si="132"/>
        <v>0</v>
      </c>
      <c r="K155" s="1232">
        <f t="shared" si="132"/>
        <v>0</v>
      </c>
      <c r="L155" s="1232">
        <f t="shared" si="132"/>
        <v>0</v>
      </c>
      <c r="M155" s="3565"/>
      <c r="N155" s="3565"/>
      <c r="O155" s="3568"/>
    </row>
    <row r="156" spans="1:16" ht="13.5" thickBot="1">
      <c r="A156" s="3561"/>
      <c r="B156" s="527" t="s">
        <v>20</v>
      </c>
      <c r="C156" s="3621"/>
      <c r="D156" s="767">
        <f>E156+F156+G156+H156+I156+J156+K156+L156</f>
        <v>35876</v>
      </c>
      <c r="E156" s="767">
        <v>0</v>
      </c>
      <c r="F156" s="408">
        <f>110000+30000-140000</f>
        <v>0</v>
      </c>
      <c r="G156" s="408">
        <f>520000-252124-232000</f>
        <v>35876</v>
      </c>
      <c r="H156" s="408">
        <f>120000-49000-71000</f>
        <v>0</v>
      </c>
      <c r="I156" s="408">
        <f>0+17000-17000</f>
        <v>0</v>
      </c>
      <c r="J156" s="408">
        <v>0</v>
      </c>
      <c r="K156" s="408">
        <v>0</v>
      </c>
      <c r="L156" s="408">
        <v>0</v>
      </c>
      <c r="M156" s="3566"/>
      <c r="N156" s="3566"/>
      <c r="O156" s="3569"/>
      <c r="P156" s="3159"/>
    </row>
    <row r="157" spans="1:16" ht="26.25" customHeight="1">
      <c r="A157" s="3588" t="s">
        <v>84</v>
      </c>
      <c r="B157" s="1134" t="s">
        <v>552</v>
      </c>
      <c r="C157" s="1135" t="s">
        <v>101</v>
      </c>
      <c r="D157" s="1069"/>
      <c r="E157" s="1069"/>
      <c r="F157" s="1069"/>
      <c r="G157" s="1069"/>
      <c r="H157" s="1069"/>
      <c r="I157" s="1069"/>
      <c r="J157" s="1069"/>
      <c r="K157" s="1069"/>
      <c r="L157" s="1069"/>
      <c r="M157" s="1069"/>
      <c r="N157" s="1069"/>
      <c r="O157" s="3545" t="s">
        <v>310</v>
      </c>
      <c r="P157" s="3159">
        <f>D158+D176</f>
        <v>1218280</v>
      </c>
    </row>
    <row r="158" spans="1:16" ht="14.25" customHeight="1">
      <c r="A158" s="3557"/>
      <c r="B158" s="1219" t="s">
        <v>10</v>
      </c>
      <c r="C158" s="1136"/>
      <c r="D158" s="1220">
        <f>+D159+D166</f>
        <v>1184280</v>
      </c>
      <c r="E158" s="1690">
        <f t="shared" ref="E158:N158" si="133">+E159+E166</f>
        <v>0</v>
      </c>
      <c r="F158" s="1690">
        <f t="shared" si="133"/>
        <v>0</v>
      </c>
      <c r="G158" s="1221">
        <f t="shared" si="133"/>
        <v>651754</v>
      </c>
      <c r="H158" s="1221">
        <f t="shared" si="133"/>
        <v>532526</v>
      </c>
      <c r="I158" s="1690">
        <f t="shared" si="133"/>
        <v>0</v>
      </c>
      <c r="J158" s="1690">
        <f t="shared" si="133"/>
        <v>0</v>
      </c>
      <c r="K158" s="1690">
        <f t="shared" si="133"/>
        <v>0</v>
      </c>
      <c r="L158" s="1690">
        <f t="shared" si="133"/>
        <v>0</v>
      </c>
      <c r="M158" s="1222">
        <f t="shared" si="133"/>
        <v>1060852</v>
      </c>
      <c r="N158" s="1222">
        <f t="shared" si="133"/>
        <v>1184280</v>
      </c>
      <c r="O158" s="3546"/>
    </row>
    <row r="159" spans="1:16">
      <c r="A159" s="3557"/>
      <c r="B159" s="1223" t="s">
        <v>23</v>
      </c>
      <c r="C159" s="3562" t="s">
        <v>551</v>
      </c>
      <c r="D159" s="1224">
        <f>+D160+D163</f>
        <v>177642</v>
      </c>
      <c r="E159" s="1691">
        <f t="shared" ref="E159:L159" si="134">+E160+E163</f>
        <v>0</v>
      </c>
      <c r="F159" s="1691">
        <f t="shared" si="134"/>
        <v>0</v>
      </c>
      <c r="G159" s="1224">
        <f t="shared" si="134"/>
        <v>97763</v>
      </c>
      <c r="H159" s="1224">
        <f t="shared" si="134"/>
        <v>79879</v>
      </c>
      <c r="I159" s="1691">
        <f t="shared" si="134"/>
        <v>0</v>
      </c>
      <c r="J159" s="1691">
        <f t="shared" si="134"/>
        <v>0</v>
      </c>
      <c r="K159" s="1691">
        <f t="shared" si="134"/>
        <v>0</v>
      </c>
      <c r="L159" s="1691">
        <f t="shared" si="134"/>
        <v>0</v>
      </c>
      <c r="M159" s="1225">
        <f t="shared" ref="M159" si="135">+M160</f>
        <v>54214</v>
      </c>
      <c r="N159" s="1225">
        <f>+N160+N163</f>
        <v>177642</v>
      </c>
      <c r="O159" s="3546"/>
    </row>
    <row r="160" spans="1:16">
      <c r="A160" s="3557"/>
      <c r="B160" s="1226" t="s">
        <v>12</v>
      </c>
      <c r="C160" s="3563"/>
      <c r="D160" s="1216">
        <f>E160+F160+G160+H160+I160+J160+K160+L160</f>
        <v>54214</v>
      </c>
      <c r="E160" s="1692">
        <v>0</v>
      </c>
      <c r="F160" s="1693">
        <v>0</v>
      </c>
      <c r="G160" s="1228">
        <f>G161+G162</f>
        <v>29769</v>
      </c>
      <c r="H160" s="1228">
        <f t="shared" ref="H160:L160" si="136">H161+H162</f>
        <v>24445</v>
      </c>
      <c r="I160" s="1693">
        <f t="shared" si="136"/>
        <v>0</v>
      </c>
      <c r="J160" s="1693">
        <f t="shared" si="136"/>
        <v>0</v>
      </c>
      <c r="K160" s="1693">
        <f t="shared" si="136"/>
        <v>0</v>
      </c>
      <c r="L160" s="1693">
        <f t="shared" si="136"/>
        <v>0</v>
      </c>
      <c r="M160" s="831">
        <f>SUM(F160:K160)</f>
        <v>54214</v>
      </c>
      <c r="N160" s="831">
        <f>SUM(G160:L160)</f>
        <v>54214</v>
      </c>
      <c r="O160" s="3546"/>
    </row>
    <row r="161" spans="1:16" s="353" customFormat="1" hidden="1">
      <c r="A161" s="3557"/>
      <c r="B161" s="1694" t="s">
        <v>288</v>
      </c>
      <c r="C161" s="3563"/>
      <c r="D161" s="1695">
        <f>SUM(E161:L161)</f>
        <v>28440</v>
      </c>
      <c r="E161" s="1696">
        <v>0</v>
      </c>
      <c r="F161" s="1697">
        <v>0</v>
      </c>
      <c r="G161" s="1698">
        <v>14220</v>
      </c>
      <c r="H161" s="1698">
        <v>14220</v>
      </c>
      <c r="I161" s="1696">
        <v>0</v>
      </c>
      <c r="J161" s="1696">
        <v>0</v>
      </c>
      <c r="K161" s="1696">
        <v>0</v>
      </c>
      <c r="L161" s="1696">
        <v>0</v>
      </c>
      <c r="M161" s="1699"/>
      <c r="N161" s="1700">
        <f>SUM(G161:L161)</f>
        <v>28440</v>
      </c>
      <c r="O161" s="3546"/>
    </row>
    <row r="162" spans="1:16" s="353" customFormat="1" hidden="1">
      <c r="A162" s="3557"/>
      <c r="B162" s="1701" t="s">
        <v>305</v>
      </c>
      <c r="C162" s="3563"/>
      <c r="D162" s="1702">
        <f>SUM(E162:L162)</f>
        <v>25774</v>
      </c>
      <c r="E162" s="1703">
        <v>0</v>
      </c>
      <c r="F162" s="1704">
        <v>0</v>
      </c>
      <c r="G162" s="1705">
        <f>14199+1350</f>
        <v>15549</v>
      </c>
      <c r="H162" s="1705">
        <f>10075+150</f>
        <v>10225</v>
      </c>
      <c r="I162" s="1703">
        <v>0</v>
      </c>
      <c r="J162" s="1703">
        <v>0</v>
      </c>
      <c r="K162" s="1703">
        <v>0</v>
      </c>
      <c r="L162" s="1703">
        <v>0</v>
      </c>
      <c r="M162" s="1699"/>
      <c r="N162" s="1700">
        <f>SUM(G162:L162)</f>
        <v>25774</v>
      </c>
      <c r="O162" s="3546"/>
    </row>
    <row r="163" spans="1:16" s="1707" customFormat="1">
      <c r="A163" s="3558"/>
      <c r="B163" s="809" t="s">
        <v>13</v>
      </c>
      <c r="C163" s="3564"/>
      <c r="D163" s="1216">
        <f>E163+F163+G163+H163+I163+J163+K163+L163</f>
        <v>123428</v>
      </c>
      <c r="E163" s="1692">
        <v>0</v>
      </c>
      <c r="F163" s="1693">
        <v>0</v>
      </c>
      <c r="G163" s="1228">
        <f>G164+G165</f>
        <v>67994</v>
      </c>
      <c r="H163" s="1228">
        <f t="shared" ref="H163:L163" si="137">H164+H165</f>
        <v>55434</v>
      </c>
      <c r="I163" s="1693">
        <f t="shared" si="137"/>
        <v>0</v>
      </c>
      <c r="J163" s="1693">
        <f t="shared" si="137"/>
        <v>0</v>
      </c>
      <c r="K163" s="1693">
        <f t="shared" si="137"/>
        <v>0</v>
      </c>
      <c r="L163" s="1693">
        <f t="shared" si="137"/>
        <v>0</v>
      </c>
      <c r="M163" s="1706"/>
      <c r="N163" s="831">
        <f t="shared" ref="N163:N165" si="138">SUM(G163:L163)</f>
        <v>123428</v>
      </c>
      <c r="O163" s="3546"/>
    </row>
    <row r="164" spans="1:16" s="1707" customFormat="1" hidden="1">
      <c r="A164" s="3558"/>
      <c r="B164" s="1694" t="s">
        <v>288</v>
      </c>
      <c r="C164" s="3564"/>
      <c r="D164" s="1695">
        <f>SUM(E164:L164)</f>
        <v>71880</v>
      </c>
      <c r="E164" s="1696">
        <v>0</v>
      </c>
      <c r="F164" s="1697">
        <v>0</v>
      </c>
      <c r="G164" s="1698">
        <v>36896</v>
      </c>
      <c r="H164" s="1698">
        <v>34984</v>
      </c>
      <c r="I164" s="1696">
        <v>0</v>
      </c>
      <c r="J164" s="1696">
        <v>0</v>
      </c>
      <c r="K164" s="1696">
        <v>0</v>
      </c>
      <c r="L164" s="1696">
        <v>0</v>
      </c>
      <c r="M164" s="1708"/>
      <c r="N164" s="850">
        <f t="shared" si="138"/>
        <v>71880</v>
      </c>
      <c r="O164" s="3546"/>
    </row>
    <row r="165" spans="1:16" s="1707" customFormat="1" hidden="1">
      <c r="A165" s="3558"/>
      <c r="B165" s="1701" t="s">
        <v>305</v>
      </c>
      <c r="C165" s="3564"/>
      <c r="D165" s="1702">
        <f>SUM(E165:L165)</f>
        <v>51548</v>
      </c>
      <c r="E165" s="1703">
        <v>0</v>
      </c>
      <c r="F165" s="1704">
        <v>0</v>
      </c>
      <c r="G165" s="1705">
        <f>28398+2700</f>
        <v>31098</v>
      </c>
      <c r="H165" s="1705">
        <f>20150+300</f>
        <v>20450</v>
      </c>
      <c r="I165" s="1703">
        <v>0</v>
      </c>
      <c r="J165" s="1703">
        <v>0</v>
      </c>
      <c r="K165" s="1703">
        <v>0</v>
      </c>
      <c r="L165" s="1703">
        <v>0</v>
      </c>
      <c r="M165" s="1708"/>
      <c r="N165" s="850">
        <f t="shared" si="138"/>
        <v>51548</v>
      </c>
      <c r="O165" s="3546"/>
    </row>
    <row r="166" spans="1:16">
      <c r="A166" s="3557"/>
      <c r="B166" s="1223" t="s">
        <v>18</v>
      </c>
      <c r="C166" s="3563"/>
      <c r="D166" s="1232">
        <f>+D167</f>
        <v>1006638</v>
      </c>
      <c r="E166" s="1631">
        <f t="shared" ref="E166:L166" si="139">+E167</f>
        <v>0</v>
      </c>
      <c r="F166" s="1631">
        <f t="shared" si="139"/>
        <v>0</v>
      </c>
      <c r="G166" s="1232">
        <f t="shared" si="139"/>
        <v>553991</v>
      </c>
      <c r="H166" s="1232">
        <f t="shared" si="139"/>
        <v>452647</v>
      </c>
      <c r="I166" s="1631">
        <f t="shared" si="139"/>
        <v>0</v>
      </c>
      <c r="J166" s="1631">
        <f t="shared" si="139"/>
        <v>0</v>
      </c>
      <c r="K166" s="1631">
        <f t="shared" si="139"/>
        <v>0</v>
      </c>
      <c r="L166" s="1631">
        <f t="shared" si="139"/>
        <v>0</v>
      </c>
      <c r="M166" s="1233">
        <f>+M167</f>
        <v>1006638</v>
      </c>
      <c r="N166" s="1233">
        <f>+N167</f>
        <v>1006638</v>
      </c>
      <c r="O166" s="3546"/>
    </row>
    <row r="167" spans="1:16">
      <c r="A167" s="3557"/>
      <c r="B167" s="1226" t="s">
        <v>20</v>
      </c>
      <c r="C167" s="3563"/>
      <c r="D167" s="1216">
        <f>E167+F167+G167+H167+I167+J167+K167+L167</f>
        <v>1006638</v>
      </c>
      <c r="E167" s="1692">
        <v>0</v>
      </c>
      <c r="F167" s="1709">
        <v>0</v>
      </c>
      <c r="G167" s="1229">
        <f>G168+G169</f>
        <v>553991</v>
      </c>
      <c r="H167" s="1229">
        <f t="shared" ref="H167" si="140">H168+H169</f>
        <v>452647</v>
      </c>
      <c r="I167" s="1709">
        <f t="shared" ref="I167" si="141">I168+I169</f>
        <v>0</v>
      </c>
      <c r="J167" s="1709">
        <f t="shared" ref="J167" si="142">J168+J169</f>
        <v>0</v>
      </c>
      <c r="K167" s="1709">
        <f t="shared" ref="K167" si="143">K168+K169</f>
        <v>0</v>
      </c>
      <c r="L167" s="1709">
        <f t="shared" ref="L167" si="144">L168+L169</f>
        <v>0</v>
      </c>
      <c r="M167" s="850">
        <f>SUM(F167:K167)</f>
        <v>1006638</v>
      </c>
      <c r="N167" s="850">
        <f>SUM(G167:L167)</f>
        <v>1006638</v>
      </c>
      <c r="O167" s="3546"/>
    </row>
    <row r="168" spans="1:16" s="353" customFormat="1" hidden="1">
      <c r="A168" s="3557"/>
      <c r="B168" s="1694" t="s">
        <v>288</v>
      </c>
      <c r="C168" s="1710"/>
      <c r="D168" s="1695">
        <f>SUM(E168:L168)</f>
        <v>568480</v>
      </c>
      <c r="E168" s="1696">
        <v>0</v>
      </c>
      <c r="F168" s="1696">
        <v>0</v>
      </c>
      <c r="G168" s="1698">
        <v>289658</v>
      </c>
      <c r="H168" s="1698">
        <v>278822</v>
      </c>
      <c r="I168" s="1696">
        <v>0</v>
      </c>
      <c r="J168" s="1696">
        <v>0</v>
      </c>
      <c r="K168" s="1696">
        <v>0</v>
      </c>
      <c r="L168" s="1696">
        <v>0</v>
      </c>
      <c r="M168" s="1699"/>
      <c r="N168" s="1700">
        <f>SUM(G168:L168)</f>
        <v>568480</v>
      </c>
      <c r="O168" s="3546"/>
    </row>
    <row r="169" spans="1:16" s="353" customFormat="1" hidden="1">
      <c r="A169" s="3557"/>
      <c r="B169" s="1701" t="s">
        <v>305</v>
      </c>
      <c r="C169" s="1711"/>
      <c r="D169" s="1702">
        <f>SUM(E169:L169)</f>
        <v>438158</v>
      </c>
      <c r="E169" s="1703">
        <v>0</v>
      </c>
      <c r="F169" s="1703">
        <v>0</v>
      </c>
      <c r="G169" s="1705">
        <f>241383+22950</f>
        <v>264333</v>
      </c>
      <c r="H169" s="1705">
        <f>171275+2550</f>
        <v>173825</v>
      </c>
      <c r="I169" s="1703">
        <v>0</v>
      </c>
      <c r="J169" s="1703">
        <v>0</v>
      </c>
      <c r="K169" s="1703">
        <v>0</v>
      </c>
      <c r="L169" s="1703">
        <v>0</v>
      </c>
      <c r="M169" s="1699"/>
      <c r="N169" s="1700">
        <f>SUM(G169:L169)</f>
        <v>438158</v>
      </c>
      <c r="O169" s="3547"/>
    </row>
    <row r="170" spans="1:16">
      <c r="A170" s="3559"/>
      <c r="B170" s="1219" t="s">
        <v>21</v>
      </c>
      <c r="C170" s="1219"/>
      <c r="D170" s="1235">
        <f>D173+D171</f>
        <v>1130066</v>
      </c>
      <c r="E170" s="1712">
        <f t="shared" ref="E170:L170" si="145">E173+E171</f>
        <v>0</v>
      </c>
      <c r="F170" s="1712">
        <f t="shared" si="145"/>
        <v>0</v>
      </c>
      <c r="G170" s="1235">
        <f t="shared" si="145"/>
        <v>621985</v>
      </c>
      <c r="H170" s="1235">
        <f t="shared" si="145"/>
        <v>508081</v>
      </c>
      <c r="I170" s="1712">
        <f t="shared" si="145"/>
        <v>0</v>
      </c>
      <c r="J170" s="1712">
        <f t="shared" si="145"/>
        <v>0</v>
      </c>
      <c r="K170" s="1712">
        <f t="shared" si="145"/>
        <v>0</v>
      </c>
      <c r="L170" s="1712">
        <f t="shared" si="145"/>
        <v>0</v>
      </c>
      <c r="M170" s="3565" t="s">
        <v>53</v>
      </c>
      <c r="N170" s="3565" t="s">
        <v>53</v>
      </c>
      <c r="O170" s="3567" t="s">
        <v>617</v>
      </c>
    </row>
    <row r="171" spans="1:16" s="3173" customFormat="1">
      <c r="A171" s="3560"/>
      <c r="B171" s="1662" t="s">
        <v>23</v>
      </c>
      <c r="C171" s="3570" t="s">
        <v>435</v>
      </c>
      <c r="D171" s="1232">
        <f t="shared" ref="D171:L173" si="146">+D172</f>
        <v>123428</v>
      </c>
      <c r="E171" s="1631">
        <f t="shared" si="146"/>
        <v>0</v>
      </c>
      <c r="F171" s="1631">
        <f t="shared" si="146"/>
        <v>0</v>
      </c>
      <c r="G171" s="1232">
        <f t="shared" si="146"/>
        <v>67994</v>
      </c>
      <c r="H171" s="1232">
        <f t="shared" si="146"/>
        <v>55434</v>
      </c>
      <c r="I171" s="1631">
        <f t="shared" si="146"/>
        <v>0</v>
      </c>
      <c r="J171" s="1631">
        <f t="shared" si="146"/>
        <v>0</v>
      </c>
      <c r="K171" s="1631">
        <f t="shared" si="146"/>
        <v>0</v>
      </c>
      <c r="L171" s="1631">
        <f t="shared" si="146"/>
        <v>0</v>
      </c>
      <c r="M171" s="3551"/>
      <c r="N171" s="3551"/>
      <c r="O171" s="3568"/>
    </row>
    <row r="172" spans="1:16" s="3173" customFormat="1">
      <c r="A172" s="3560"/>
      <c r="B172" s="809" t="s">
        <v>13</v>
      </c>
      <c r="C172" s="3571"/>
      <c r="D172" s="1267">
        <f>E172+F172+G172+H172+I172+J172+K172+L172</f>
        <v>123428</v>
      </c>
      <c r="E172" s="1713">
        <v>0</v>
      </c>
      <c r="F172" s="1713">
        <v>0</v>
      </c>
      <c r="G172" s="1714">
        <f>65294+2700</f>
        <v>67994</v>
      </c>
      <c r="H172" s="1714">
        <f>55134+300</f>
        <v>55434</v>
      </c>
      <c r="I172" s="1713">
        <v>0</v>
      </c>
      <c r="J172" s="1713">
        <v>0</v>
      </c>
      <c r="K172" s="1713">
        <v>0</v>
      </c>
      <c r="L172" s="1713">
        <v>0</v>
      </c>
      <c r="M172" s="3551"/>
      <c r="N172" s="3551"/>
      <c r="O172" s="3568"/>
      <c r="P172" s="3174">
        <f>D172-D163</f>
        <v>0</v>
      </c>
    </row>
    <row r="173" spans="1:16" ht="12.75" customHeight="1">
      <c r="A173" s="3559"/>
      <c r="B173" s="1223" t="s">
        <v>18</v>
      </c>
      <c r="C173" s="3571"/>
      <c r="D173" s="1647">
        <f t="shared" si="146"/>
        <v>1006638</v>
      </c>
      <c r="E173" s="1631">
        <f t="shared" si="146"/>
        <v>0</v>
      </c>
      <c r="F173" s="1631">
        <f t="shared" si="146"/>
        <v>0</v>
      </c>
      <c r="G173" s="1232">
        <f t="shared" si="146"/>
        <v>553991</v>
      </c>
      <c r="H173" s="1232">
        <f t="shared" si="146"/>
        <v>452647</v>
      </c>
      <c r="I173" s="1631">
        <f t="shared" si="146"/>
        <v>0</v>
      </c>
      <c r="J173" s="1631">
        <f t="shared" si="146"/>
        <v>0</v>
      </c>
      <c r="K173" s="1631">
        <f t="shared" si="146"/>
        <v>0</v>
      </c>
      <c r="L173" s="1631">
        <f t="shared" si="146"/>
        <v>0</v>
      </c>
      <c r="M173" s="3565"/>
      <c r="N173" s="3565"/>
      <c r="O173" s="3568"/>
    </row>
    <row r="174" spans="1:16" ht="13.5" thickBot="1">
      <c r="A174" s="3561"/>
      <c r="B174" s="527" t="s">
        <v>20</v>
      </c>
      <c r="C174" s="3572"/>
      <c r="D174" s="767">
        <f>E174+F174+G174+H174+I174+J174+K174+L174</f>
        <v>1006638</v>
      </c>
      <c r="E174" s="544">
        <v>0</v>
      </c>
      <c r="F174" s="805">
        <v>0</v>
      </c>
      <c r="G174" s="408">
        <f>531041+22950</f>
        <v>553991</v>
      </c>
      <c r="H174" s="408">
        <f>450097+2550</f>
        <v>452647</v>
      </c>
      <c r="I174" s="805">
        <v>0</v>
      </c>
      <c r="J174" s="805">
        <v>0</v>
      </c>
      <c r="K174" s="805">
        <v>0</v>
      </c>
      <c r="L174" s="805">
        <v>0</v>
      </c>
      <c r="M174" s="3566"/>
      <c r="N174" s="3566"/>
      <c r="O174" s="3569"/>
      <c r="P174" s="3159">
        <f>D174-D167</f>
        <v>0</v>
      </c>
    </row>
    <row r="175" spans="1:16" ht="27.75" customHeight="1" thickBot="1">
      <c r="A175" s="3643" t="s">
        <v>85</v>
      </c>
      <c r="B175" s="1134" t="s">
        <v>553</v>
      </c>
      <c r="C175" s="1135" t="s">
        <v>74</v>
      </c>
      <c r="D175" s="1069"/>
      <c r="E175" s="2638"/>
      <c r="F175" s="2638"/>
      <c r="G175" s="2638"/>
      <c r="H175" s="2638"/>
      <c r="I175" s="2638"/>
      <c r="J175" s="2638"/>
      <c r="K175" s="2638"/>
      <c r="L175" s="41"/>
      <c r="M175" s="526"/>
      <c r="N175" s="526"/>
      <c r="O175" s="3545" t="s">
        <v>305</v>
      </c>
    </row>
    <row r="176" spans="1:16" ht="13.5" thickBot="1">
      <c r="A176" s="3576"/>
      <c r="B176" s="1219" t="s">
        <v>10</v>
      </c>
      <c r="C176" s="1136"/>
      <c r="D176" s="1220">
        <f t="shared" ref="D176:N176" si="147">+D177+D180</f>
        <v>34000</v>
      </c>
      <c r="E176" s="1690">
        <f t="shared" si="147"/>
        <v>0</v>
      </c>
      <c r="F176" s="1690">
        <f t="shared" si="147"/>
        <v>0</v>
      </c>
      <c r="G176" s="1221">
        <f t="shared" si="147"/>
        <v>34000</v>
      </c>
      <c r="H176" s="1690">
        <f t="shared" si="147"/>
        <v>0</v>
      </c>
      <c r="I176" s="1690">
        <f t="shared" si="147"/>
        <v>0</v>
      </c>
      <c r="J176" s="1690">
        <f t="shared" si="147"/>
        <v>0</v>
      </c>
      <c r="K176" s="1690">
        <f t="shared" si="147"/>
        <v>0</v>
      </c>
      <c r="L176" s="1690">
        <f t="shared" si="147"/>
        <v>0</v>
      </c>
      <c r="M176" s="1222">
        <f t="shared" si="147"/>
        <v>30600</v>
      </c>
      <c r="N176" s="1222">
        <f t="shared" si="147"/>
        <v>34000</v>
      </c>
      <c r="O176" s="3546"/>
    </row>
    <row r="177" spans="1:16" ht="13.5" thickBot="1">
      <c r="A177" s="3576"/>
      <c r="B177" s="1223" t="s">
        <v>23</v>
      </c>
      <c r="C177" s="3562" t="s">
        <v>554</v>
      </c>
      <c r="D177" s="1224">
        <f t="shared" ref="D177:L177" si="148">+D178+D179</f>
        <v>5100</v>
      </c>
      <c r="E177" s="1691">
        <f t="shared" si="148"/>
        <v>0</v>
      </c>
      <c r="F177" s="1691">
        <f t="shared" si="148"/>
        <v>0</v>
      </c>
      <c r="G177" s="1224">
        <f t="shared" si="148"/>
        <v>5100</v>
      </c>
      <c r="H177" s="1691">
        <f t="shared" si="148"/>
        <v>0</v>
      </c>
      <c r="I177" s="1691">
        <f t="shared" si="148"/>
        <v>0</v>
      </c>
      <c r="J177" s="1691">
        <f t="shared" si="148"/>
        <v>0</v>
      </c>
      <c r="K177" s="1691">
        <f t="shared" si="148"/>
        <v>0</v>
      </c>
      <c r="L177" s="1691">
        <f t="shared" si="148"/>
        <v>0</v>
      </c>
      <c r="M177" s="1225">
        <f t="shared" ref="M177" si="149">+M178</f>
        <v>1700</v>
      </c>
      <c r="N177" s="1225">
        <f>+N178+N179</f>
        <v>5100</v>
      </c>
      <c r="O177" s="3546"/>
    </row>
    <row r="178" spans="1:16" ht="13.5" thickBot="1">
      <c r="A178" s="3576"/>
      <c r="B178" s="1226" t="s">
        <v>12</v>
      </c>
      <c r="C178" s="3563"/>
      <c r="D178" s="1216">
        <f>E178+F178+G178+H178+I178+J178+K178+L178</f>
        <v>1700</v>
      </c>
      <c r="E178" s="1692">
        <v>0</v>
      </c>
      <c r="F178" s="1693">
        <v>0</v>
      </c>
      <c r="G178" s="1228">
        <f>2975-1275</f>
        <v>1700</v>
      </c>
      <c r="H178" s="1693">
        <v>0</v>
      </c>
      <c r="I178" s="1693">
        <v>0</v>
      </c>
      <c r="J178" s="1693">
        <v>0</v>
      </c>
      <c r="K178" s="1693">
        <v>0</v>
      </c>
      <c r="L178" s="1693">
        <v>0</v>
      </c>
      <c r="M178" s="831">
        <f>SUM(F178:K178)</f>
        <v>1700</v>
      </c>
      <c r="N178" s="831">
        <f>SUM(G178:L178)</f>
        <v>1700</v>
      </c>
      <c r="O178" s="3546"/>
    </row>
    <row r="179" spans="1:16" s="1707" customFormat="1" ht="13.5" thickBot="1">
      <c r="A179" s="3576"/>
      <c r="B179" s="809" t="s">
        <v>13</v>
      </c>
      <c r="C179" s="3564"/>
      <c r="D179" s="1216">
        <f>E179+F179+G179+H179+I179+J179+K179+L179</f>
        <v>3400</v>
      </c>
      <c r="E179" s="1692">
        <v>0</v>
      </c>
      <c r="F179" s="1693">
        <v>0</v>
      </c>
      <c r="G179" s="1228">
        <f>5950-2550</f>
        <v>3400</v>
      </c>
      <c r="H179" s="1693">
        <v>0</v>
      </c>
      <c r="I179" s="1693">
        <v>0</v>
      </c>
      <c r="J179" s="1693">
        <v>0</v>
      </c>
      <c r="K179" s="1693">
        <v>0</v>
      </c>
      <c r="L179" s="1693">
        <v>0</v>
      </c>
      <c r="M179" s="1706"/>
      <c r="N179" s="831">
        <f t="shared" ref="N179" si="150">SUM(G179:L179)</f>
        <v>3400</v>
      </c>
      <c r="O179" s="3546"/>
    </row>
    <row r="180" spans="1:16" ht="13.5" thickBot="1">
      <c r="A180" s="3576"/>
      <c r="B180" s="1223" t="s">
        <v>18</v>
      </c>
      <c r="C180" s="3563"/>
      <c r="D180" s="1232">
        <f>+D181</f>
        <v>28900</v>
      </c>
      <c r="E180" s="1631">
        <f t="shared" ref="E180:L180" si="151">+E181</f>
        <v>0</v>
      </c>
      <c r="F180" s="1631">
        <f t="shared" si="151"/>
        <v>0</v>
      </c>
      <c r="G180" s="1232">
        <f t="shared" si="151"/>
        <v>28900</v>
      </c>
      <c r="H180" s="1631">
        <f t="shared" si="151"/>
        <v>0</v>
      </c>
      <c r="I180" s="1631">
        <f t="shared" si="151"/>
        <v>0</v>
      </c>
      <c r="J180" s="1631">
        <f t="shared" si="151"/>
        <v>0</v>
      </c>
      <c r="K180" s="1631">
        <f t="shared" si="151"/>
        <v>0</v>
      </c>
      <c r="L180" s="1631">
        <f t="shared" si="151"/>
        <v>0</v>
      </c>
      <c r="M180" s="1233">
        <f>+M181</f>
        <v>28900</v>
      </c>
      <c r="N180" s="1233">
        <f>+N181</f>
        <v>28900</v>
      </c>
      <c r="O180" s="3546"/>
    </row>
    <row r="181" spans="1:16" ht="13.5" thickBot="1">
      <c r="A181" s="3576"/>
      <c r="B181" s="1226" t="s">
        <v>20</v>
      </c>
      <c r="C181" s="3563"/>
      <c r="D181" s="1216">
        <f>E181+F181+G181+H181+I181+J181+K181+L181</f>
        <v>28900</v>
      </c>
      <c r="E181" s="1692">
        <v>0</v>
      </c>
      <c r="F181" s="1709">
        <v>0</v>
      </c>
      <c r="G181" s="1229">
        <f>50575-21675</f>
        <v>28900</v>
      </c>
      <c r="H181" s="1709">
        <v>0</v>
      </c>
      <c r="I181" s="1709">
        <v>0</v>
      </c>
      <c r="J181" s="1709">
        <v>0</v>
      </c>
      <c r="K181" s="1709">
        <v>0</v>
      </c>
      <c r="L181" s="1709">
        <v>0</v>
      </c>
      <c r="M181" s="850">
        <f>SUM(F181:K181)</f>
        <v>28900</v>
      </c>
      <c r="N181" s="850">
        <f>SUM(G181:L181)</f>
        <v>28900</v>
      </c>
      <c r="O181" s="3546"/>
    </row>
    <row r="182" spans="1:16" ht="13.5" thickBot="1">
      <c r="A182" s="3576"/>
      <c r="B182" s="1219" t="s">
        <v>21</v>
      </c>
      <c r="C182" s="1219"/>
      <c r="D182" s="1235">
        <f>D185+D183</f>
        <v>32300</v>
      </c>
      <c r="E182" s="1712">
        <f t="shared" ref="E182" si="152">E185+E183</f>
        <v>0</v>
      </c>
      <c r="F182" s="1712">
        <f t="shared" ref="F182" si="153">F185+F183</f>
        <v>0</v>
      </c>
      <c r="G182" s="1235">
        <f t="shared" ref="G182" si="154">G185+G183</f>
        <v>32300</v>
      </c>
      <c r="H182" s="1712">
        <f t="shared" ref="H182" si="155">H185+H183</f>
        <v>0</v>
      </c>
      <c r="I182" s="1712">
        <f t="shared" ref="I182" si="156">I185+I183</f>
        <v>0</v>
      </c>
      <c r="J182" s="1712">
        <f t="shared" ref="J182" si="157">J185+J183</f>
        <v>0</v>
      </c>
      <c r="K182" s="1712">
        <f t="shared" ref="K182" si="158">K185+K183</f>
        <v>0</v>
      </c>
      <c r="L182" s="1712">
        <f t="shared" ref="L182" si="159">L185+L183</f>
        <v>0</v>
      </c>
      <c r="M182" s="3565" t="s">
        <v>53</v>
      </c>
      <c r="N182" s="3565" t="s">
        <v>53</v>
      </c>
      <c r="O182" s="3567" t="s">
        <v>617</v>
      </c>
    </row>
    <row r="183" spans="1:16" s="3173" customFormat="1" ht="13.5" thickBot="1">
      <c r="A183" s="3576"/>
      <c r="B183" s="1662" t="s">
        <v>23</v>
      </c>
      <c r="C183" s="3644" t="s">
        <v>435</v>
      </c>
      <c r="D183" s="1232">
        <f t="shared" ref="D183:L185" si="160">+D184</f>
        <v>3400</v>
      </c>
      <c r="E183" s="1631">
        <f t="shared" si="160"/>
        <v>0</v>
      </c>
      <c r="F183" s="1631">
        <f t="shared" si="160"/>
        <v>0</v>
      </c>
      <c r="G183" s="1232">
        <f t="shared" si="160"/>
        <v>3400</v>
      </c>
      <c r="H183" s="1631">
        <f t="shared" si="160"/>
        <v>0</v>
      </c>
      <c r="I183" s="1631">
        <f t="shared" si="160"/>
        <v>0</v>
      </c>
      <c r="J183" s="1631">
        <f t="shared" si="160"/>
        <v>0</v>
      </c>
      <c r="K183" s="1631">
        <f t="shared" si="160"/>
        <v>0</v>
      </c>
      <c r="L183" s="1631">
        <f t="shared" si="160"/>
        <v>0</v>
      </c>
      <c r="M183" s="3551"/>
      <c r="N183" s="3551"/>
      <c r="O183" s="3568"/>
    </row>
    <row r="184" spans="1:16" s="3173" customFormat="1" ht="13.5" thickBot="1">
      <c r="A184" s="3576"/>
      <c r="B184" s="809" t="s">
        <v>13</v>
      </c>
      <c r="C184" s="3571"/>
      <c r="D184" s="1267">
        <f>E184+F184+G184+H184+I184+J184+K184+L184</f>
        <v>3400</v>
      </c>
      <c r="E184" s="1713">
        <v>0</v>
      </c>
      <c r="F184" s="1713">
        <v>0</v>
      </c>
      <c r="G184" s="1714">
        <f>5950-2550</f>
        <v>3400</v>
      </c>
      <c r="H184" s="1715">
        <v>0</v>
      </c>
      <c r="I184" s="1715">
        <v>0</v>
      </c>
      <c r="J184" s="1715">
        <v>0</v>
      </c>
      <c r="K184" s="1715">
        <v>0</v>
      </c>
      <c r="L184" s="1715">
        <v>0</v>
      </c>
      <c r="M184" s="3551"/>
      <c r="N184" s="3551"/>
      <c r="O184" s="3568"/>
      <c r="P184" s="3174">
        <f>D184-D179</f>
        <v>0</v>
      </c>
    </row>
    <row r="185" spans="1:16" ht="12.75" customHeight="1" thickBot="1">
      <c r="A185" s="3576"/>
      <c r="B185" s="1223" t="s">
        <v>18</v>
      </c>
      <c r="C185" s="3571"/>
      <c r="D185" s="1647">
        <f t="shared" si="160"/>
        <v>28900</v>
      </c>
      <c r="E185" s="1631">
        <f t="shared" si="160"/>
        <v>0</v>
      </c>
      <c r="F185" s="1631">
        <f t="shared" si="160"/>
        <v>0</v>
      </c>
      <c r="G185" s="1232">
        <f t="shared" si="160"/>
        <v>28900</v>
      </c>
      <c r="H185" s="1631">
        <f t="shared" si="160"/>
        <v>0</v>
      </c>
      <c r="I185" s="1631">
        <f t="shared" si="160"/>
        <v>0</v>
      </c>
      <c r="J185" s="1631">
        <f t="shared" si="160"/>
        <v>0</v>
      </c>
      <c r="K185" s="1631">
        <f t="shared" si="160"/>
        <v>0</v>
      </c>
      <c r="L185" s="1631">
        <f t="shared" si="160"/>
        <v>0</v>
      </c>
      <c r="M185" s="3565"/>
      <c r="N185" s="3565"/>
      <c r="O185" s="3568"/>
    </row>
    <row r="186" spans="1:16" ht="13.5" thickBot="1">
      <c r="A186" s="3576"/>
      <c r="B186" s="2017" t="s">
        <v>20</v>
      </c>
      <c r="C186" s="3572"/>
      <c r="D186" s="767">
        <f>E186+F186+G186+H186+I186+J186+K186+L186</f>
        <v>28900</v>
      </c>
      <c r="E186" s="544">
        <v>0</v>
      </c>
      <c r="F186" s="805">
        <v>0</v>
      </c>
      <c r="G186" s="408">
        <f>50575-21675</f>
        <v>28900</v>
      </c>
      <c r="H186" s="805">
        <v>0</v>
      </c>
      <c r="I186" s="805">
        <v>0</v>
      </c>
      <c r="J186" s="805">
        <v>0</v>
      </c>
      <c r="K186" s="805">
        <v>0</v>
      </c>
      <c r="L186" s="805">
        <v>0</v>
      </c>
      <c r="M186" s="3566"/>
      <c r="N186" s="3566"/>
      <c r="O186" s="3569"/>
      <c r="P186" s="3159">
        <f>D186-D181</f>
        <v>0</v>
      </c>
    </row>
    <row r="187" spans="1:16" s="3176" customFormat="1" ht="25.5" customHeight="1" thickBot="1">
      <c r="A187" s="3576" t="s">
        <v>86</v>
      </c>
      <c r="B187" s="1134" t="s">
        <v>598</v>
      </c>
      <c r="C187" s="1135" t="s">
        <v>101</v>
      </c>
      <c r="D187" s="1069"/>
      <c r="E187" s="1069"/>
      <c r="F187" s="1069"/>
      <c r="G187" s="1069"/>
      <c r="H187" s="1069"/>
      <c r="I187" s="1069"/>
      <c r="J187" s="1069"/>
      <c r="K187" s="1069"/>
      <c r="L187" s="1069"/>
      <c r="M187" s="1069"/>
      <c r="N187" s="1069"/>
      <c r="O187" s="3545" t="s">
        <v>310</v>
      </c>
      <c r="P187" s="3175"/>
    </row>
    <row r="188" spans="1:16" s="3176" customFormat="1" ht="13.5" thickBot="1">
      <c r="A188" s="3576"/>
      <c r="B188" s="1219" t="s">
        <v>10</v>
      </c>
      <c r="C188" s="1136"/>
      <c r="D188" s="1220">
        <f>+D189+D196</f>
        <v>828175</v>
      </c>
      <c r="E188" s="1690">
        <f t="shared" ref="E188:N188" si="161">+E189+E196</f>
        <v>0</v>
      </c>
      <c r="F188" s="1690">
        <f t="shared" si="161"/>
        <v>0</v>
      </c>
      <c r="G188" s="1221">
        <f t="shared" si="161"/>
        <v>407100</v>
      </c>
      <c r="H188" s="1221">
        <f t="shared" si="161"/>
        <v>421075</v>
      </c>
      <c r="I188" s="1690">
        <f t="shared" si="161"/>
        <v>0</v>
      </c>
      <c r="J188" s="1690">
        <f t="shared" si="161"/>
        <v>0</v>
      </c>
      <c r="K188" s="1690">
        <f t="shared" si="161"/>
        <v>0</v>
      </c>
      <c r="L188" s="1690">
        <f t="shared" si="161"/>
        <v>0</v>
      </c>
      <c r="M188" s="1222">
        <f t="shared" si="161"/>
        <v>745358</v>
      </c>
      <c r="N188" s="1222">
        <f t="shared" si="161"/>
        <v>828175</v>
      </c>
      <c r="O188" s="3546"/>
      <c r="P188" s="3175"/>
    </row>
    <row r="189" spans="1:16" s="3176" customFormat="1" ht="13.5" thickBot="1">
      <c r="A189" s="3576"/>
      <c r="B189" s="1223" t="s">
        <v>23</v>
      </c>
      <c r="C189" s="3562" t="s">
        <v>576</v>
      </c>
      <c r="D189" s="1224">
        <f>+D190+D193</f>
        <v>124226</v>
      </c>
      <c r="E189" s="1691">
        <f t="shared" ref="E189:L189" si="162">+E190+E193</f>
        <v>0</v>
      </c>
      <c r="F189" s="1691">
        <f t="shared" si="162"/>
        <v>0</v>
      </c>
      <c r="G189" s="1224">
        <f t="shared" si="162"/>
        <v>61065</v>
      </c>
      <c r="H189" s="1224">
        <f t="shared" si="162"/>
        <v>63161</v>
      </c>
      <c r="I189" s="1691">
        <f t="shared" si="162"/>
        <v>0</v>
      </c>
      <c r="J189" s="1691">
        <f t="shared" si="162"/>
        <v>0</v>
      </c>
      <c r="K189" s="1691">
        <f t="shared" si="162"/>
        <v>0</v>
      </c>
      <c r="L189" s="1691">
        <f t="shared" si="162"/>
        <v>0</v>
      </c>
      <c r="M189" s="1225">
        <f t="shared" ref="M189" si="163">+M190</f>
        <v>41409</v>
      </c>
      <c r="N189" s="1225">
        <f>+N190+N193</f>
        <v>124226</v>
      </c>
      <c r="O189" s="3546"/>
      <c r="P189" s="3175"/>
    </row>
    <row r="190" spans="1:16" s="3176" customFormat="1" ht="13.5" thickBot="1">
      <c r="A190" s="3576"/>
      <c r="B190" s="1226" t="s">
        <v>12</v>
      </c>
      <c r="C190" s="3563"/>
      <c r="D190" s="1216">
        <f>E190+F190+G190+H190+I190+J190+K190+L190</f>
        <v>41409</v>
      </c>
      <c r="E190" s="1692">
        <v>0</v>
      </c>
      <c r="F190" s="1693">
        <v>0</v>
      </c>
      <c r="G190" s="1228">
        <f>G191+G192</f>
        <v>20355</v>
      </c>
      <c r="H190" s="1228">
        <f t="shared" ref="H190:L190" si="164">H191+H192</f>
        <v>21054</v>
      </c>
      <c r="I190" s="1693">
        <f t="shared" si="164"/>
        <v>0</v>
      </c>
      <c r="J190" s="1693">
        <f t="shared" si="164"/>
        <v>0</v>
      </c>
      <c r="K190" s="1693">
        <f t="shared" si="164"/>
        <v>0</v>
      </c>
      <c r="L190" s="1693">
        <f t="shared" si="164"/>
        <v>0</v>
      </c>
      <c r="M190" s="831">
        <f>SUM(F190:K190)</f>
        <v>41409</v>
      </c>
      <c r="N190" s="831">
        <f>SUM(G190:L190)</f>
        <v>41409</v>
      </c>
      <c r="O190" s="3546"/>
      <c r="P190" s="3175"/>
    </row>
    <row r="191" spans="1:16" s="3176" customFormat="1" ht="13.5" hidden="1" thickBot="1">
      <c r="A191" s="3576"/>
      <c r="B191" s="1694" t="s">
        <v>288</v>
      </c>
      <c r="C191" s="3563"/>
      <c r="D191" s="1695">
        <f>SUM(E191:L191)</f>
        <v>16432</v>
      </c>
      <c r="E191" s="1696">
        <v>0</v>
      </c>
      <c r="F191" s="1697">
        <v>0</v>
      </c>
      <c r="G191" s="1698">
        <v>7931</v>
      </c>
      <c r="H191" s="1698">
        <v>8501</v>
      </c>
      <c r="I191" s="1696">
        <v>0</v>
      </c>
      <c r="J191" s="1696">
        <v>0</v>
      </c>
      <c r="K191" s="1696">
        <v>0</v>
      </c>
      <c r="L191" s="1696">
        <v>0</v>
      </c>
      <c r="M191" s="1699"/>
      <c r="N191" s="1700">
        <f>SUM(G191:L191)</f>
        <v>16432</v>
      </c>
      <c r="O191" s="3546"/>
      <c r="P191" s="3175"/>
    </row>
    <row r="192" spans="1:16" s="3176" customFormat="1" ht="13.5" hidden="1" thickBot="1">
      <c r="A192" s="3576"/>
      <c r="B192" s="1701" t="s">
        <v>305</v>
      </c>
      <c r="C192" s="3563"/>
      <c r="D192" s="1702">
        <f>SUM(E192:L192)</f>
        <v>24977</v>
      </c>
      <c r="E192" s="1703">
        <v>0</v>
      </c>
      <c r="F192" s="1704">
        <v>0</v>
      </c>
      <c r="G192" s="1705">
        <v>12424</v>
      </c>
      <c r="H192" s="1705">
        <v>12553</v>
      </c>
      <c r="I192" s="1703">
        <v>0</v>
      </c>
      <c r="J192" s="1703">
        <v>0</v>
      </c>
      <c r="K192" s="1703">
        <v>0</v>
      </c>
      <c r="L192" s="1703">
        <v>0</v>
      </c>
      <c r="M192" s="1699"/>
      <c r="N192" s="1700">
        <f>SUM(G192:L192)</f>
        <v>24977</v>
      </c>
      <c r="O192" s="3546"/>
      <c r="P192" s="3175"/>
    </row>
    <row r="193" spans="1:16" s="3176" customFormat="1" ht="13.5" thickBot="1">
      <c r="A193" s="3576"/>
      <c r="B193" s="809" t="s">
        <v>13</v>
      </c>
      <c r="C193" s="3564"/>
      <c r="D193" s="1216">
        <f>E193+F193+G193+H193+I193+J193+K193+L193</f>
        <v>82817</v>
      </c>
      <c r="E193" s="1692">
        <v>0</v>
      </c>
      <c r="F193" s="1693">
        <v>0</v>
      </c>
      <c r="G193" s="1228">
        <f>G194+G195</f>
        <v>40710</v>
      </c>
      <c r="H193" s="1228">
        <f t="shared" ref="H193:L193" si="165">H194+H195</f>
        <v>42107</v>
      </c>
      <c r="I193" s="1693">
        <f t="shared" si="165"/>
        <v>0</v>
      </c>
      <c r="J193" s="1693">
        <f t="shared" si="165"/>
        <v>0</v>
      </c>
      <c r="K193" s="1693">
        <f t="shared" si="165"/>
        <v>0</v>
      </c>
      <c r="L193" s="1693">
        <f t="shared" si="165"/>
        <v>0</v>
      </c>
      <c r="M193" s="1706"/>
      <c r="N193" s="831">
        <f t="shared" ref="N193:N195" si="166">SUM(G193:L193)</f>
        <v>82817</v>
      </c>
      <c r="O193" s="3546"/>
      <c r="P193" s="3175"/>
    </row>
    <row r="194" spans="1:16" s="3176" customFormat="1" ht="13.5" hidden="1" thickBot="1">
      <c r="A194" s="3576"/>
      <c r="B194" s="1694" t="s">
        <v>288</v>
      </c>
      <c r="C194" s="3564"/>
      <c r="D194" s="1695">
        <f>SUM(E194:L194)</f>
        <v>32863</v>
      </c>
      <c r="E194" s="1696">
        <v>0</v>
      </c>
      <c r="F194" s="1697">
        <v>0</v>
      </c>
      <c r="G194" s="1698">
        <v>15862</v>
      </c>
      <c r="H194" s="1698">
        <v>17001</v>
      </c>
      <c r="I194" s="1696">
        <v>0</v>
      </c>
      <c r="J194" s="1696">
        <v>0</v>
      </c>
      <c r="K194" s="1696">
        <v>0</v>
      </c>
      <c r="L194" s="1696">
        <v>0</v>
      </c>
      <c r="M194" s="1708"/>
      <c r="N194" s="850">
        <f t="shared" si="166"/>
        <v>32863</v>
      </c>
      <c r="O194" s="3546"/>
      <c r="P194" s="3175"/>
    </row>
    <row r="195" spans="1:16" s="3176" customFormat="1" ht="13.5" hidden="1" thickBot="1">
      <c r="A195" s="3576"/>
      <c r="B195" s="1701" t="s">
        <v>305</v>
      </c>
      <c r="C195" s="3564"/>
      <c r="D195" s="1702">
        <f>SUM(E195:L195)</f>
        <v>49954</v>
      </c>
      <c r="E195" s="1703">
        <v>0</v>
      </c>
      <c r="F195" s="1704">
        <v>0</v>
      </c>
      <c r="G195" s="1705">
        <v>24848</v>
      </c>
      <c r="H195" s="1705">
        <v>25106</v>
      </c>
      <c r="I195" s="1703">
        <v>0</v>
      </c>
      <c r="J195" s="1703">
        <v>0</v>
      </c>
      <c r="K195" s="1703">
        <v>0</v>
      </c>
      <c r="L195" s="1703">
        <v>0</v>
      </c>
      <c r="M195" s="1708"/>
      <c r="N195" s="850">
        <f t="shared" si="166"/>
        <v>49954</v>
      </c>
      <c r="O195" s="3546"/>
      <c r="P195" s="3175"/>
    </row>
    <row r="196" spans="1:16" s="3176" customFormat="1" ht="13.5" thickBot="1">
      <c r="A196" s="3576"/>
      <c r="B196" s="1223" t="s">
        <v>18</v>
      </c>
      <c r="C196" s="3563"/>
      <c r="D196" s="1232">
        <f>+D197</f>
        <v>703949</v>
      </c>
      <c r="E196" s="1631">
        <f t="shared" ref="E196:L196" si="167">+E197</f>
        <v>0</v>
      </c>
      <c r="F196" s="1631">
        <f t="shared" si="167"/>
        <v>0</v>
      </c>
      <c r="G196" s="1232">
        <f t="shared" si="167"/>
        <v>346035</v>
      </c>
      <c r="H196" s="1232">
        <f t="shared" si="167"/>
        <v>357914</v>
      </c>
      <c r="I196" s="1631">
        <f t="shared" si="167"/>
        <v>0</v>
      </c>
      <c r="J196" s="1631">
        <f t="shared" si="167"/>
        <v>0</v>
      </c>
      <c r="K196" s="1631">
        <f t="shared" si="167"/>
        <v>0</v>
      </c>
      <c r="L196" s="1631">
        <f t="shared" si="167"/>
        <v>0</v>
      </c>
      <c r="M196" s="1233">
        <f>+M197</f>
        <v>703949</v>
      </c>
      <c r="N196" s="1233">
        <f>+N197</f>
        <v>703949</v>
      </c>
      <c r="O196" s="3546"/>
      <c r="P196" s="3175"/>
    </row>
    <row r="197" spans="1:16" s="3176" customFormat="1" ht="13.5" thickBot="1">
      <c r="A197" s="3576"/>
      <c r="B197" s="1226" t="s">
        <v>20</v>
      </c>
      <c r="C197" s="3563"/>
      <c r="D197" s="1216">
        <f>E197+F197+G197+H197+I197+J197+K197+L197</f>
        <v>703949</v>
      </c>
      <c r="E197" s="1692">
        <v>0</v>
      </c>
      <c r="F197" s="1709">
        <v>0</v>
      </c>
      <c r="G197" s="1229">
        <f>G198+G199</f>
        <v>346035</v>
      </c>
      <c r="H197" s="1229">
        <f t="shared" ref="H197:L197" si="168">H198+H199</f>
        <v>357914</v>
      </c>
      <c r="I197" s="1709">
        <f t="shared" si="168"/>
        <v>0</v>
      </c>
      <c r="J197" s="1709">
        <f t="shared" si="168"/>
        <v>0</v>
      </c>
      <c r="K197" s="1709">
        <f t="shared" si="168"/>
        <v>0</v>
      </c>
      <c r="L197" s="1709">
        <f t="shared" si="168"/>
        <v>0</v>
      </c>
      <c r="M197" s="850">
        <f>SUM(F197:K197)</f>
        <v>703949</v>
      </c>
      <c r="N197" s="850">
        <f>SUM(G197:L197)</f>
        <v>703949</v>
      </c>
      <c r="O197" s="3546"/>
      <c r="P197" s="3175"/>
    </row>
    <row r="198" spans="1:16" s="3176" customFormat="1" ht="13.5" hidden="1" thickBot="1">
      <c r="A198" s="3576"/>
      <c r="B198" s="1694" t="s">
        <v>288</v>
      </c>
      <c r="C198" s="1710"/>
      <c r="D198" s="1695">
        <f>SUM(E198:L198)</f>
        <v>279340</v>
      </c>
      <c r="E198" s="1696">
        <v>0</v>
      </c>
      <c r="F198" s="1696">
        <v>0</v>
      </c>
      <c r="G198" s="1698">
        <v>134827</v>
      </c>
      <c r="H198" s="1698">
        <v>144513</v>
      </c>
      <c r="I198" s="1696">
        <v>0</v>
      </c>
      <c r="J198" s="1696">
        <v>0</v>
      </c>
      <c r="K198" s="1696">
        <v>0</v>
      </c>
      <c r="L198" s="1696">
        <v>0</v>
      </c>
      <c r="M198" s="1699"/>
      <c r="N198" s="1700">
        <f>SUM(G198:L198)</f>
        <v>279340</v>
      </c>
      <c r="O198" s="3546"/>
      <c r="P198" s="3175"/>
    </row>
    <row r="199" spans="1:16" s="3176" customFormat="1" ht="13.5" hidden="1" thickBot="1">
      <c r="A199" s="3576"/>
      <c r="B199" s="1701" t="s">
        <v>305</v>
      </c>
      <c r="C199" s="1711"/>
      <c r="D199" s="1702">
        <f>SUM(E199:L199)</f>
        <v>424609</v>
      </c>
      <c r="E199" s="1703">
        <v>0</v>
      </c>
      <c r="F199" s="1703">
        <v>0</v>
      </c>
      <c r="G199" s="1705">
        <v>211208</v>
      </c>
      <c r="H199" s="1705">
        <v>213401</v>
      </c>
      <c r="I199" s="1703">
        <v>0</v>
      </c>
      <c r="J199" s="1703">
        <v>0</v>
      </c>
      <c r="K199" s="1703">
        <v>0</v>
      </c>
      <c r="L199" s="1703">
        <v>0</v>
      </c>
      <c r="M199" s="1699"/>
      <c r="N199" s="1700">
        <f>SUM(G199:L199)</f>
        <v>424609</v>
      </c>
      <c r="O199" s="3547"/>
      <c r="P199" s="3175"/>
    </row>
    <row r="200" spans="1:16" s="3176" customFormat="1" ht="13.5" thickBot="1">
      <c r="A200" s="3577"/>
      <c r="B200" s="1219" t="s">
        <v>21</v>
      </c>
      <c r="C200" s="1219"/>
      <c r="D200" s="1235">
        <f>D203+D201</f>
        <v>786766</v>
      </c>
      <c r="E200" s="1712">
        <f t="shared" ref="E200:L200" si="169">E203+E201</f>
        <v>0</v>
      </c>
      <c r="F200" s="1712">
        <f t="shared" si="169"/>
        <v>0</v>
      </c>
      <c r="G200" s="1235">
        <f t="shared" si="169"/>
        <v>386745</v>
      </c>
      <c r="H200" s="1235">
        <f t="shared" si="169"/>
        <v>400021</v>
      </c>
      <c r="I200" s="1712">
        <f t="shared" si="169"/>
        <v>0</v>
      </c>
      <c r="J200" s="1712">
        <f t="shared" si="169"/>
        <v>0</v>
      </c>
      <c r="K200" s="1712">
        <f t="shared" si="169"/>
        <v>0</v>
      </c>
      <c r="L200" s="1712">
        <f t="shared" si="169"/>
        <v>0</v>
      </c>
      <c r="M200" s="3565" t="s">
        <v>53</v>
      </c>
      <c r="N200" s="3369" t="s">
        <v>53</v>
      </c>
      <c r="O200" s="3575" t="s">
        <v>575</v>
      </c>
      <c r="P200" s="3175"/>
    </row>
    <row r="201" spans="1:16" s="3176" customFormat="1" ht="13.5" thickBot="1">
      <c r="A201" s="3577"/>
      <c r="B201" s="1662" t="s">
        <v>23</v>
      </c>
      <c r="C201" s="3578" t="s">
        <v>435</v>
      </c>
      <c r="D201" s="1232">
        <f t="shared" ref="D201:L203" si="170">+D202</f>
        <v>82817</v>
      </c>
      <c r="E201" s="1631">
        <f t="shared" si="170"/>
        <v>0</v>
      </c>
      <c r="F201" s="1631">
        <f t="shared" si="170"/>
        <v>0</v>
      </c>
      <c r="G201" s="1232">
        <f t="shared" si="170"/>
        <v>40710</v>
      </c>
      <c r="H201" s="1232">
        <f t="shared" si="170"/>
        <v>42107</v>
      </c>
      <c r="I201" s="1631">
        <f t="shared" si="170"/>
        <v>0</v>
      </c>
      <c r="J201" s="1631">
        <f t="shared" si="170"/>
        <v>0</v>
      </c>
      <c r="K201" s="1631">
        <f t="shared" si="170"/>
        <v>0</v>
      </c>
      <c r="L201" s="1631">
        <f t="shared" si="170"/>
        <v>0</v>
      </c>
      <c r="M201" s="3551"/>
      <c r="N201" s="3370"/>
      <c r="O201" s="3573"/>
      <c r="P201" s="3175"/>
    </row>
    <row r="202" spans="1:16" s="3176" customFormat="1" ht="13.5" thickBot="1">
      <c r="A202" s="3577"/>
      <c r="B202" s="809" t="s">
        <v>13</v>
      </c>
      <c r="C202" s="3579"/>
      <c r="D202" s="1267">
        <f>E202+F202+G202+H202+I202+J202+K202+L202</f>
        <v>82817</v>
      </c>
      <c r="E202" s="1713">
        <v>0</v>
      </c>
      <c r="F202" s="1713">
        <v>0</v>
      </c>
      <c r="G202" s="1714">
        <v>40710</v>
      </c>
      <c r="H202" s="1714">
        <v>42107</v>
      </c>
      <c r="I202" s="1713">
        <v>0</v>
      </c>
      <c r="J202" s="1713">
        <v>0</v>
      </c>
      <c r="K202" s="1713">
        <v>0</v>
      </c>
      <c r="L202" s="1713">
        <v>0</v>
      </c>
      <c r="M202" s="3551"/>
      <c r="N202" s="3370"/>
      <c r="O202" s="3573"/>
      <c r="P202" s="3175"/>
    </row>
    <row r="203" spans="1:16" s="3176" customFormat="1" ht="13.5" thickBot="1">
      <c r="A203" s="3577"/>
      <c r="B203" s="1223" t="s">
        <v>18</v>
      </c>
      <c r="C203" s="3579"/>
      <c r="D203" s="1647">
        <f t="shared" si="170"/>
        <v>703949</v>
      </c>
      <c r="E203" s="1631">
        <f t="shared" si="170"/>
        <v>0</v>
      </c>
      <c r="F203" s="1631">
        <f t="shared" si="170"/>
        <v>0</v>
      </c>
      <c r="G203" s="1232">
        <f t="shared" si="170"/>
        <v>346035</v>
      </c>
      <c r="H203" s="1232">
        <f t="shared" si="170"/>
        <v>357914</v>
      </c>
      <c r="I203" s="1631">
        <f t="shared" si="170"/>
        <v>0</v>
      </c>
      <c r="J203" s="1631">
        <f t="shared" si="170"/>
        <v>0</v>
      </c>
      <c r="K203" s="1631">
        <f t="shared" si="170"/>
        <v>0</v>
      </c>
      <c r="L203" s="1631">
        <f t="shared" si="170"/>
        <v>0</v>
      </c>
      <c r="M203" s="3565"/>
      <c r="N203" s="3370"/>
      <c r="O203" s="3573"/>
      <c r="P203" s="3175"/>
    </row>
    <row r="204" spans="1:16" s="3176" customFormat="1" ht="13.5" thickBot="1">
      <c r="A204" s="3577"/>
      <c r="B204" s="527" t="s">
        <v>20</v>
      </c>
      <c r="C204" s="3579"/>
      <c r="D204" s="1955">
        <f>E204+F204+G204+H204+I204+J204+K204+L204</f>
        <v>703949</v>
      </c>
      <c r="E204" s="2374">
        <v>0</v>
      </c>
      <c r="F204" s="1587">
        <v>0</v>
      </c>
      <c r="G204" s="1586">
        <v>346035</v>
      </c>
      <c r="H204" s="1586">
        <v>357914</v>
      </c>
      <c r="I204" s="1587">
        <v>0</v>
      </c>
      <c r="J204" s="1587">
        <v>0</v>
      </c>
      <c r="K204" s="1587">
        <v>0</v>
      </c>
      <c r="L204" s="1587">
        <v>0</v>
      </c>
      <c r="M204" s="3566"/>
      <c r="N204" s="3370"/>
      <c r="O204" s="3573"/>
      <c r="P204" s="3175"/>
    </row>
    <row r="205" spans="1:16" s="3176" customFormat="1" ht="24.75" customHeight="1" thickBot="1">
      <c r="A205" s="3556" t="s">
        <v>87</v>
      </c>
      <c r="B205" s="1134" t="s">
        <v>596</v>
      </c>
      <c r="C205" s="1135" t="s">
        <v>101</v>
      </c>
      <c r="D205" s="1069"/>
      <c r="E205" s="1069"/>
      <c r="F205" s="1069"/>
      <c r="G205" s="1069"/>
      <c r="H205" s="1069"/>
      <c r="I205" s="1069"/>
      <c r="J205" s="1069"/>
      <c r="K205" s="1069"/>
      <c r="L205" s="1069"/>
      <c r="M205" s="1069"/>
      <c r="N205" s="1069"/>
      <c r="O205" s="3544" t="s">
        <v>310</v>
      </c>
      <c r="P205" s="3175"/>
    </row>
    <row r="206" spans="1:16" s="3176" customFormat="1" ht="13.5" thickBot="1">
      <c r="A206" s="3557"/>
      <c r="B206" s="1219" t="s">
        <v>10</v>
      </c>
      <c r="C206" s="1136"/>
      <c r="D206" s="1220">
        <f t="shared" ref="D206:N206" si="171">+D207+D211</f>
        <v>10175942</v>
      </c>
      <c r="E206" s="1690">
        <f t="shared" si="171"/>
        <v>0</v>
      </c>
      <c r="F206" s="1690">
        <f t="shared" si="171"/>
        <v>0</v>
      </c>
      <c r="G206" s="1221">
        <f t="shared" si="171"/>
        <v>550000</v>
      </c>
      <c r="H206" s="1221">
        <f t="shared" si="171"/>
        <v>4122312</v>
      </c>
      <c r="I206" s="1221">
        <f t="shared" si="171"/>
        <v>2739330</v>
      </c>
      <c r="J206" s="1221">
        <f t="shared" si="171"/>
        <v>2327050</v>
      </c>
      <c r="K206" s="1221">
        <f t="shared" si="171"/>
        <v>437250</v>
      </c>
      <c r="L206" s="1690">
        <f t="shared" si="171"/>
        <v>0</v>
      </c>
      <c r="M206" s="1222" t="e">
        <f t="shared" si="171"/>
        <v>#REF!</v>
      </c>
      <c r="N206" s="1222">
        <f t="shared" si="171"/>
        <v>10175942</v>
      </c>
      <c r="O206" s="3544"/>
      <c r="P206" s="3175"/>
    </row>
    <row r="207" spans="1:16" s="3176" customFormat="1" ht="13.5" thickBot="1">
      <c r="A207" s="3557"/>
      <c r="B207" s="1223" t="s">
        <v>23</v>
      </c>
      <c r="C207" s="3562" t="s">
        <v>307</v>
      </c>
      <c r="D207" s="1224">
        <f>+D208</f>
        <v>1599658</v>
      </c>
      <c r="E207" s="1691">
        <f t="shared" ref="E207:L207" si="172">+E208</f>
        <v>0</v>
      </c>
      <c r="F207" s="1691">
        <f t="shared" si="172"/>
        <v>0</v>
      </c>
      <c r="G207" s="1224">
        <f t="shared" si="172"/>
        <v>86460</v>
      </c>
      <c r="H207" s="1224">
        <f t="shared" si="172"/>
        <v>648027</v>
      </c>
      <c r="I207" s="1224">
        <f t="shared" si="172"/>
        <v>430623</v>
      </c>
      <c r="J207" s="1224">
        <f t="shared" si="172"/>
        <v>365812</v>
      </c>
      <c r="K207" s="1224">
        <f t="shared" si="172"/>
        <v>68736</v>
      </c>
      <c r="L207" s="1691">
        <f t="shared" si="172"/>
        <v>0</v>
      </c>
      <c r="M207" s="1225" t="e">
        <f>+#REF!</f>
        <v>#REF!</v>
      </c>
      <c r="N207" s="1225">
        <f>+N208</f>
        <v>1599658</v>
      </c>
      <c r="O207" s="3544"/>
      <c r="P207" s="3175"/>
    </row>
    <row r="208" spans="1:16" s="3176" customFormat="1" ht="13.5" thickBot="1">
      <c r="A208" s="3558"/>
      <c r="B208" s="809" t="s">
        <v>13</v>
      </c>
      <c r="C208" s="3564"/>
      <c r="D208" s="1216">
        <f>E208+F208+G208+H208+I208+J208+K208+L208</f>
        <v>1599658</v>
      </c>
      <c r="E208" s="1692">
        <v>0</v>
      </c>
      <c r="F208" s="1693">
        <v>0</v>
      </c>
      <c r="G208" s="1228">
        <f>G209+G210</f>
        <v>86460</v>
      </c>
      <c r="H208" s="1228">
        <f t="shared" ref="H208:L208" si="173">H209+H210</f>
        <v>648027</v>
      </c>
      <c r="I208" s="1228">
        <f t="shared" si="173"/>
        <v>430623</v>
      </c>
      <c r="J208" s="1228">
        <f t="shared" si="173"/>
        <v>365812</v>
      </c>
      <c r="K208" s="1228">
        <f t="shared" si="173"/>
        <v>68736</v>
      </c>
      <c r="L208" s="1693">
        <f t="shared" si="173"/>
        <v>0</v>
      </c>
      <c r="M208" s="1706"/>
      <c r="N208" s="831">
        <f>SUM(G208:L208)</f>
        <v>1599658</v>
      </c>
      <c r="O208" s="3544"/>
      <c r="P208" s="3175">
        <f>D208-D217</f>
        <v>0</v>
      </c>
    </row>
    <row r="209" spans="1:16" s="3176" customFormat="1" ht="13.5" hidden="1" thickBot="1">
      <c r="A209" s="3558"/>
      <c r="B209" s="1694" t="s">
        <v>288</v>
      </c>
      <c r="C209" s="3564"/>
      <c r="D209" s="1695">
        <f>SUM(E209:L209)</f>
        <v>157767</v>
      </c>
      <c r="E209" s="1696">
        <v>0</v>
      </c>
      <c r="F209" s="1697">
        <v>0</v>
      </c>
      <c r="G209" s="1698">
        <v>14831</v>
      </c>
      <c r="H209" s="1698">
        <v>54829</v>
      </c>
      <c r="I209" s="1698">
        <v>41576</v>
      </c>
      <c r="J209" s="1698">
        <v>37625</v>
      </c>
      <c r="K209" s="1698">
        <v>8906</v>
      </c>
      <c r="L209" s="1696">
        <v>0</v>
      </c>
      <c r="M209" s="1708"/>
      <c r="N209" s="850">
        <f t="shared" ref="N209:N210" si="174">SUM(G209:L209)</f>
        <v>157767</v>
      </c>
      <c r="O209" s="3544"/>
      <c r="P209" s="3175"/>
    </row>
    <row r="210" spans="1:16" s="3176" customFormat="1" ht="13.5" hidden="1" thickBot="1">
      <c r="A210" s="3558"/>
      <c r="B210" s="1701" t="s">
        <v>305</v>
      </c>
      <c r="C210" s="3564"/>
      <c r="D210" s="1702">
        <f>SUM(E210:L210)</f>
        <v>1441891</v>
      </c>
      <c r="E210" s="1703">
        <v>0</v>
      </c>
      <c r="F210" s="1704">
        <v>0</v>
      </c>
      <c r="G210" s="1705">
        <v>71629</v>
      </c>
      <c r="H210" s="1705">
        <v>593198</v>
      </c>
      <c r="I210" s="1705">
        <v>389047</v>
      </c>
      <c r="J210" s="1705">
        <v>328187</v>
      </c>
      <c r="K210" s="1705">
        <v>59830</v>
      </c>
      <c r="L210" s="1703">
        <v>0</v>
      </c>
      <c r="M210" s="1708"/>
      <c r="N210" s="850">
        <f t="shared" si="174"/>
        <v>1441891</v>
      </c>
      <c r="O210" s="3544"/>
      <c r="P210" s="3175"/>
    </row>
    <row r="211" spans="1:16" s="3176" customFormat="1" ht="13.5" thickBot="1">
      <c r="A211" s="3557"/>
      <c r="B211" s="1223" t="s">
        <v>18</v>
      </c>
      <c r="C211" s="3563"/>
      <c r="D211" s="1232">
        <f>+D212</f>
        <v>8576284</v>
      </c>
      <c r="E211" s="1631">
        <f t="shared" ref="E211:L211" si="175">+E212</f>
        <v>0</v>
      </c>
      <c r="F211" s="1631">
        <f t="shared" si="175"/>
        <v>0</v>
      </c>
      <c r="G211" s="1232">
        <f t="shared" si="175"/>
        <v>463540</v>
      </c>
      <c r="H211" s="1232">
        <f t="shared" si="175"/>
        <v>3474285</v>
      </c>
      <c r="I211" s="1232">
        <f t="shared" si="175"/>
        <v>2308707</v>
      </c>
      <c r="J211" s="1232">
        <f t="shared" si="175"/>
        <v>1961238</v>
      </c>
      <c r="K211" s="1232">
        <f t="shared" si="175"/>
        <v>368514</v>
      </c>
      <c r="L211" s="1631">
        <f t="shared" si="175"/>
        <v>0</v>
      </c>
      <c r="M211" s="1233">
        <f>+M212</f>
        <v>8576284</v>
      </c>
      <c r="N211" s="1233">
        <f>+N212</f>
        <v>8576284</v>
      </c>
      <c r="O211" s="3544"/>
      <c r="P211" s="3175"/>
    </row>
    <row r="212" spans="1:16" s="3176" customFormat="1" ht="13.5" thickBot="1">
      <c r="A212" s="3557"/>
      <c r="B212" s="1226" t="s">
        <v>20</v>
      </c>
      <c r="C212" s="3563"/>
      <c r="D212" s="1216">
        <f>E212+F212+G212+H212+I212+J212+K212+L212</f>
        <v>8576284</v>
      </c>
      <c r="E212" s="1692">
        <v>0</v>
      </c>
      <c r="F212" s="1709">
        <v>0</v>
      </c>
      <c r="G212" s="1229">
        <f>G213+G214</f>
        <v>463540</v>
      </c>
      <c r="H212" s="1229">
        <f t="shared" ref="H212:L212" si="176">H213+H214</f>
        <v>3474285</v>
      </c>
      <c r="I212" s="1229">
        <f t="shared" si="176"/>
        <v>2308707</v>
      </c>
      <c r="J212" s="1229">
        <f t="shared" si="176"/>
        <v>1961238</v>
      </c>
      <c r="K212" s="1229">
        <f t="shared" si="176"/>
        <v>368514</v>
      </c>
      <c r="L212" s="1709">
        <f t="shared" si="176"/>
        <v>0</v>
      </c>
      <c r="M212" s="850">
        <f>SUM(F212:K212)</f>
        <v>8576284</v>
      </c>
      <c r="N212" s="850">
        <f>SUM(G212:L212)</f>
        <v>8576284</v>
      </c>
      <c r="O212" s="3544"/>
      <c r="P212" s="3175">
        <f>D212-D219</f>
        <v>0</v>
      </c>
    </row>
    <row r="213" spans="1:16" s="3176" customFormat="1" ht="13.5" hidden="1" thickBot="1">
      <c r="A213" s="3557"/>
      <c r="B213" s="1694" t="s">
        <v>288</v>
      </c>
      <c r="C213" s="1710"/>
      <c r="D213" s="1695">
        <f>SUM(E213:L213)</f>
        <v>845836</v>
      </c>
      <c r="E213" s="1696">
        <v>0</v>
      </c>
      <c r="F213" s="1696">
        <v>0</v>
      </c>
      <c r="G213" s="1698">
        <v>79510</v>
      </c>
      <c r="H213" s="1698">
        <v>293952</v>
      </c>
      <c r="I213" s="1698">
        <v>222904</v>
      </c>
      <c r="J213" s="1698">
        <v>201723</v>
      </c>
      <c r="K213" s="1698">
        <v>47747</v>
      </c>
      <c r="L213" s="1696">
        <v>0</v>
      </c>
      <c r="M213" s="1699"/>
      <c r="N213" s="1700">
        <f>SUM(G213:L213)</f>
        <v>845836</v>
      </c>
      <c r="O213" s="3544"/>
      <c r="P213" s="3175"/>
    </row>
    <row r="214" spans="1:16" s="3176" customFormat="1" hidden="1">
      <c r="A214" s="3557"/>
      <c r="B214" s="1701" t="s">
        <v>305</v>
      </c>
      <c r="C214" s="1711"/>
      <c r="D214" s="1702">
        <f>SUM(E214:L214)</f>
        <v>7730448</v>
      </c>
      <c r="E214" s="1703">
        <v>0</v>
      </c>
      <c r="F214" s="1703">
        <v>0</v>
      </c>
      <c r="G214" s="1705">
        <v>384030</v>
      </c>
      <c r="H214" s="1705">
        <v>3180333</v>
      </c>
      <c r="I214" s="1705">
        <v>2085803</v>
      </c>
      <c r="J214" s="1705">
        <v>1759515</v>
      </c>
      <c r="K214" s="1705">
        <v>320767</v>
      </c>
      <c r="L214" s="1703">
        <v>0</v>
      </c>
      <c r="M214" s="1699"/>
      <c r="N214" s="1700">
        <f>SUM(G214:L214)</f>
        <v>7730448</v>
      </c>
      <c r="O214" s="3555"/>
      <c r="P214" s="3175"/>
    </row>
    <row r="215" spans="1:16" s="3176" customFormat="1">
      <c r="A215" s="3559"/>
      <c r="B215" s="1219" t="s">
        <v>21</v>
      </c>
      <c r="C215" s="1219"/>
      <c r="D215" s="1235">
        <f>D218+D216</f>
        <v>10175942</v>
      </c>
      <c r="E215" s="1712">
        <f t="shared" ref="E215:L215" si="177">E218+E216</f>
        <v>0</v>
      </c>
      <c r="F215" s="1712">
        <f t="shared" si="177"/>
        <v>0</v>
      </c>
      <c r="G215" s="1235">
        <f t="shared" si="177"/>
        <v>550000</v>
      </c>
      <c r="H215" s="1235">
        <f t="shared" si="177"/>
        <v>4122312</v>
      </c>
      <c r="I215" s="1235">
        <f t="shared" si="177"/>
        <v>2739330</v>
      </c>
      <c r="J215" s="1235">
        <f t="shared" si="177"/>
        <v>2327050</v>
      </c>
      <c r="K215" s="1235">
        <f t="shared" si="177"/>
        <v>437250</v>
      </c>
      <c r="L215" s="1712">
        <f t="shared" si="177"/>
        <v>0</v>
      </c>
      <c r="M215" s="3565" t="s">
        <v>53</v>
      </c>
      <c r="N215" s="3565" t="s">
        <v>53</v>
      </c>
      <c r="O215" s="3567" t="s">
        <v>305</v>
      </c>
      <c r="P215" s="3175"/>
    </row>
    <row r="216" spans="1:16" s="3176" customFormat="1">
      <c r="A216" s="3560"/>
      <c r="B216" s="1662" t="s">
        <v>23</v>
      </c>
      <c r="C216" s="3570" t="s">
        <v>577</v>
      </c>
      <c r="D216" s="1232">
        <f t="shared" ref="D216:L218" si="178">+D217</f>
        <v>1599658</v>
      </c>
      <c r="E216" s="1631">
        <f t="shared" si="178"/>
        <v>0</v>
      </c>
      <c r="F216" s="1631">
        <f t="shared" si="178"/>
        <v>0</v>
      </c>
      <c r="G216" s="1232">
        <f t="shared" si="178"/>
        <v>86460</v>
      </c>
      <c r="H216" s="1232">
        <f t="shared" si="178"/>
        <v>648027</v>
      </c>
      <c r="I216" s="1232">
        <f t="shared" si="178"/>
        <v>430623</v>
      </c>
      <c r="J216" s="1232">
        <f t="shared" si="178"/>
        <v>365812</v>
      </c>
      <c r="K216" s="1232">
        <f t="shared" si="178"/>
        <v>68736</v>
      </c>
      <c r="L216" s="1631">
        <f t="shared" si="178"/>
        <v>0</v>
      </c>
      <c r="M216" s="3551"/>
      <c r="N216" s="3551"/>
      <c r="O216" s="3568"/>
      <c r="P216" s="3175"/>
    </row>
    <row r="217" spans="1:16" s="3176" customFormat="1">
      <c r="A217" s="3560"/>
      <c r="B217" s="809" t="s">
        <v>13</v>
      </c>
      <c r="C217" s="3571"/>
      <c r="D217" s="1267">
        <f>E217+F217+G217+H217+I217+J217+K217+L217</f>
        <v>1599658</v>
      </c>
      <c r="E217" s="1713">
        <v>0</v>
      </c>
      <c r="F217" s="1713">
        <v>0</v>
      </c>
      <c r="G217" s="1714">
        <v>86460</v>
      </c>
      <c r="H217" s="1714">
        <v>648027</v>
      </c>
      <c r="I217" s="1714">
        <v>430623</v>
      </c>
      <c r="J217" s="1714">
        <v>365812</v>
      </c>
      <c r="K217" s="1714">
        <v>68736</v>
      </c>
      <c r="L217" s="1713">
        <v>0</v>
      </c>
      <c r="M217" s="3551"/>
      <c r="N217" s="3551"/>
      <c r="O217" s="3568"/>
      <c r="P217" s="3175"/>
    </row>
    <row r="218" spans="1:16" s="3176" customFormat="1">
      <c r="A218" s="3559"/>
      <c r="B218" s="1223" t="s">
        <v>18</v>
      </c>
      <c r="C218" s="3571"/>
      <c r="D218" s="1647">
        <f t="shared" si="178"/>
        <v>8576284</v>
      </c>
      <c r="E218" s="1631">
        <f t="shared" si="178"/>
        <v>0</v>
      </c>
      <c r="F218" s="1631">
        <f t="shared" si="178"/>
        <v>0</v>
      </c>
      <c r="G218" s="1232">
        <f t="shared" si="178"/>
        <v>463540</v>
      </c>
      <c r="H218" s="1232">
        <f t="shared" si="178"/>
        <v>3474285</v>
      </c>
      <c r="I218" s="1232">
        <f t="shared" si="178"/>
        <v>2308707</v>
      </c>
      <c r="J218" s="1232">
        <f t="shared" si="178"/>
        <v>1961238</v>
      </c>
      <c r="K218" s="1232">
        <f t="shared" si="178"/>
        <v>368514</v>
      </c>
      <c r="L218" s="1631">
        <f t="shared" si="178"/>
        <v>0</v>
      </c>
      <c r="M218" s="3565"/>
      <c r="N218" s="3565"/>
      <c r="O218" s="3568"/>
      <c r="P218" s="3175"/>
    </row>
    <row r="219" spans="1:16" s="3176" customFormat="1" ht="13.5" thickBot="1">
      <c r="A219" s="3561"/>
      <c r="B219" s="527" t="s">
        <v>20</v>
      </c>
      <c r="C219" s="3572"/>
      <c r="D219" s="767">
        <f>E219+F219+G219+H219+I219+J219+K219+L219</f>
        <v>8576284</v>
      </c>
      <c r="E219" s="544">
        <v>0</v>
      </c>
      <c r="F219" s="805">
        <v>0</v>
      </c>
      <c r="G219" s="408">
        <v>463540</v>
      </c>
      <c r="H219" s="408">
        <v>3474285</v>
      </c>
      <c r="I219" s="408">
        <v>2308707</v>
      </c>
      <c r="J219" s="408">
        <v>1961238</v>
      </c>
      <c r="K219" s="408">
        <v>368514</v>
      </c>
      <c r="L219" s="805">
        <v>0</v>
      </c>
      <c r="M219" s="3566"/>
      <c r="N219" s="3566"/>
      <c r="O219" s="3569"/>
      <c r="P219" s="3175"/>
    </row>
    <row r="220" spans="1:16" s="3176" customFormat="1" ht="15.75" customHeight="1">
      <c r="A220" s="3556" t="s">
        <v>88</v>
      </c>
      <c r="B220" s="1134" t="s">
        <v>597</v>
      </c>
      <c r="C220" s="1135" t="s">
        <v>101</v>
      </c>
      <c r="D220" s="1069"/>
      <c r="E220" s="1069"/>
      <c r="F220" s="1069"/>
      <c r="G220" s="1069"/>
      <c r="H220" s="1069"/>
      <c r="I220" s="1069"/>
      <c r="J220" s="1069"/>
      <c r="K220" s="1069"/>
      <c r="L220" s="1069"/>
      <c r="M220" s="1069"/>
      <c r="N220" s="1069"/>
      <c r="O220" s="3545" t="s">
        <v>310</v>
      </c>
      <c r="P220" s="3175"/>
    </row>
    <row r="221" spans="1:16" s="3176" customFormat="1">
      <c r="A221" s="3557"/>
      <c r="B221" s="1219" t="s">
        <v>10</v>
      </c>
      <c r="C221" s="1136"/>
      <c r="D221" s="1220">
        <f>+D222+D229</f>
        <v>3546922</v>
      </c>
      <c r="E221" s="1690">
        <f t="shared" ref="E221:N221" si="179">+E222+E229</f>
        <v>0</v>
      </c>
      <c r="F221" s="1690">
        <f t="shared" si="179"/>
        <v>0</v>
      </c>
      <c r="G221" s="1221">
        <f t="shared" si="179"/>
        <v>1133912</v>
      </c>
      <c r="H221" s="1221">
        <f t="shared" si="179"/>
        <v>1207224</v>
      </c>
      <c r="I221" s="1221">
        <f t="shared" si="179"/>
        <v>1205786</v>
      </c>
      <c r="J221" s="1690">
        <f t="shared" si="179"/>
        <v>0</v>
      </c>
      <c r="K221" s="1690">
        <f t="shared" si="179"/>
        <v>0</v>
      </c>
      <c r="L221" s="1690">
        <f t="shared" si="179"/>
        <v>0</v>
      </c>
      <c r="M221" s="1222">
        <f t="shared" si="179"/>
        <v>3192230</v>
      </c>
      <c r="N221" s="1222">
        <f t="shared" si="179"/>
        <v>3546922</v>
      </c>
      <c r="O221" s="3546"/>
      <c r="P221" s="3175"/>
    </row>
    <row r="222" spans="1:16" s="3176" customFormat="1" ht="12.75" customHeight="1">
      <c r="A222" s="3557"/>
      <c r="B222" s="1223" t="s">
        <v>23</v>
      </c>
      <c r="C222" s="3562" t="s">
        <v>576</v>
      </c>
      <c r="D222" s="1224">
        <f>+D223+D226</f>
        <v>532038</v>
      </c>
      <c r="E222" s="1691">
        <f t="shared" ref="E222:L222" si="180">+E223+E226</f>
        <v>0</v>
      </c>
      <c r="F222" s="1691">
        <f t="shared" si="180"/>
        <v>0</v>
      </c>
      <c r="G222" s="1224">
        <f t="shared" si="180"/>
        <v>170087</v>
      </c>
      <c r="H222" s="1224">
        <f t="shared" si="180"/>
        <v>181083</v>
      </c>
      <c r="I222" s="1224">
        <f t="shared" si="180"/>
        <v>180868</v>
      </c>
      <c r="J222" s="1691">
        <f t="shared" si="180"/>
        <v>0</v>
      </c>
      <c r="K222" s="1691">
        <f t="shared" si="180"/>
        <v>0</v>
      </c>
      <c r="L222" s="1691">
        <f t="shared" si="180"/>
        <v>0</v>
      </c>
      <c r="M222" s="1225">
        <f t="shared" ref="M222" si="181">+M223</f>
        <v>177346</v>
      </c>
      <c r="N222" s="1225">
        <f>+N223+N226</f>
        <v>532038</v>
      </c>
      <c r="O222" s="3546"/>
      <c r="P222" s="3175"/>
    </row>
    <row r="223" spans="1:16" s="3176" customFormat="1">
      <c r="A223" s="3557"/>
      <c r="B223" s="1226" t="s">
        <v>12</v>
      </c>
      <c r="C223" s="3563"/>
      <c r="D223" s="1216">
        <f>E223+F223+G223+H223+I223+J223+K223+L223</f>
        <v>177346</v>
      </c>
      <c r="E223" s="1692">
        <v>0</v>
      </c>
      <c r="F223" s="1693">
        <v>0</v>
      </c>
      <c r="G223" s="1228">
        <f>G224+G225</f>
        <v>56696</v>
      </c>
      <c r="H223" s="1228">
        <f t="shared" ref="H223:L223" si="182">H224+H225</f>
        <v>60361</v>
      </c>
      <c r="I223" s="1228">
        <f t="shared" si="182"/>
        <v>60289</v>
      </c>
      <c r="J223" s="1693">
        <f t="shared" si="182"/>
        <v>0</v>
      </c>
      <c r="K223" s="1693">
        <f t="shared" si="182"/>
        <v>0</v>
      </c>
      <c r="L223" s="1693">
        <f t="shared" si="182"/>
        <v>0</v>
      </c>
      <c r="M223" s="831">
        <f>SUM(F223:K223)</f>
        <v>177346</v>
      </c>
      <c r="N223" s="831">
        <f>SUM(G223:L223)</f>
        <v>177346</v>
      </c>
      <c r="O223" s="3546"/>
      <c r="P223" s="3175"/>
    </row>
    <row r="224" spans="1:16" s="3176" customFormat="1" hidden="1">
      <c r="A224" s="3557"/>
      <c r="B224" s="1694" t="s">
        <v>288</v>
      </c>
      <c r="C224" s="3563"/>
      <c r="D224" s="1695">
        <f>SUM(E224:L224)</f>
        <v>61066</v>
      </c>
      <c r="E224" s="1696">
        <v>0</v>
      </c>
      <c r="F224" s="1697">
        <v>0</v>
      </c>
      <c r="G224" s="1698">
        <v>19284</v>
      </c>
      <c r="H224" s="1698">
        <v>20891</v>
      </c>
      <c r="I224" s="1698">
        <v>20891</v>
      </c>
      <c r="J224" s="1696">
        <v>0</v>
      </c>
      <c r="K224" s="1696">
        <v>0</v>
      </c>
      <c r="L224" s="1696">
        <v>0</v>
      </c>
      <c r="M224" s="1699"/>
      <c r="N224" s="1700">
        <f>SUM(G224:L224)</f>
        <v>61066</v>
      </c>
      <c r="O224" s="3546"/>
      <c r="P224" s="3175"/>
    </row>
    <row r="225" spans="1:16" s="3176" customFormat="1" hidden="1">
      <c r="A225" s="3557"/>
      <c r="B225" s="1701" t="s">
        <v>305</v>
      </c>
      <c r="C225" s="3563"/>
      <c r="D225" s="1702">
        <f>SUM(E225:L225)</f>
        <v>116280</v>
      </c>
      <c r="E225" s="1703">
        <v>0</v>
      </c>
      <c r="F225" s="1704">
        <v>0</v>
      </c>
      <c r="G225" s="1705">
        <v>37412</v>
      </c>
      <c r="H225" s="1705">
        <v>39470</v>
      </c>
      <c r="I225" s="1705">
        <v>39398</v>
      </c>
      <c r="J225" s="1703">
        <v>0</v>
      </c>
      <c r="K225" s="1703">
        <v>0</v>
      </c>
      <c r="L225" s="1703">
        <v>0</v>
      </c>
      <c r="M225" s="1699"/>
      <c r="N225" s="1700">
        <f>SUM(G225:L225)</f>
        <v>116280</v>
      </c>
      <c r="O225" s="3546"/>
      <c r="P225" s="3175"/>
    </row>
    <row r="226" spans="1:16" s="3176" customFormat="1">
      <c r="A226" s="3558"/>
      <c r="B226" s="809" t="s">
        <v>13</v>
      </c>
      <c r="C226" s="3564"/>
      <c r="D226" s="1216">
        <f>E226+F226+G226+H226+I226+J226+K226+L226</f>
        <v>354692</v>
      </c>
      <c r="E226" s="1692">
        <v>0</v>
      </c>
      <c r="F226" s="1693">
        <v>0</v>
      </c>
      <c r="G226" s="1228">
        <f>G227+G228</f>
        <v>113391</v>
      </c>
      <c r="H226" s="1228">
        <f t="shared" ref="H226:L226" si="183">H227+H228</f>
        <v>120722</v>
      </c>
      <c r="I226" s="1228">
        <f t="shared" si="183"/>
        <v>120579</v>
      </c>
      <c r="J226" s="1693">
        <f t="shared" si="183"/>
        <v>0</v>
      </c>
      <c r="K226" s="1693">
        <f t="shared" si="183"/>
        <v>0</v>
      </c>
      <c r="L226" s="1693">
        <f t="shared" si="183"/>
        <v>0</v>
      </c>
      <c r="M226" s="1706"/>
      <c r="N226" s="831">
        <f t="shared" ref="N226:N228" si="184">SUM(G226:L226)</f>
        <v>354692</v>
      </c>
      <c r="O226" s="3546"/>
      <c r="P226" s="3175">
        <f>D226-D235</f>
        <v>0</v>
      </c>
    </row>
    <row r="227" spans="1:16" s="3176" customFormat="1" hidden="1">
      <c r="A227" s="3558"/>
      <c r="B227" s="1694" t="s">
        <v>288</v>
      </c>
      <c r="C227" s="3564"/>
      <c r="D227" s="1695">
        <f>SUM(E227:L227)</f>
        <v>122132</v>
      </c>
      <c r="E227" s="1696">
        <v>0</v>
      </c>
      <c r="F227" s="1697">
        <v>0</v>
      </c>
      <c r="G227" s="1698">
        <v>38568</v>
      </c>
      <c r="H227" s="1698">
        <v>41782</v>
      </c>
      <c r="I227" s="1698">
        <v>41782</v>
      </c>
      <c r="J227" s="1696">
        <v>0</v>
      </c>
      <c r="K227" s="1696">
        <v>0</v>
      </c>
      <c r="L227" s="1696">
        <v>0</v>
      </c>
      <c r="M227" s="1708"/>
      <c r="N227" s="850">
        <f t="shared" si="184"/>
        <v>122132</v>
      </c>
      <c r="O227" s="3546"/>
      <c r="P227" s="3175"/>
    </row>
    <row r="228" spans="1:16" s="3176" customFormat="1" hidden="1">
      <c r="A228" s="3558"/>
      <c r="B228" s="1701" t="s">
        <v>305</v>
      </c>
      <c r="C228" s="3564"/>
      <c r="D228" s="1702">
        <f>SUM(E228:L228)</f>
        <v>232560</v>
      </c>
      <c r="E228" s="1703">
        <v>0</v>
      </c>
      <c r="F228" s="1704">
        <v>0</v>
      </c>
      <c r="G228" s="1705">
        <v>74823</v>
      </c>
      <c r="H228" s="1705">
        <v>78940</v>
      </c>
      <c r="I228" s="1705">
        <v>78797</v>
      </c>
      <c r="J228" s="1703">
        <v>0</v>
      </c>
      <c r="K228" s="1703">
        <v>0</v>
      </c>
      <c r="L228" s="1703">
        <v>0</v>
      </c>
      <c r="M228" s="1708"/>
      <c r="N228" s="850">
        <f t="shared" si="184"/>
        <v>232560</v>
      </c>
      <c r="O228" s="3546"/>
      <c r="P228" s="3175"/>
    </row>
    <row r="229" spans="1:16" s="3176" customFormat="1">
      <c r="A229" s="3557"/>
      <c r="B229" s="1223" t="s">
        <v>18</v>
      </c>
      <c r="C229" s="3563"/>
      <c r="D229" s="1232">
        <f>+D230</f>
        <v>3014884</v>
      </c>
      <c r="E229" s="1631">
        <f t="shared" ref="E229:L229" si="185">+E230</f>
        <v>0</v>
      </c>
      <c r="F229" s="1631">
        <f t="shared" si="185"/>
        <v>0</v>
      </c>
      <c r="G229" s="1232">
        <f t="shared" si="185"/>
        <v>963825</v>
      </c>
      <c r="H229" s="1232">
        <f t="shared" si="185"/>
        <v>1026141</v>
      </c>
      <c r="I229" s="1232">
        <f t="shared" si="185"/>
        <v>1024918</v>
      </c>
      <c r="J229" s="1631">
        <f t="shared" si="185"/>
        <v>0</v>
      </c>
      <c r="K229" s="1631">
        <f t="shared" si="185"/>
        <v>0</v>
      </c>
      <c r="L229" s="1631">
        <f t="shared" si="185"/>
        <v>0</v>
      </c>
      <c r="M229" s="1233">
        <f>+M230</f>
        <v>3014884</v>
      </c>
      <c r="N229" s="1233">
        <f>+N230</f>
        <v>3014884</v>
      </c>
      <c r="O229" s="3546"/>
      <c r="P229" s="3175">
        <f>D229-D236</f>
        <v>0</v>
      </c>
    </row>
    <row r="230" spans="1:16" s="3176" customFormat="1">
      <c r="A230" s="3557"/>
      <c r="B230" s="1226" t="s">
        <v>20</v>
      </c>
      <c r="C230" s="3563"/>
      <c r="D230" s="1216">
        <f>E230+F230+G230+H230+I230+J230+K230+L230</f>
        <v>3014884</v>
      </c>
      <c r="E230" s="1692">
        <v>0</v>
      </c>
      <c r="F230" s="1709">
        <v>0</v>
      </c>
      <c r="G230" s="1229">
        <f>G231+G232</f>
        <v>963825</v>
      </c>
      <c r="H230" s="1229">
        <f t="shared" ref="H230:L230" si="186">H231+H232</f>
        <v>1026141</v>
      </c>
      <c r="I230" s="1229">
        <f t="shared" si="186"/>
        <v>1024918</v>
      </c>
      <c r="J230" s="1709">
        <f t="shared" si="186"/>
        <v>0</v>
      </c>
      <c r="K230" s="1709">
        <f t="shared" si="186"/>
        <v>0</v>
      </c>
      <c r="L230" s="1709">
        <f t="shared" si="186"/>
        <v>0</v>
      </c>
      <c r="M230" s="850">
        <f>SUM(F230:K230)</f>
        <v>3014884</v>
      </c>
      <c r="N230" s="850">
        <f>SUM(G230:L230)</f>
        <v>3014884</v>
      </c>
      <c r="O230" s="3546"/>
      <c r="P230" s="3175"/>
    </row>
    <row r="231" spans="1:16" s="3176" customFormat="1" ht="12.75" hidden="1" customHeight="1">
      <c r="A231" s="3557"/>
      <c r="B231" s="1694" t="s">
        <v>288</v>
      </c>
      <c r="C231" s="1710"/>
      <c r="D231" s="1695">
        <f>SUM(E231:L231)</f>
        <v>1038122</v>
      </c>
      <c r="E231" s="1696">
        <v>0</v>
      </c>
      <c r="F231" s="1696">
        <v>0</v>
      </c>
      <c r="G231" s="1698">
        <v>327828</v>
      </c>
      <c r="H231" s="1698">
        <v>355147</v>
      </c>
      <c r="I231" s="1698">
        <v>355147</v>
      </c>
      <c r="J231" s="1696">
        <v>0</v>
      </c>
      <c r="K231" s="1696">
        <v>0</v>
      </c>
      <c r="L231" s="1696">
        <v>0</v>
      </c>
      <c r="M231" s="1699"/>
      <c r="N231" s="1700">
        <f>SUM(G231:L231)</f>
        <v>1038122</v>
      </c>
      <c r="O231" s="3546"/>
      <c r="P231" s="3175"/>
    </row>
    <row r="232" spans="1:16" s="3176" customFormat="1" hidden="1">
      <c r="A232" s="3557"/>
      <c r="B232" s="1701" t="s">
        <v>305</v>
      </c>
      <c r="C232" s="1711"/>
      <c r="D232" s="1702">
        <f>SUM(E232:L232)</f>
        <v>1976762</v>
      </c>
      <c r="E232" s="1703">
        <v>0</v>
      </c>
      <c r="F232" s="1703">
        <v>0</v>
      </c>
      <c r="G232" s="1705">
        <v>635997</v>
      </c>
      <c r="H232" s="1705">
        <v>670994</v>
      </c>
      <c r="I232" s="1705">
        <v>669771</v>
      </c>
      <c r="J232" s="1703">
        <v>0</v>
      </c>
      <c r="K232" s="1703">
        <v>0</v>
      </c>
      <c r="L232" s="1703">
        <v>0</v>
      </c>
      <c r="M232" s="1699"/>
      <c r="N232" s="1700">
        <f>SUM(G232:L232)</f>
        <v>1976762</v>
      </c>
      <c r="O232" s="3547"/>
      <c r="P232" s="3175"/>
    </row>
    <row r="233" spans="1:16" s="3176" customFormat="1">
      <c r="A233" s="3559"/>
      <c r="B233" s="1219" t="s">
        <v>21</v>
      </c>
      <c r="C233" s="1219"/>
      <c r="D233" s="1235">
        <f>D236+D234</f>
        <v>3369576</v>
      </c>
      <c r="E233" s="1712">
        <f t="shared" ref="E233:L233" si="187">E236+E234</f>
        <v>0</v>
      </c>
      <c r="F233" s="1712">
        <f t="shared" si="187"/>
        <v>0</v>
      </c>
      <c r="G233" s="1235">
        <f t="shared" si="187"/>
        <v>1077216</v>
      </c>
      <c r="H233" s="1235">
        <f t="shared" si="187"/>
        <v>1146863</v>
      </c>
      <c r="I233" s="1235">
        <f t="shared" si="187"/>
        <v>1145497</v>
      </c>
      <c r="J233" s="1712">
        <f t="shared" si="187"/>
        <v>0</v>
      </c>
      <c r="K233" s="1712">
        <f t="shared" si="187"/>
        <v>0</v>
      </c>
      <c r="L233" s="1712">
        <f t="shared" si="187"/>
        <v>0</v>
      </c>
      <c r="M233" s="3565" t="s">
        <v>53</v>
      </c>
      <c r="N233" s="3565" t="s">
        <v>53</v>
      </c>
      <c r="O233" s="3567" t="s">
        <v>575</v>
      </c>
      <c r="P233" s="3175"/>
    </row>
    <row r="234" spans="1:16" s="3176" customFormat="1">
      <c r="A234" s="3560"/>
      <c r="B234" s="1662" t="s">
        <v>23</v>
      </c>
      <c r="C234" s="3570" t="s">
        <v>435</v>
      </c>
      <c r="D234" s="1232">
        <f t="shared" ref="D234:L236" si="188">+D235</f>
        <v>354692</v>
      </c>
      <c r="E234" s="1631">
        <f t="shared" si="188"/>
        <v>0</v>
      </c>
      <c r="F234" s="1631">
        <f t="shared" si="188"/>
        <v>0</v>
      </c>
      <c r="G234" s="1232">
        <f t="shared" si="188"/>
        <v>113391</v>
      </c>
      <c r="H234" s="1232">
        <f t="shared" si="188"/>
        <v>120722</v>
      </c>
      <c r="I234" s="1232">
        <f t="shared" si="188"/>
        <v>120579</v>
      </c>
      <c r="J234" s="1631">
        <f t="shared" si="188"/>
        <v>0</v>
      </c>
      <c r="K234" s="1631">
        <f t="shared" si="188"/>
        <v>0</v>
      </c>
      <c r="L234" s="1631">
        <f t="shared" si="188"/>
        <v>0</v>
      </c>
      <c r="M234" s="3551"/>
      <c r="N234" s="3551"/>
      <c r="O234" s="3568"/>
      <c r="P234" s="3175"/>
    </row>
    <row r="235" spans="1:16" s="3176" customFormat="1">
      <c r="A235" s="3560"/>
      <c r="B235" s="809" t="s">
        <v>13</v>
      </c>
      <c r="C235" s="3571"/>
      <c r="D235" s="1267">
        <f>E235+F235+G235+H235+I235+J235+K235+L235</f>
        <v>354692</v>
      </c>
      <c r="E235" s="1713">
        <v>0</v>
      </c>
      <c r="F235" s="1713">
        <v>0</v>
      </c>
      <c r="G235" s="1714">
        <v>113391</v>
      </c>
      <c r="H235" s="1714">
        <v>120722</v>
      </c>
      <c r="I235" s="1714">
        <v>120579</v>
      </c>
      <c r="J235" s="1713">
        <v>0</v>
      </c>
      <c r="K235" s="1713">
        <v>0</v>
      </c>
      <c r="L235" s="1713">
        <v>0</v>
      </c>
      <c r="M235" s="3551"/>
      <c r="N235" s="3551"/>
      <c r="O235" s="3568"/>
      <c r="P235" s="3175"/>
    </row>
    <row r="236" spans="1:16" s="3176" customFormat="1">
      <c r="A236" s="3559"/>
      <c r="B236" s="1223" t="s">
        <v>18</v>
      </c>
      <c r="C236" s="3571"/>
      <c r="D236" s="1647">
        <f t="shared" si="188"/>
        <v>3014884</v>
      </c>
      <c r="E236" s="1631">
        <f t="shared" si="188"/>
        <v>0</v>
      </c>
      <c r="F236" s="1631">
        <f t="shared" si="188"/>
        <v>0</v>
      </c>
      <c r="G236" s="1232">
        <f t="shared" si="188"/>
        <v>963825</v>
      </c>
      <c r="H236" s="1232">
        <f t="shared" si="188"/>
        <v>1026141</v>
      </c>
      <c r="I236" s="1232">
        <f t="shared" si="188"/>
        <v>1024918</v>
      </c>
      <c r="J236" s="1631">
        <f t="shared" si="188"/>
        <v>0</v>
      </c>
      <c r="K236" s="1631">
        <f t="shared" si="188"/>
        <v>0</v>
      </c>
      <c r="L236" s="1631">
        <f t="shared" si="188"/>
        <v>0</v>
      </c>
      <c r="M236" s="3565"/>
      <c r="N236" s="3565"/>
      <c r="O236" s="3568"/>
      <c r="P236" s="3175"/>
    </row>
    <row r="237" spans="1:16" s="3176" customFormat="1" ht="13.5" thickBot="1">
      <c r="A237" s="3561"/>
      <c r="B237" s="527" t="s">
        <v>20</v>
      </c>
      <c r="C237" s="3572"/>
      <c r="D237" s="767">
        <f>E237+F237+G237+H237+I237+J237+K237+L237</f>
        <v>3014884</v>
      </c>
      <c r="E237" s="544">
        <v>0</v>
      </c>
      <c r="F237" s="805">
        <v>0</v>
      </c>
      <c r="G237" s="408">
        <v>963825</v>
      </c>
      <c r="H237" s="408">
        <v>1026141</v>
      </c>
      <c r="I237" s="408">
        <v>1024918</v>
      </c>
      <c r="J237" s="805">
        <v>0</v>
      </c>
      <c r="K237" s="805">
        <v>0</v>
      </c>
      <c r="L237" s="805">
        <v>0</v>
      </c>
      <c r="M237" s="3566"/>
      <c r="N237" s="3566"/>
      <c r="O237" s="3569"/>
      <c r="P237" s="3175"/>
    </row>
    <row r="238" spans="1:16" s="3176" customFormat="1" ht="27" customHeight="1">
      <c r="A238" s="3556" t="s">
        <v>89</v>
      </c>
      <c r="B238" s="1134" t="s">
        <v>647</v>
      </c>
      <c r="C238" s="1135" t="s">
        <v>101</v>
      </c>
      <c r="D238" s="1069"/>
      <c r="E238" s="1069"/>
      <c r="F238" s="1069"/>
      <c r="G238" s="1069"/>
      <c r="H238" s="1069"/>
      <c r="I238" s="1069"/>
      <c r="J238" s="1069"/>
      <c r="K238" s="1069"/>
      <c r="L238" s="1069"/>
      <c r="M238" s="1069"/>
      <c r="N238" s="1069"/>
      <c r="O238" s="3545" t="s">
        <v>310</v>
      </c>
      <c r="P238" s="3175"/>
    </row>
    <row r="239" spans="1:16" s="3176" customFormat="1">
      <c r="A239" s="3557"/>
      <c r="B239" s="1219" t="s">
        <v>10</v>
      </c>
      <c r="C239" s="1136"/>
      <c r="D239" s="1220">
        <f t="shared" ref="D239:N239" si="189">+D240+D244</f>
        <v>2823073</v>
      </c>
      <c r="E239" s="1690">
        <f t="shared" si="189"/>
        <v>0</v>
      </c>
      <c r="F239" s="1690">
        <f t="shared" si="189"/>
        <v>0</v>
      </c>
      <c r="G239" s="1221">
        <f t="shared" si="189"/>
        <v>981527</v>
      </c>
      <c r="H239" s="1221">
        <f t="shared" si="189"/>
        <v>1052185</v>
      </c>
      <c r="I239" s="1221">
        <f t="shared" si="189"/>
        <v>789361</v>
      </c>
      <c r="J239" s="1221">
        <f t="shared" si="189"/>
        <v>0</v>
      </c>
      <c r="K239" s="1221">
        <f t="shared" si="189"/>
        <v>0</v>
      </c>
      <c r="L239" s="1690">
        <f t="shared" si="189"/>
        <v>0</v>
      </c>
      <c r="M239" s="1222" t="e">
        <f t="shared" si="189"/>
        <v>#REF!</v>
      </c>
      <c r="N239" s="1222">
        <f t="shared" si="189"/>
        <v>2823073</v>
      </c>
      <c r="O239" s="3546"/>
      <c r="P239" s="3175">
        <f>D239+D254</f>
        <v>3392273</v>
      </c>
    </row>
    <row r="240" spans="1:16" s="3176" customFormat="1">
      <c r="A240" s="3557"/>
      <c r="B240" s="1223" t="s">
        <v>23</v>
      </c>
      <c r="C240" s="3562" t="s">
        <v>576</v>
      </c>
      <c r="D240" s="1224">
        <f>+D241</f>
        <v>80369</v>
      </c>
      <c r="E240" s="1691">
        <f t="shared" ref="E240:L240" si="190">+E241</f>
        <v>0</v>
      </c>
      <c r="F240" s="1691">
        <f t="shared" si="190"/>
        <v>0</v>
      </c>
      <c r="G240" s="1224">
        <f t="shared" si="190"/>
        <v>27974</v>
      </c>
      <c r="H240" s="1224">
        <f t="shared" si="190"/>
        <v>29987</v>
      </c>
      <c r="I240" s="1224">
        <f t="shared" si="190"/>
        <v>22408</v>
      </c>
      <c r="J240" s="1224">
        <f t="shared" si="190"/>
        <v>0</v>
      </c>
      <c r="K240" s="1224">
        <f t="shared" si="190"/>
        <v>0</v>
      </c>
      <c r="L240" s="1224">
        <f t="shared" si="190"/>
        <v>0</v>
      </c>
      <c r="M240" s="1225" t="e">
        <f>+#REF!</f>
        <v>#REF!</v>
      </c>
      <c r="N240" s="1225">
        <f>+N241</f>
        <v>80369</v>
      </c>
      <c r="O240" s="3546"/>
      <c r="P240" s="3175"/>
    </row>
    <row r="241" spans="1:16" s="3176" customFormat="1">
      <c r="A241" s="3558"/>
      <c r="B241" s="809" t="s">
        <v>13</v>
      </c>
      <c r="C241" s="3564"/>
      <c r="D241" s="1216">
        <f>E241+F241+G241+H241+I241+J241+K241+L241</f>
        <v>80369</v>
      </c>
      <c r="E241" s="1692">
        <v>0</v>
      </c>
      <c r="F241" s="1693">
        <v>0</v>
      </c>
      <c r="G241" s="1228">
        <f>G242+G243</f>
        <v>27974</v>
      </c>
      <c r="H241" s="1228">
        <f t="shared" ref="H241:L241" si="191">H242+H243</f>
        <v>29987</v>
      </c>
      <c r="I241" s="1228">
        <f t="shared" si="191"/>
        <v>22408</v>
      </c>
      <c r="J241" s="1228">
        <f t="shared" si="191"/>
        <v>0</v>
      </c>
      <c r="K241" s="1228">
        <f t="shared" si="191"/>
        <v>0</v>
      </c>
      <c r="L241" s="1693">
        <f t="shared" si="191"/>
        <v>0</v>
      </c>
      <c r="M241" s="1706"/>
      <c r="N241" s="831">
        <f>SUM(G241:L241)</f>
        <v>80369</v>
      </c>
      <c r="O241" s="3546"/>
      <c r="P241" s="3175">
        <f>D241-D250</f>
        <v>0</v>
      </c>
    </row>
    <row r="242" spans="1:16" s="3176" customFormat="1" hidden="1">
      <c r="A242" s="3558"/>
      <c r="B242" s="1694" t="s">
        <v>288</v>
      </c>
      <c r="C242" s="3564"/>
      <c r="D242" s="1695">
        <f>SUM(E242:L242)</f>
        <v>17859</v>
      </c>
      <c r="E242" s="1696">
        <v>0</v>
      </c>
      <c r="F242" s="1697">
        <v>0</v>
      </c>
      <c r="G242" s="1698">
        <v>7649</v>
      </c>
      <c r="H242" s="1698">
        <v>5437</v>
      </c>
      <c r="I242" s="1698">
        <v>4773</v>
      </c>
      <c r="J242" s="1698"/>
      <c r="K242" s="1698"/>
      <c r="L242" s="1696">
        <v>0</v>
      </c>
      <c r="M242" s="1708"/>
      <c r="N242" s="850">
        <f t="shared" ref="N242:N243" si="192">SUM(G242:L242)</f>
        <v>17859</v>
      </c>
      <c r="O242" s="3546"/>
      <c r="P242" s="3175"/>
    </row>
    <row r="243" spans="1:16" s="3176" customFormat="1" hidden="1">
      <c r="A243" s="3558"/>
      <c r="B243" s="1701" t="s">
        <v>305</v>
      </c>
      <c r="C243" s="3564"/>
      <c r="D243" s="1702">
        <f>SUM(E243:L243)</f>
        <v>62510</v>
      </c>
      <c r="E243" s="1703">
        <v>0</v>
      </c>
      <c r="F243" s="1704">
        <v>0</v>
      </c>
      <c r="G243" s="1705">
        <f>21245-920</f>
        <v>20325</v>
      </c>
      <c r="H243" s="1705">
        <v>24550</v>
      </c>
      <c r="I243" s="1705">
        <v>17635</v>
      </c>
      <c r="J243" s="1705"/>
      <c r="K243" s="1705"/>
      <c r="L243" s="1703">
        <v>0</v>
      </c>
      <c r="M243" s="1708"/>
      <c r="N243" s="850">
        <f t="shared" si="192"/>
        <v>62510</v>
      </c>
      <c r="O243" s="3546"/>
      <c r="P243" s="3175"/>
    </row>
    <row r="244" spans="1:16" s="3176" customFormat="1">
      <c r="A244" s="3557"/>
      <c r="B244" s="1223" t="s">
        <v>18</v>
      </c>
      <c r="C244" s="3563"/>
      <c r="D244" s="1232">
        <f>+D245</f>
        <v>2742704</v>
      </c>
      <c r="E244" s="1631">
        <f t="shared" ref="E244:L244" si="193">+E245</f>
        <v>0</v>
      </c>
      <c r="F244" s="1631">
        <f t="shared" si="193"/>
        <v>0</v>
      </c>
      <c r="G244" s="1232">
        <f t="shared" si="193"/>
        <v>953553</v>
      </c>
      <c r="H244" s="1232">
        <f t="shared" si="193"/>
        <v>1022198</v>
      </c>
      <c r="I244" s="1232">
        <f t="shared" si="193"/>
        <v>766953</v>
      </c>
      <c r="J244" s="1232">
        <f t="shared" si="193"/>
        <v>0</v>
      </c>
      <c r="K244" s="1232">
        <f t="shared" si="193"/>
        <v>0</v>
      </c>
      <c r="L244" s="1631">
        <f t="shared" si="193"/>
        <v>0</v>
      </c>
      <c r="M244" s="1233">
        <f>+M245</f>
        <v>2742704</v>
      </c>
      <c r="N244" s="1233">
        <f>+N245</f>
        <v>2742704</v>
      </c>
      <c r="O244" s="3546"/>
      <c r="P244" s="3175">
        <f>D244-D251</f>
        <v>0</v>
      </c>
    </row>
    <row r="245" spans="1:16" s="3176" customFormat="1">
      <c r="A245" s="3557"/>
      <c r="B245" s="1226" t="s">
        <v>20</v>
      </c>
      <c r="C245" s="3563"/>
      <c r="D245" s="1216">
        <f>E245+F245+G245+H245+I245+J245+K245+L245</f>
        <v>2742704</v>
      </c>
      <c r="E245" s="1692">
        <v>0</v>
      </c>
      <c r="F245" s="1709">
        <v>0</v>
      </c>
      <c r="G245" s="1229">
        <f>G246+G247</f>
        <v>953553</v>
      </c>
      <c r="H245" s="1229">
        <f t="shared" ref="H245:L245" si="194">H246+H247</f>
        <v>1022198</v>
      </c>
      <c r="I245" s="1229">
        <f t="shared" si="194"/>
        <v>766953</v>
      </c>
      <c r="J245" s="1229">
        <f t="shared" si="194"/>
        <v>0</v>
      </c>
      <c r="K245" s="1229">
        <f t="shared" si="194"/>
        <v>0</v>
      </c>
      <c r="L245" s="1709">
        <f t="shared" si="194"/>
        <v>0</v>
      </c>
      <c r="M245" s="850">
        <f>SUM(F245:K245)</f>
        <v>2742704</v>
      </c>
      <c r="N245" s="850">
        <f>SUM(G245:L245)</f>
        <v>2742704</v>
      </c>
      <c r="O245" s="3546"/>
      <c r="P245" s="3175"/>
    </row>
    <row r="246" spans="1:16" s="3176" customFormat="1" hidden="1">
      <c r="A246" s="3557"/>
      <c r="B246" s="1694" t="s">
        <v>288</v>
      </c>
      <c r="C246" s="1710"/>
      <c r="D246" s="1695">
        <f>SUM(E246:L246)</f>
        <v>608761</v>
      </c>
      <c r="E246" s="1696">
        <v>0</v>
      </c>
      <c r="F246" s="1696">
        <v>0</v>
      </c>
      <c r="G246" s="1698">
        <v>260714</v>
      </c>
      <c r="H246" s="1698">
        <v>185342</v>
      </c>
      <c r="I246" s="1698">
        <v>162705</v>
      </c>
      <c r="J246" s="1698">
        <v>0</v>
      </c>
      <c r="K246" s="1698">
        <v>0</v>
      </c>
      <c r="L246" s="1696">
        <v>0</v>
      </c>
      <c r="M246" s="1699"/>
      <c r="N246" s="1700">
        <f>SUM(G246:L246)</f>
        <v>608761</v>
      </c>
      <c r="O246" s="3546"/>
      <c r="P246" s="3175"/>
    </row>
    <row r="247" spans="1:16" s="3176" customFormat="1" hidden="1">
      <c r="A247" s="3557"/>
      <c r="B247" s="1701" t="s">
        <v>305</v>
      </c>
      <c r="C247" s="1711"/>
      <c r="D247" s="1702">
        <f>SUM(E247:L247)</f>
        <v>2133943</v>
      </c>
      <c r="E247" s="1703">
        <v>0</v>
      </c>
      <c r="F247" s="1703">
        <v>0</v>
      </c>
      <c r="G247" s="1705">
        <f>724218-31379</f>
        <v>692839</v>
      </c>
      <c r="H247" s="1705">
        <v>836856</v>
      </c>
      <c r="I247" s="1705">
        <v>604248</v>
      </c>
      <c r="J247" s="1705"/>
      <c r="K247" s="1705"/>
      <c r="L247" s="1703">
        <v>0</v>
      </c>
      <c r="M247" s="1699"/>
      <c r="N247" s="1700">
        <f>SUM(G247:L247)</f>
        <v>2133943</v>
      </c>
      <c r="O247" s="3547"/>
      <c r="P247" s="3175"/>
    </row>
    <row r="248" spans="1:16" s="3176" customFormat="1" ht="13.5" thickBot="1">
      <c r="A248" s="3559"/>
      <c r="B248" s="1219" t="s">
        <v>21</v>
      </c>
      <c r="C248" s="1219"/>
      <c r="D248" s="1235">
        <f>D251+D249</f>
        <v>2823073</v>
      </c>
      <c r="E248" s="1712">
        <f t="shared" ref="E248:L248" si="195">E251+E249</f>
        <v>0</v>
      </c>
      <c r="F248" s="1712">
        <f t="shared" si="195"/>
        <v>0</v>
      </c>
      <c r="G248" s="1235">
        <f t="shared" si="195"/>
        <v>981527</v>
      </c>
      <c r="H248" s="1235">
        <f t="shared" si="195"/>
        <v>1052185</v>
      </c>
      <c r="I248" s="1235">
        <f t="shared" si="195"/>
        <v>789361</v>
      </c>
      <c r="J248" s="1235">
        <f t="shared" si="195"/>
        <v>0</v>
      </c>
      <c r="K248" s="1235">
        <f t="shared" si="195"/>
        <v>0</v>
      </c>
      <c r="L248" s="1712">
        <f t="shared" si="195"/>
        <v>0</v>
      </c>
      <c r="M248" s="3565" t="s">
        <v>53</v>
      </c>
      <c r="N248" s="3565" t="s">
        <v>53</v>
      </c>
      <c r="O248" s="3575" t="s">
        <v>575</v>
      </c>
      <c r="P248" s="3175"/>
    </row>
    <row r="249" spans="1:16" s="3176" customFormat="1" ht="12.75" customHeight="1" thickBot="1">
      <c r="A249" s="3560"/>
      <c r="B249" s="1662" t="s">
        <v>23</v>
      </c>
      <c r="C249" s="3570" t="s">
        <v>435</v>
      </c>
      <c r="D249" s="1232">
        <f t="shared" ref="D249:L251" si="196">+D250</f>
        <v>80369</v>
      </c>
      <c r="E249" s="1631">
        <f t="shared" si="196"/>
        <v>0</v>
      </c>
      <c r="F249" s="1631">
        <f t="shared" si="196"/>
        <v>0</v>
      </c>
      <c r="G249" s="1232">
        <f t="shared" si="196"/>
        <v>27974</v>
      </c>
      <c r="H249" s="1232">
        <f t="shared" si="196"/>
        <v>29987</v>
      </c>
      <c r="I249" s="1232">
        <f t="shared" si="196"/>
        <v>22408</v>
      </c>
      <c r="J249" s="1232">
        <f t="shared" si="196"/>
        <v>0</v>
      </c>
      <c r="K249" s="1232">
        <f t="shared" si="196"/>
        <v>0</v>
      </c>
      <c r="L249" s="1631">
        <f t="shared" si="196"/>
        <v>0</v>
      </c>
      <c r="M249" s="3551"/>
      <c r="N249" s="3551"/>
      <c r="O249" s="3573"/>
      <c r="P249" s="3175"/>
    </row>
    <row r="250" spans="1:16" s="3176" customFormat="1" ht="13.5" thickBot="1">
      <c r="A250" s="3560"/>
      <c r="B250" s="809" t="s">
        <v>13</v>
      </c>
      <c r="C250" s="3571"/>
      <c r="D250" s="1267">
        <f>E250+F250+G250+H250+I250+J250+K250+L250</f>
        <v>80369</v>
      </c>
      <c r="E250" s="1713">
        <v>0</v>
      </c>
      <c r="F250" s="1713">
        <v>0</v>
      </c>
      <c r="G250" s="1714">
        <f>28894-920</f>
        <v>27974</v>
      </c>
      <c r="H250" s="1714">
        <v>29987</v>
      </c>
      <c r="I250" s="1714">
        <v>22408</v>
      </c>
      <c r="J250" s="1714"/>
      <c r="K250" s="1714"/>
      <c r="L250" s="1713">
        <v>0</v>
      </c>
      <c r="M250" s="3551"/>
      <c r="N250" s="3551"/>
      <c r="O250" s="3573"/>
      <c r="P250" s="3175"/>
    </row>
    <row r="251" spans="1:16" s="3176" customFormat="1" ht="13.5" thickBot="1">
      <c r="A251" s="3559"/>
      <c r="B251" s="1223" t="s">
        <v>18</v>
      </c>
      <c r="C251" s="3571"/>
      <c r="D251" s="1647">
        <f t="shared" si="196"/>
        <v>2742704</v>
      </c>
      <c r="E251" s="1631">
        <f t="shared" si="196"/>
        <v>0</v>
      </c>
      <c r="F251" s="1631">
        <f t="shared" si="196"/>
        <v>0</v>
      </c>
      <c r="G251" s="1232">
        <f t="shared" si="196"/>
        <v>953553</v>
      </c>
      <c r="H251" s="1232">
        <f t="shared" si="196"/>
        <v>1022198</v>
      </c>
      <c r="I251" s="1232">
        <f t="shared" si="196"/>
        <v>766953</v>
      </c>
      <c r="J251" s="1232">
        <f t="shared" si="196"/>
        <v>0</v>
      </c>
      <c r="K251" s="1232">
        <f t="shared" si="196"/>
        <v>0</v>
      </c>
      <c r="L251" s="1631">
        <f t="shared" si="196"/>
        <v>0</v>
      </c>
      <c r="M251" s="3565"/>
      <c r="N251" s="3565"/>
      <c r="O251" s="3573"/>
      <c r="P251" s="3175"/>
    </row>
    <row r="252" spans="1:16" s="3176" customFormat="1" ht="13.5" thickBot="1">
      <c r="A252" s="3561"/>
      <c r="B252" s="527" t="s">
        <v>20</v>
      </c>
      <c r="C252" s="3572"/>
      <c r="D252" s="767">
        <f>E252+F252+G252+H252+I252+J252+K252+L252</f>
        <v>2742704</v>
      </c>
      <c r="E252" s="544">
        <v>0</v>
      </c>
      <c r="F252" s="805">
        <v>0</v>
      </c>
      <c r="G252" s="408">
        <f>984932-31379</f>
        <v>953553</v>
      </c>
      <c r="H252" s="408">
        <v>1022198</v>
      </c>
      <c r="I252" s="408">
        <v>766953</v>
      </c>
      <c r="J252" s="408"/>
      <c r="K252" s="408"/>
      <c r="L252" s="805">
        <v>0</v>
      </c>
      <c r="M252" s="3566"/>
      <c r="N252" s="3566"/>
      <c r="O252" s="3573"/>
      <c r="P252" s="3175"/>
    </row>
    <row r="253" spans="1:16" s="3176" customFormat="1" ht="27" customHeight="1" thickBot="1">
      <c r="A253" s="3556" t="s">
        <v>90</v>
      </c>
      <c r="B253" s="1134" t="s">
        <v>648</v>
      </c>
      <c r="C253" s="1135" t="s">
        <v>74</v>
      </c>
      <c r="D253" s="1069"/>
      <c r="E253" s="2638"/>
      <c r="F253" s="2638"/>
      <c r="G253" s="2638"/>
      <c r="H253" s="2638"/>
      <c r="I253" s="2638"/>
      <c r="J253" s="2638"/>
      <c r="K253" s="2638"/>
      <c r="L253" s="41"/>
      <c r="M253" s="526"/>
      <c r="N253" s="526"/>
      <c r="O253" s="3544" t="s">
        <v>582</v>
      </c>
      <c r="P253" s="3175"/>
    </row>
    <row r="254" spans="1:16" s="3176" customFormat="1" ht="13.5" thickBot="1">
      <c r="A254" s="3557"/>
      <c r="B254" s="1219" t="s">
        <v>10</v>
      </c>
      <c r="C254" s="1136"/>
      <c r="D254" s="1220">
        <f t="shared" ref="D254:N254" si="197">+D255+D257</f>
        <v>569200</v>
      </c>
      <c r="E254" s="1690">
        <f t="shared" si="197"/>
        <v>0</v>
      </c>
      <c r="F254" s="1690">
        <f t="shared" si="197"/>
        <v>0</v>
      </c>
      <c r="G254" s="1221">
        <f t="shared" si="197"/>
        <v>569200</v>
      </c>
      <c r="H254" s="1221">
        <f t="shared" si="197"/>
        <v>0</v>
      </c>
      <c r="I254" s="1221">
        <f t="shared" si="197"/>
        <v>0</v>
      </c>
      <c r="J254" s="1221">
        <f t="shared" si="197"/>
        <v>0</v>
      </c>
      <c r="K254" s="1221">
        <f t="shared" si="197"/>
        <v>0</v>
      </c>
      <c r="L254" s="1690">
        <f t="shared" si="197"/>
        <v>0</v>
      </c>
      <c r="M254" s="1222" t="e">
        <f t="shared" si="197"/>
        <v>#REF!</v>
      </c>
      <c r="N254" s="1222">
        <f t="shared" si="197"/>
        <v>569200</v>
      </c>
      <c r="O254" s="3544"/>
      <c r="P254" s="3175"/>
    </row>
    <row r="255" spans="1:16" s="3176" customFormat="1" ht="13.5" thickBot="1">
      <c r="A255" s="3557"/>
      <c r="B255" s="1223" t="s">
        <v>23</v>
      </c>
      <c r="C255" s="3562" t="s">
        <v>583</v>
      </c>
      <c r="D255" s="1224">
        <f>+D256</f>
        <v>16222</v>
      </c>
      <c r="E255" s="1691">
        <f t="shared" ref="E255:L255" si="198">+E256</f>
        <v>0</v>
      </c>
      <c r="F255" s="1691">
        <f t="shared" si="198"/>
        <v>0</v>
      </c>
      <c r="G255" s="1224">
        <f t="shared" si="198"/>
        <v>16222</v>
      </c>
      <c r="H255" s="1224">
        <f t="shared" si="198"/>
        <v>0</v>
      </c>
      <c r="I255" s="1224">
        <f t="shared" si="198"/>
        <v>0</v>
      </c>
      <c r="J255" s="1224">
        <f t="shared" si="198"/>
        <v>0</v>
      </c>
      <c r="K255" s="1224">
        <f t="shared" si="198"/>
        <v>0</v>
      </c>
      <c r="L255" s="1224">
        <f t="shared" si="198"/>
        <v>0</v>
      </c>
      <c r="M255" s="1225" t="e">
        <f>+#REF!</f>
        <v>#REF!</v>
      </c>
      <c r="N255" s="1225">
        <f>+N256</f>
        <v>16222</v>
      </c>
      <c r="O255" s="3544"/>
      <c r="P255" s="3175"/>
    </row>
    <row r="256" spans="1:16" s="3176" customFormat="1" ht="13.5" thickBot="1">
      <c r="A256" s="3558"/>
      <c r="B256" s="809" t="s">
        <v>13</v>
      </c>
      <c r="C256" s="3564"/>
      <c r="D256" s="1216">
        <f>E256+F256+G256+H256+I256+J256+K256+L256</f>
        <v>16222</v>
      </c>
      <c r="E256" s="1692">
        <v>0</v>
      </c>
      <c r="F256" s="1693">
        <v>0</v>
      </c>
      <c r="G256" s="1228">
        <f>15302+920</f>
        <v>16222</v>
      </c>
      <c r="H256" s="1228"/>
      <c r="I256" s="1228"/>
      <c r="J256" s="1228"/>
      <c r="K256" s="1228"/>
      <c r="L256" s="1693"/>
      <c r="M256" s="1706"/>
      <c r="N256" s="831">
        <f>SUM(G256:L256)</f>
        <v>16222</v>
      </c>
      <c r="O256" s="3544"/>
      <c r="P256" s="3175"/>
    </row>
    <row r="257" spans="1:16" s="3176" customFormat="1" ht="13.5" thickBot="1">
      <c r="A257" s="3557"/>
      <c r="B257" s="1223" t="s">
        <v>18</v>
      </c>
      <c r="C257" s="3563"/>
      <c r="D257" s="1232">
        <f>+D258</f>
        <v>552978</v>
      </c>
      <c r="E257" s="1631">
        <f t="shared" ref="E257:L257" si="199">+E258</f>
        <v>0</v>
      </c>
      <c r="F257" s="1631">
        <f t="shared" si="199"/>
        <v>0</v>
      </c>
      <c r="G257" s="1232">
        <f t="shared" si="199"/>
        <v>552978</v>
      </c>
      <c r="H257" s="1232">
        <f t="shared" si="199"/>
        <v>0</v>
      </c>
      <c r="I257" s="1232">
        <f t="shared" si="199"/>
        <v>0</v>
      </c>
      <c r="J257" s="1232">
        <f t="shared" si="199"/>
        <v>0</v>
      </c>
      <c r="K257" s="1232">
        <f t="shared" si="199"/>
        <v>0</v>
      </c>
      <c r="L257" s="1631">
        <f t="shared" si="199"/>
        <v>0</v>
      </c>
      <c r="M257" s="1233">
        <f>+M258</f>
        <v>552978</v>
      </c>
      <c r="N257" s="1233">
        <f>+N258</f>
        <v>552978</v>
      </c>
      <c r="O257" s="3544"/>
      <c r="P257" s="3175"/>
    </row>
    <row r="258" spans="1:16" s="3176" customFormat="1" ht="13.5" thickBot="1">
      <c r="A258" s="3557"/>
      <c r="B258" s="1226" t="s">
        <v>20</v>
      </c>
      <c r="C258" s="3563"/>
      <c r="D258" s="1216">
        <f>E258+F258+G258+H258+I258+J258+K258+L258</f>
        <v>552978</v>
      </c>
      <c r="E258" s="1692">
        <v>0</v>
      </c>
      <c r="F258" s="1709">
        <v>0</v>
      </c>
      <c r="G258" s="1229">
        <f>521599+31379</f>
        <v>552978</v>
      </c>
      <c r="H258" s="1229"/>
      <c r="I258" s="1229"/>
      <c r="J258" s="1229"/>
      <c r="K258" s="1229"/>
      <c r="L258" s="1709"/>
      <c r="M258" s="850">
        <f>SUM(F258:K258)</f>
        <v>552978</v>
      </c>
      <c r="N258" s="850">
        <f>SUM(G258:L258)</f>
        <v>552978</v>
      </c>
      <c r="O258" s="3544"/>
      <c r="P258" s="3175"/>
    </row>
    <row r="259" spans="1:16" s="3176" customFormat="1" ht="13.5" thickBot="1">
      <c r="A259" s="3559"/>
      <c r="B259" s="1219" t="s">
        <v>21</v>
      </c>
      <c r="C259" s="1219"/>
      <c r="D259" s="1235">
        <f>D262+D260</f>
        <v>569200</v>
      </c>
      <c r="E259" s="1712">
        <f t="shared" ref="E259:L259" si="200">E262+E260</f>
        <v>0</v>
      </c>
      <c r="F259" s="1712">
        <f t="shared" si="200"/>
        <v>0</v>
      </c>
      <c r="G259" s="1235">
        <f t="shared" si="200"/>
        <v>569200</v>
      </c>
      <c r="H259" s="1235">
        <f t="shared" si="200"/>
        <v>0</v>
      </c>
      <c r="I259" s="1235">
        <f t="shared" si="200"/>
        <v>0</v>
      </c>
      <c r="J259" s="1235">
        <f t="shared" si="200"/>
        <v>0</v>
      </c>
      <c r="K259" s="1235">
        <f t="shared" si="200"/>
        <v>0</v>
      </c>
      <c r="L259" s="1712">
        <f t="shared" si="200"/>
        <v>0</v>
      </c>
      <c r="M259" s="3565" t="s">
        <v>53</v>
      </c>
      <c r="N259" s="3565" t="s">
        <v>53</v>
      </c>
      <c r="O259" s="3573" t="s">
        <v>575</v>
      </c>
      <c r="P259" s="3175"/>
    </row>
    <row r="260" spans="1:16" s="3176" customFormat="1" ht="12.75" customHeight="1" thickBot="1">
      <c r="A260" s="3560"/>
      <c r="B260" s="1662" t="s">
        <v>23</v>
      </c>
      <c r="C260" s="3570" t="s">
        <v>435</v>
      </c>
      <c r="D260" s="1232">
        <f t="shared" ref="D260:L262" si="201">+D261</f>
        <v>16222</v>
      </c>
      <c r="E260" s="1631">
        <f t="shared" si="201"/>
        <v>0</v>
      </c>
      <c r="F260" s="1631">
        <f t="shared" si="201"/>
        <v>0</v>
      </c>
      <c r="G260" s="1232">
        <f t="shared" si="201"/>
        <v>16222</v>
      </c>
      <c r="H260" s="1232">
        <f t="shared" si="201"/>
        <v>0</v>
      </c>
      <c r="I260" s="1232">
        <f t="shared" si="201"/>
        <v>0</v>
      </c>
      <c r="J260" s="1232">
        <f t="shared" si="201"/>
        <v>0</v>
      </c>
      <c r="K260" s="1232">
        <f t="shared" si="201"/>
        <v>0</v>
      </c>
      <c r="L260" s="1631">
        <f t="shared" si="201"/>
        <v>0</v>
      </c>
      <c r="M260" s="3551"/>
      <c r="N260" s="3551"/>
      <c r="O260" s="3573"/>
      <c r="P260" s="3175"/>
    </row>
    <row r="261" spans="1:16" s="3176" customFormat="1" ht="13.5" thickBot="1">
      <c r="A261" s="3560"/>
      <c r="B261" s="809" t="s">
        <v>13</v>
      </c>
      <c r="C261" s="3571"/>
      <c r="D261" s="1267">
        <f>E261+F261+G261+H261+I261+J261+K261+L261</f>
        <v>16222</v>
      </c>
      <c r="E261" s="1713">
        <v>0</v>
      </c>
      <c r="F261" s="1713">
        <v>0</v>
      </c>
      <c r="G261" s="1714">
        <f>15302+920</f>
        <v>16222</v>
      </c>
      <c r="H261" s="1714"/>
      <c r="I261" s="1714"/>
      <c r="J261" s="1714"/>
      <c r="K261" s="1714"/>
      <c r="L261" s="1713">
        <v>0</v>
      </c>
      <c r="M261" s="3551"/>
      <c r="N261" s="3551"/>
      <c r="O261" s="3573"/>
      <c r="P261" s="3175"/>
    </row>
    <row r="262" spans="1:16" s="3176" customFormat="1">
      <c r="A262" s="3559"/>
      <c r="B262" s="1223" t="s">
        <v>18</v>
      </c>
      <c r="C262" s="3571"/>
      <c r="D262" s="1647">
        <f t="shared" si="201"/>
        <v>552978</v>
      </c>
      <c r="E262" s="1631">
        <f t="shared" si="201"/>
        <v>0</v>
      </c>
      <c r="F262" s="1631">
        <f t="shared" si="201"/>
        <v>0</v>
      </c>
      <c r="G262" s="1232">
        <f t="shared" si="201"/>
        <v>552978</v>
      </c>
      <c r="H262" s="1232">
        <f t="shared" si="201"/>
        <v>0</v>
      </c>
      <c r="I262" s="1232">
        <f t="shared" si="201"/>
        <v>0</v>
      </c>
      <c r="J262" s="1232">
        <f t="shared" si="201"/>
        <v>0</v>
      </c>
      <c r="K262" s="1232">
        <f t="shared" si="201"/>
        <v>0</v>
      </c>
      <c r="L262" s="1631">
        <f t="shared" si="201"/>
        <v>0</v>
      </c>
      <c r="M262" s="3565"/>
      <c r="N262" s="3565"/>
      <c r="O262" s="3574"/>
      <c r="P262" s="3175"/>
    </row>
    <row r="263" spans="1:16" s="3176" customFormat="1" ht="13.5" thickBot="1">
      <c r="A263" s="3561"/>
      <c r="B263" s="527" t="s">
        <v>20</v>
      </c>
      <c r="C263" s="3572"/>
      <c r="D263" s="767">
        <f>E263+F263+G263+H263+I263+J263+K263+L263</f>
        <v>552978</v>
      </c>
      <c r="E263" s="544">
        <v>0</v>
      </c>
      <c r="F263" s="805">
        <v>0</v>
      </c>
      <c r="G263" s="408">
        <f>521599+31379</f>
        <v>552978</v>
      </c>
      <c r="H263" s="408"/>
      <c r="I263" s="408"/>
      <c r="J263" s="408"/>
      <c r="K263" s="408"/>
      <c r="L263" s="805">
        <v>0</v>
      </c>
      <c r="M263" s="3566"/>
      <c r="N263" s="3566"/>
      <c r="O263" s="3569"/>
      <c r="P263" s="3175"/>
    </row>
    <row r="264" spans="1:16" s="3176" customFormat="1" ht="25.5" customHeight="1">
      <c r="A264" s="3556" t="s">
        <v>92</v>
      </c>
      <c r="B264" s="1134" t="s">
        <v>646</v>
      </c>
      <c r="C264" s="1135" t="s">
        <v>101</v>
      </c>
      <c r="D264" s="1069"/>
      <c r="E264" s="1069"/>
      <c r="F264" s="1069"/>
      <c r="G264" s="1069"/>
      <c r="H264" s="1069"/>
      <c r="I264" s="1069"/>
      <c r="J264" s="1069"/>
      <c r="K264" s="1069"/>
      <c r="L264" s="1069"/>
      <c r="M264" s="1069"/>
      <c r="N264" s="1069"/>
      <c r="O264" s="3545" t="s">
        <v>310</v>
      </c>
      <c r="P264" s="3175"/>
    </row>
    <row r="265" spans="1:16" s="3176" customFormat="1">
      <c r="A265" s="3557"/>
      <c r="B265" s="1219" t="s">
        <v>10</v>
      </c>
      <c r="C265" s="1136"/>
      <c r="D265" s="1220">
        <f>+D266+D273</f>
        <v>1113035</v>
      </c>
      <c r="E265" s="1690">
        <f t="shared" ref="E265:N265" si="202">+E266+E273</f>
        <v>0</v>
      </c>
      <c r="F265" s="1690">
        <f t="shared" si="202"/>
        <v>0</v>
      </c>
      <c r="G265" s="1221">
        <f t="shared" si="202"/>
        <v>294044</v>
      </c>
      <c r="H265" s="1221">
        <f t="shared" si="202"/>
        <v>392447</v>
      </c>
      <c r="I265" s="1221">
        <f t="shared" si="202"/>
        <v>351828</v>
      </c>
      <c r="J265" s="1221">
        <f t="shared" si="202"/>
        <v>74716</v>
      </c>
      <c r="K265" s="1690">
        <f t="shared" si="202"/>
        <v>0</v>
      </c>
      <c r="L265" s="1690">
        <f t="shared" si="202"/>
        <v>0</v>
      </c>
      <c r="M265" s="1222">
        <f t="shared" si="202"/>
        <v>938066</v>
      </c>
      <c r="N265" s="1222">
        <f t="shared" si="202"/>
        <v>1113035</v>
      </c>
      <c r="O265" s="3546"/>
      <c r="P265" s="3175"/>
    </row>
    <row r="266" spans="1:16" s="3176" customFormat="1">
      <c r="A266" s="3557"/>
      <c r="B266" s="1223" t="s">
        <v>23</v>
      </c>
      <c r="C266" s="3562" t="s">
        <v>551</v>
      </c>
      <c r="D266" s="1224">
        <f>+D267+D270</f>
        <v>174969</v>
      </c>
      <c r="E266" s="1691">
        <f t="shared" ref="E266:L266" si="203">+E267+E270</f>
        <v>0</v>
      </c>
      <c r="F266" s="1691">
        <f t="shared" si="203"/>
        <v>0</v>
      </c>
      <c r="G266" s="1224">
        <f t="shared" si="203"/>
        <v>46224</v>
      </c>
      <c r="H266" s="1224">
        <f t="shared" si="203"/>
        <v>61693</v>
      </c>
      <c r="I266" s="1224">
        <f t="shared" si="203"/>
        <v>55307</v>
      </c>
      <c r="J266" s="1224">
        <f t="shared" si="203"/>
        <v>11745</v>
      </c>
      <c r="K266" s="1691">
        <f t="shared" si="203"/>
        <v>0</v>
      </c>
      <c r="L266" s="1691">
        <f t="shared" si="203"/>
        <v>0</v>
      </c>
      <c r="M266" s="1225">
        <f t="shared" ref="M266" si="204">+M267</f>
        <v>0</v>
      </c>
      <c r="N266" s="1225">
        <f>+N267+N270</f>
        <v>174969</v>
      </c>
      <c r="O266" s="3546"/>
      <c r="P266" s="3175"/>
    </row>
    <row r="267" spans="1:16" s="3176" customFormat="1" hidden="1">
      <c r="A267" s="3557"/>
      <c r="B267" s="1226" t="s">
        <v>12</v>
      </c>
      <c r="C267" s="3563"/>
      <c r="D267" s="1216">
        <f>E267+F267+G267+H267+I267+J267+K267+L267</f>
        <v>0</v>
      </c>
      <c r="E267" s="1692">
        <v>0</v>
      </c>
      <c r="F267" s="1693">
        <v>0</v>
      </c>
      <c r="G267" s="1228">
        <f>G268+G269</f>
        <v>0</v>
      </c>
      <c r="H267" s="1228">
        <f t="shared" ref="H267:L267" si="205">H268+H269</f>
        <v>0</v>
      </c>
      <c r="I267" s="1228">
        <f t="shared" si="205"/>
        <v>0</v>
      </c>
      <c r="J267" s="1228">
        <f t="shared" si="205"/>
        <v>0</v>
      </c>
      <c r="K267" s="1693">
        <f t="shared" si="205"/>
        <v>0</v>
      </c>
      <c r="L267" s="1693">
        <f t="shared" si="205"/>
        <v>0</v>
      </c>
      <c r="M267" s="831">
        <f>SUM(F267:K267)</f>
        <v>0</v>
      </c>
      <c r="N267" s="831">
        <f>SUM(G267:L267)</f>
        <v>0</v>
      </c>
      <c r="O267" s="3546"/>
      <c r="P267" s="3175"/>
    </row>
    <row r="268" spans="1:16" s="3176" customFormat="1" hidden="1">
      <c r="A268" s="3557"/>
      <c r="B268" s="1694" t="s">
        <v>288</v>
      </c>
      <c r="C268" s="3563"/>
      <c r="D268" s="1695">
        <f>SUM(E268:L268)</f>
        <v>0</v>
      </c>
      <c r="E268" s="1696">
        <v>0</v>
      </c>
      <c r="F268" s="1697">
        <v>0</v>
      </c>
      <c r="G268" s="1698"/>
      <c r="H268" s="1698"/>
      <c r="I268" s="1698"/>
      <c r="J268" s="1698">
        <v>0</v>
      </c>
      <c r="K268" s="1696">
        <v>0</v>
      </c>
      <c r="L268" s="1696">
        <v>0</v>
      </c>
      <c r="M268" s="1699"/>
      <c r="N268" s="1700">
        <f>SUM(G268:L268)</f>
        <v>0</v>
      </c>
      <c r="O268" s="3546"/>
      <c r="P268" s="3175"/>
    </row>
    <row r="269" spans="1:16" s="3176" customFormat="1" hidden="1">
      <c r="A269" s="3557"/>
      <c r="B269" s="1701" t="s">
        <v>305</v>
      </c>
      <c r="C269" s="3563"/>
      <c r="D269" s="1702">
        <f>SUM(E269:L269)</f>
        <v>0</v>
      </c>
      <c r="E269" s="1703">
        <v>0</v>
      </c>
      <c r="F269" s="1704">
        <v>0</v>
      </c>
      <c r="G269" s="1705"/>
      <c r="H269" s="1705"/>
      <c r="I269" s="1705"/>
      <c r="J269" s="1705">
        <v>0</v>
      </c>
      <c r="K269" s="1703">
        <v>0</v>
      </c>
      <c r="L269" s="1703">
        <v>0</v>
      </c>
      <c r="M269" s="1699"/>
      <c r="N269" s="1700">
        <f>SUM(G269:L269)</f>
        <v>0</v>
      </c>
      <c r="O269" s="3546"/>
      <c r="P269" s="3175"/>
    </row>
    <row r="270" spans="1:16" s="3176" customFormat="1">
      <c r="A270" s="3558"/>
      <c r="B270" s="809" t="s">
        <v>13</v>
      </c>
      <c r="C270" s="3564"/>
      <c r="D270" s="1216">
        <f>E270+F270+G270+H270+I270+J270+K270+L270</f>
        <v>174969</v>
      </c>
      <c r="E270" s="1692">
        <v>0</v>
      </c>
      <c r="F270" s="1693">
        <v>0</v>
      </c>
      <c r="G270" s="1228">
        <f>G271+G272</f>
        <v>46224</v>
      </c>
      <c r="H270" s="1228">
        <f t="shared" ref="H270:L270" si="206">H271+H272</f>
        <v>61693</v>
      </c>
      <c r="I270" s="1228">
        <f t="shared" si="206"/>
        <v>55307</v>
      </c>
      <c r="J270" s="1228">
        <f t="shared" si="206"/>
        <v>11745</v>
      </c>
      <c r="K270" s="1693">
        <f t="shared" si="206"/>
        <v>0</v>
      </c>
      <c r="L270" s="1693">
        <f t="shared" si="206"/>
        <v>0</v>
      </c>
      <c r="M270" s="1706"/>
      <c r="N270" s="831">
        <f t="shared" ref="N270:N272" si="207">SUM(G270:L270)</f>
        <v>174969</v>
      </c>
      <c r="O270" s="3546"/>
      <c r="P270" s="3175"/>
    </row>
    <row r="271" spans="1:16" s="3176" customFormat="1" hidden="1">
      <c r="A271" s="3558"/>
      <c r="B271" s="1694" t="s">
        <v>288</v>
      </c>
      <c r="C271" s="3564"/>
      <c r="D271" s="1695">
        <f>SUM(E271:L271)</f>
        <v>115553</v>
      </c>
      <c r="E271" s="1696">
        <v>0</v>
      </c>
      <c r="F271" s="1697">
        <v>0</v>
      </c>
      <c r="G271" s="1698">
        <v>27998</v>
      </c>
      <c r="H271" s="1698">
        <v>38418</v>
      </c>
      <c r="I271" s="1698">
        <v>38208</v>
      </c>
      <c r="J271" s="1698">
        <v>10929</v>
      </c>
      <c r="K271" s="1696">
        <v>0</v>
      </c>
      <c r="L271" s="1696">
        <v>0</v>
      </c>
      <c r="M271" s="1708"/>
      <c r="N271" s="850">
        <f t="shared" si="207"/>
        <v>115553</v>
      </c>
      <c r="O271" s="3546"/>
      <c r="P271" s="3175">
        <f>D270-D279</f>
        <v>0</v>
      </c>
    </row>
    <row r="272" spans="1:16" s="3176" customFormat="1" hidden="1">
      <c r="A272" s="3558"/>
      <c r="B272" s="1701" t="s">
        <v>305</v>
      </c>
      <c r="C272" s="3564"/>
      <c r="D272" s="1702">
        <f>SUM(E272:L272)</f>
        <v>59416</v>
      </c>
      <c r="E272" s="1703">
        <v>0</v>
      </c>
      <c r="F272" s="1704">
        <v>0</v>
      </c>
      <c r="G272" s="1705">
        <v>18226</v>
      </c>
      <c r="H272" s="1705">
        <v>23275</v>
      </c>
      <c r="I272" s="1705">
        <v>17099</v>
      </c>
      <c r="J272" s="1705">
        <v>816</v>
      </c>
      <c r="K272" s="1703">
        <v>0</v>
      </c>
      <c r="L272" s="1703">
        <v>0</v>
      </c>
      <c r="M272" s="1708"/>
      <c r="N272" s="850">
        <f t="shared" si="207"/>
        <v>59416</v>
      </c>
      <c r="O272" s="3546"/>
      <c r="P272" s="3175"/>
    </row>
    <row r="273" spans="1:16" s="3176" customFormat="1">
      <c r="A273" s="3557"/>
      <c r="B273" s="1223" t="s">
        <v>18</v>
      </c>
      <c r="C273" s="3563"/>
      <c r="D273" s="1232">
        <f>+D274</f>
        <v>938066</v>
      </c>
      <c r="E273" s="1631">
        <f t="shared" ref="E273:L273" si="208">+E274</f>
        <v>0</v>
      </c>
      <c r="F273" s="1631">
        <f t="shared" si="208"/>
        <v>0</v>
      </c>
      <c r="G273" s="1232">
        <f t="shared" si="208"/>
        <v>247820</v>
      </c>
      <c r="H273" s="1232">
        <f t="shared" si="208"/>
        <v>330754</v>
      </c>
      <c r="I273" s="1232">
        <f t="shared" si="208"/>
        <v>296521</v>
      </c>
      <c r="J273" s="1232">
        <f t="shared" si="208"/>
        <v>62971</v>
      </c>
      <c r="K273" s="1631">
        <f t="shared" si="208"/>
        <v>0</v>
      </c>
      <c r="L273" s="1631">
        <f t="shared" si="208"/>
        <v>0</v>
      </c>
      <c r="M273" s="1233">
        <f>+M274</f>
        <v>938066</v>
      </c>
      <c r="N273" s="1233">
        <f>+N274</f>
        <v>938066</v>
      </c>
      <c r="O273" s="3546"/>
      <c r="P273" s="3175">
        <f>D274-D281</f>
        <v>0</v>
      </c>
    </row>
    <row r="274" spans="1:16" s="3176" customFormat="1">
      <c r="A274" s="3557"/>
      <c r="B274" s="1226" t="s">
        <v>20</v>
      </c>
      <c r="C274" s="3563"/>
      <c r="D274" s="1216">
        <f>E274+F274+G274+H274+I274+J274+K274+L274</f>
        <v>938066</v>
      </c>
      <c r="E274" s="1692">
        <v>0</v>
      </c>
      <c r="F274" s="1709">
        <v>0</v>
      </c>
      <c r="G274" s="1229">
        <f>G275+G276</f>
        <v>247820</v>
      </c>
      <c r="H274" s="1229">
        <f t="shared" ref="H274:L274" si="209">H275+H276</f>
        <v>330754</v>
      </c>
      <c r="I274" s="1229">
        <f t="shared" si="209"/>
        <v>296521</v>
      </c>
      <c r="J274" s="1229">
        <f t="shared" si="209"/>
        <v>62971</v>
      </c>
      <c r="K274" s="1709">
        <f t="shared" si="209"/>
        <v>0</v>
      </c>
      <c r="L274" s="1709">
        <f t="shared" si="209"/>
        <v>0</v>
      </c>
      <c r="M274" s="850">
        <f>SUM(F274:K274)</f>
        <v>938066</v>
      </c>
      <c r="N274" s="850">
        <f>SUM(G274:L274)</f>
        <v>938066</v>
      </c>
      <c r="O274" s="3546"/>
      <c r="P274" s="3175"/>
    </row>
    <row r="275" spans="1:16" s="3176" customFormat="1" hidden="1">
      <c r="A275" s="3557"/>
      <c r="B275" s="1694" t="s">
        <v>288</v>
      </c>
      <c r="C275" s="1710"/>
      <c r="D275" s="1695">
        <f>SUM(E275:L275)</f>
        <v>619522</v>
      </c>
      <c r="E275" s="1696">
        <v>0</v>
      </c>
      <c r="F275" s="1696">
        <v>0</v>
      </c>
      <c r="G275" s="1698">
        <v>150106</v>
      </c>
      <c r="H275" s="1698">
        <v>205970</v>
      </c>
      <c r="I275" s="1698">
        <v>204850</v>
      </c>
      <c r="J275" s="1698">
        <v>58596</v>
      </c>
      <c r="K275" s="1696">
        <v>0</v>
      </c>
      <c r="L275" s="1696">
        <v>0</v>
      </c>
      <c r="M275" s="1699"/>
      <c r="N275" s="1700">
        <f>SUM(G275:L275)</f>
        <v>619522</v>
      </c>
      <c r="O275" s="3546"/>
      <c r="P275" s="3175"/>
    </row>
    <row r="276" spans="1:16" s="3176" customFormat="1" hidden="1">
      <c r="A276" s="3557"/>
      <c r="B276" s="1701" t="s">
        <v>305</v>
      </c>
      <c r="C276" s="1711"/>
      <c r="D276" s="1702">
        <f>SUM(E276:L276)</f>
        <v>318544</v>
      </c>
      <c r="E276" s="1703">
        <v>0</v>
      </c>
      <c r="F276" s="1703">
        <v>0</v>
      </c>
      <c r="G276" s="1705">
        <v>97714</v>
      </c>
      <c r="H276" s="1705">
        <v>124784</v>
      </c>
      <c r="I276" s="1705">
        <v>91671</v>
      </c>
      <c r="J276" s="1705">
        <v>4375</v>
      </c>
      <c r="K276" s="1703">
        <v>0</v>
      </c>
      <c r="L276" s="1703">
        <v>0</v>
      </c>
      <c r="M276" s="1699"/>
      <c r="N276" s="1700">
        <f>SUM(G276:L276)</f>
        <v>318544</v>
      </c>
      <c r="O276" s="3547"/>
      <c r="P276" s="3175"/>
    </row>
    <row r="277" spans="1:16" s="3176" customFormat="1">
      <c r="A277" s="3559"/>
      <c r="B277" s="1219" t="s">
        <v>21</v>
      </c>
      <c r="C277" s="1219"/>
      <c r="D277" s="1235">
        <f>D280+D278</f>
        <v>1113035</v>
      </c>
      <c r="E277" s="1712">
        <f t="shared" ref="E277:L277" si="210">E280+E278</f>
        <v>0</v>
      </c>
      <c r="F277" s="1712">
        <f t="shared" si="210"/>
        <v>0</v>
      </c>
      <c r="G277" s="1235">
        <f t="shared" si="210"/>
        <v>294044</v>
      </c>
      <c r="H277" s="1235">
        <f t="shared" si="210"/>
        <v>392447</v>
      </c>
      <c r="I277" s="1235">
        <f t="shared" si="210"/>
        <v>351828</v>
      </c>
      <c r="J277" s="1235">
        <f t="shared" si="210"/>
        <v>74716</v>
      </c>
      <c r="K277" s="1712">
        <f t="shared" si="210"/>
        <v>0</v>
      </c>
      <c r="L277" s="1712">
        <f t="shared" si="210"/>
        <v>0</v>
      </c>
      <c r="M277" s="3565" t="s">
        <v>53</v>
      </c>
      <c r="N277" s="3565" t="s">
        <v>53</v>
      </c>
      <c r="O277" s="3567" t="s">
        <v>305</v>
      </c>
      <c r="P277" s="3175"/>
    </row>
    <row r="278" spans="1:16" s="3176" customFormat="1">
      <c r="A278" s="3560"/>
      <c r="B278" s="1662" t="s">
        <v>23</v>
      </c>
      <c r="C278" s="3570" t="s">
        <v>554</v>
      </c>
      <c r="D278" s="1232">
        <f t="shared" ref="D278:L280" si="211">+D279</f>
        <v>174969</v>
      </c>
      <c r="E278" s="1631">
        <f t="shared" si="211"/>
        <v>0</v>
      </c>
      <c r="F278" s="1631">
        <f t="shared" si="211"/>
        <v>0</v>
      </c>
      <c r="G278" s="1232">
        <f t="shared" si="211"/>
        <v>46224</v>
      </c>
      <c r="H278" s="1232">
        <f t="shared" si="211"/>
        <v>61693</v>
      </c>
      <c r="I278" s="1232">
        <f t="shared" si="211"/>
        <v>55307</v>
      </c>
      <c r="J278" s="1232">
        <f t="shared" si="211"/>
        <v>11745</v>
      </c>
      <c r="K278" s="1631">
        <f t="shared" si="211"/>
        <v>0</v>
      </c>
      <c r="L278" s="1631">
        <f t="shared" si="211"/>
        <v>0</v>
      </c>
      <c r="M278" s="3551"/>
      <c r="N278" s="3551"/>
      <c r="O278" s="3568"/>
      <c r="P278" s="3175"/>
    </row>
    <row r="279" spans="1:16" s="3176" customFormat="1">
      <c r="A279" s="3560"/>
      <c r="B279" s="809" t="s">
        <v>13</v>
      </c>
      <c r="C279" s="3571"/>
      <c r="D279" s="1815">
        <f>E279+F279+G279+H279+I279+J279+K279+L279</f>
        <v>174969</v>
      </c>
      <c r="E279" s="1713">
        <v>0</v>
      </c>
      <c r="F279" s="1713">
        <v>0</v>
      </c>
      <c r="G279" s="1714">
        <v>46224</v>
      </c>
      <c r="H279" s="1714">
        <v>61693</v>
      </c>
      <c r="I279" s="1714">
        <v>55307</v>
      </c>
      <c r="J279" s="1714">
        <v>11745</v>
      </c>
      <c r="K279" s="1713">
        <v>0</v>
      </c>
      <c r="L279" s="1713">
        <v>0</v>
      </c>
      <c r="M279" s="3551"/>
      <c r="N279" s="3551"/>
      <c r="O279" s="3568"/>
      <c r="P279" s="3175"/>
    </row>
    <row r="280" spans="1:16" s="3176" customFormat="1">
      <c r="A280" s="3559"/>
      <c r="B280" s="1223" t="s">
        <v>18</v>
      </c>
      <c r="C280" s="3571"/>
      <c r="D280" s="1647">
        <f t="shared" si="211"/>
        <v>938066</v>
      </c>
      <c r="E280" s="1631">
        <f t="shared" si="211"/>
        <v>0</v>
      </c>
      <c r="F280" s="1631">
        <f t="shared" si="211"/>
        <v>0</v>
      </c>
      <c r="G280" s="1647">
        <f t="shared" si="211"/>
        <v>247820</v>
      </c>
      <c r="H280" s="1647">
        <f t="shared" si="211"/>
        <v>330754</v>
      </c>
      <c r="I280" s="1647">
        <f t="shared" si="211"/>
        <v>296521</v>
      </c>
      <c r="J280" s="1647">
        <f t="shared" si="211"/>
        <v>62971</v>
      </c>
      <c r="K280" s="1631">
        <f t="shared" si="211"/>
        <v>0</v>
      </c>
      <c r="L280" s="1631">
        <f t="shared" si="211"/>
        <v>0</v>
      </c>
      <c r="M280" s="3565"/>
      <c r="N280" s="3565"/>
      <c r="O280" s="3568"/>
      <c r="P280" s="3175"/>
    </row>
    <row r="281" spans="1:16" s="3176" customFormat="1" ht="13.5" thickBot="1">
      <c r="A281" s="3561"/>
      <c r="B281" s="527" t="s">
        <v>20</v>
      </c>
      <c r="C281" s="3572"/>
      <c r="D281" s="767">
        <f>E281+F281+G281+H281+I281+J281+K281+L281</f>
        <v>938066</v>
      </c>
      <c r="E281" s="544">
        <v>0</v>
      </c>
      <c r="F281" s="805">
        <v>0</v>
      </c>
      <c r="G281" s="767">
        <v>247820</v>
      </c>
      <c r="H281" s="767">
        <v>330754</v>
      </c>
      <c r="I281" s="767">
        <v>296521</v>
      </c>
      <c r="J281" s="767">
        <v>62971</v>
      </c>
      <c r="K281" s="805">
        <v>0</v>
      </c>
      <c r="L281" s="805">
        <v>0</v>
      </c>
      <c r="M281" s="3566"/>
      <c r="N281" s="3566"/>
      <c r="O281" s="3569"/>
      <c r="P281" s="3175"/>
    </row>
    <row r="282" spans="1:16">
      <c r="B282" s="1160" t="s">
        <v>448</v>
      </c>
      <c r="C282" s="1160"/>
      <c r="D282" s="1160"/>
      <c r="E282" s="1160"/>
      <c r="F282" s="1160"/>
      <c r="G282" s="1160"/>
      <c r="H282" s="1160"/>
      <c r="I282" s="1160"/>
      <c r="J282" s="1160"/>
      <c r="K282" s="1160"/>
      <c r="L282" s="1160"/>
    </row>
    <row r="283" spans="1:16">
      <c r="B283" s="1160" t="s">
        <v>449</v>
      </c>
      <c r="C283" s="1160"/>
      <c r="D283" s="2292">
        <f t="shared" ref="D283:L283" si="212">D38+D55+D68+D92+D132+D144+D170+D200+D215+D233+D248+D277+D117</f>
        <v>123583221</v>
      </c>
      <c r="E283" s="2292">
        <f t="shared" si="212"/>
        <v>8840348</v>
      </c>
      <c r="F283" s="2292">
        <f t="shared" si="212"/>
        <v>9874235</v>
      </c>
      <c r="G283" s="2292">
        <f t="shared" si="212"/>
        <v>23074765</v>
      </c>
      <c r="H283" s="2292">
        <f t="shared" si="212"/>
        <v>33349433</v>
      </c>
      <c r="I283" s="2292">
        <f t="shared" si="212"/>
        <v>20288719</v>
      </c>
      <c r="J283" s="2292">
        <f t="shared" si="212"/>
        <v>12123450</v>
      </c>
      <c r="K283" s="2292">
        <f t="shared" si="212"/>
        <v>8729767</v>
      </c>
      <c r="L283" s="2292">
        <f t="shared" si="212"/>
        <v>7302504</v>
      </c>
      <c r="M283" s="2292" t="e">
        <f>M38+M55+M68+M92+M132+M144+M170+M200+M215+M233+M248+M277</f>
        <v>#VALUE!</v>
      </c>
    </row>
    <row r="284" spans="1:16">
      <c r="B284" s="1160" t="s">
        <v>450</v>
      </c>
      <c r="C284" s="1160"/>
      <c r="D284" s="2292">
        <f t="shared" ref="D284:L284" si="213">D80+D104+D154+D182+D259</f>
        <v>719567</v>
      </c>
      <c r="E284" s="2292">
        <f t="shared" si="213"/>
        <v>21928</v>
      </c>
      <c r="F284" s="2292">
        <f t="shared" si="213"/>
        <v>60263</v>
      </c>
      <c r="G284" s="2292">
        <f t="shared" si="213"/>
        <v>637376</v>
      </c>
      <c r="H284" s="2292">
        <f t="shared" si="213"/>
        <v>0</v>
      </c>
      <c r="I284" s="2292">
        <f t="shared" si="213"/>
        <v>0</v>
      </c>
      <c r="J284" s="2292">
        <f t="shared" si="213"/>
        <v>0</v>
      </c>
      <c r="K284" s="2292">
        <f t="shared" si="213"/>
        <v>0</v>
      </c>
      <c r="L284" s="2292">
        <f t="shared" si="213"/>
        <v>0</v>
      </c>
      <c r="M284" s="2292" t="e">
        <f>M80+M104+M154+M182</f>
        <v>#VALUE!</v>
      </c>
    </row>
    <row r="285" spans="1:16">
      <c r="B285" s="1160" t="s">
        <v>451</v>
      </c>
      <c r="C285" s="1160"/>
      <c r="D285" s="1121">
        <f>D283+D284</f>
        <v>124302788</v>
      </c>
      <c r="E285" s="1121">
        <f t="shared" ref="E285:L285" si="214">E283+E284</f>
        <v>8862276</v>
      </c>
      <c r="F285" s="1121">
        <f t="shared" si="214"/>
        <v>9934498</v>
      </c>
      <c r="G285" s="1121">
        <f t="shared" si="214"/>
        <v>23712141</v>
      </c>
      <c r="H285" s="1121">
        <f t="shared" si="214"/>
        <v>33349433</v>
      </c>
      <c r="I285" s="1121">
        <f t="shared" si="214"/>
        <v>20288719</v>
      </c>
      <c r="J285" s="1121">
        <f t="shared" si="214"/>
        <v>12123450</v>
      </c>
      <c r="K285" s="1121">
        <f t="shared" si="214"/>
        <v>8729767</v>
      </c>
      <c r="L285" s="1121">
        <f t="shared" si="214"/>
        <v>7302504</v>
      </c>
    </row>
    <row r="286" spans="1:16">
      <c r="B286" s="1122" t="s">
        <v>41</v>
      </c>
      <c r="C286" s="1122"/>
      <c r="D286" s="1123">
        <f t="shared" ref="D286:L286" si="215">D285-D18</f>
        <v>0</v>
      </c>
      <c r="E286" s="1123">
        <f t="shared" si="215"/>
        <v>0</v>
      </c>
      <c r="F286" s="1123">
        <f t="shared" si="215"/>
        <v>0</v>
      </c>
      <c r="G286" s="1123">
        <f t="shared" si="215"/>
        <v>0</v>
      </c>
      <c r="H286" s="1123">
        <f t="shared" si="215"/>
        <v>0</v>
      </c>
      <c r="I286" s="1123">
        <f t="shared" si="215"/>
        <v>0</v>
      </c>
      <c r="J286" s="1123">
        <f t="shared" si="215"/>
        <v>0</v>
      </c>
      <c r="K286" s="1123">
        <f t="shared" si="215"/>
        <v>0</v>
      </c>
      <c r="L286" s="1123">
        <f t="shared" si="215"/>
        <v>0</v>
      </c>
    </row>
    <row r="287" spans="1:16">
      <c r="B287" s="2743"/>
      <c r="C287" s="2743"/>
      <c r="D287" s="2743"/>
      <c r="E287" s="2743"/>
      <c r="F287" s="2743"/>
      <c r="G287" s="2743"/>
      <c r="H287" s="2743"/>
      <c r="I287" s="2743"/>
      <c r="J287" s="2743"/>
      <c r="K287" s="2743"/>
      <c r="L287" s="2743"/>
    </row>
    <row r="289" spans="2:2" ht="31.5" customHeight="1">
      <c r="B289" s="2285" t="s">
        <v>777</v>
      </c>
    </row>
    <row r="401" spans="1:15" ht="13.5" thickBot="1">
      <c r="A401" s="3177"/>
    </row>
    <row r="402" spans="1:15" ht="13.5" thickBot="1">
      <c r="A402" s="3178"/>
    </row>
    <row r="403" spans="1:15" ht="13.5" thickBot="1">
      <c r="A403" s="3178"/>
    </row>
    <row r="404" spans="1:15" ht="13.5" thickBot="1">
      <c r="A404" s="3178"/>
    </row>
    <row r="405" spans="1:15" ht="13.5" thickBot="1">
      <c r="A405" s="3178"/>
    </row>
    <row r="406" spans="1:15" ht="13.5" thickBot="1">
      <c r="A406" s="3178"/>
    </row>
    <row r="407" spans="1:15" ht="13.5" thickBot="1">
      <c r="A407" s="3178"/>
      <c r="N407" s="3010"/>
      <c r="O407" s="3010"/>
    </row>
    <row r="408" spans="1:15" ht="13.5" thickBot="1">
      <c r="A408" s="3178"/>
      <c r="C408" s="3010"/>
      <c r="N408" s="3179"/>
      <c r="O408" s="3179"/>
    </row>
    <row r="409" spans="1:15" ht="13.5" thickBot="1">
      <c r="A409" s="3178"/>
      <c r="C409" s="3179"/>
      <c r="D409" s="3010"/>
      <c r="E409" s="3010"/>
      <c r="F409" s="3010"/>
      <c r="G409" s="3010"/>
      <c r="H409" s="3010"/>
      <c r="I409" s="3010"/>
      <c r="J409" s="3010"/>
      <c r="K409" s="3010"/>
      <c r="L409" s="3010"/>
      <c r="N409" s="3179"/>
      <c r="O409" s="3179"/>
    </row>
    <row r="410" spans="1:15" ht="13.5" thickBot="1">
      <c r="A410" s="3178"/>
      <c r="C410" s="3180"/>
      <c r="D410" s="3180"/>
      <c r="E410" s="3180"/>
      <c r="F410" s="3180"/>
      <c r="G410" s="3180"/>
      <c r="H410" s="3180"/>
      <c r="I410" s="3180"/>
      <c r="J410" s="3180"/>
      <c r="K410" s="3180"/>
      <c r="L410" s="3180"/>
      <c r="N410" s="3180"/>
      <c r="O410" s="3179"/>
    </row>
    <row r="411" spans="1:15" ht="13.5" thickBot="1">
      <c r="A411" s="3178"/>
      <c r="O411" s="3179"/>
    </row>
    <row r="412" spans="1:15" ht="13.5" thickBot="1">
      <c r="A412" s="3178"/>
      <c r="O412" s="3179"/>
    </row>
    <row r="413" spans="1:15" ht="13.5" thickBot="1">
      <c r="A413" s="3178"/>
      <c r="O413" s="3179"/>
    </row>
    <row r="414" spans="1:15" ht="13.5" thickBot="1">
      <c r="A414" s="3178"/>
      <c r="O414" s="3179"/>
    </row>
    <row r="415" spans="1:15" ht="13.5" thickBot="1">
      <c r="A415" s="3178"/>
      <c r="O415" s="3180"/>
    </row>
    <row r="416" spans="1:15" ht="13.5" thickBot="1">
      <c r="A416" s="3178"/>
    </row>
    <row r="417" spans="1:1" ht="13.5" thickBot="1">
      <c r="A417" s="3178"/>
    </row>
    <row r="418" spans="1:1">
      <c r="A418" s="3181"/>
    </row>
    <row r="516" spans="1:15" ht="13.5" thickBot="1">
      <c r="O516" s="3010"/>
    </row>
    <row r="517" spans="1:15" ht="13.5" thickBot="1">
      <c r="O517" s="3179"/>
    </row>
    <row r="518" spans="1:15" ht="13.5" thickBot="1">
      <c r="O518" s="3179"/>
    </row>
    <row r="519" spans="1:15" ht="13.5" thickBot="1">
      <c r="O519" s="3179"/>
    </row>
    <row r="520" spans="1:15" ht="13.5" thickBot="1">
      <c r="N520" s="3010"/>
      <c r="O520" s="3179"/>
    </row>
    <row r="521" spans="1:15" ht="13.5" thickBot="1">
      <c r="N521" s="3179"/>
      <c r="O521" s="3179"/>
    </row>
    <row r="522" spans="1:15" ht="13.5" thickBot="1">
      <c r="N522" s="3179"/>
      <c r="O522" s="3179"/>
    </row>
    <row r="523" spans="1:15" ht="13.5" thickBot="1">
      <c r="N523" s="3179"/>
      <c r="O523" s="3179"/>
    </row>
    <row r="524" spans="1:15" ht="13.5" thickBot="1">
      <c r="N524" s="3179"/>
      <c r="O524" s="3179"/>
    </row>
    <row r="525" spans="1:15" ht="13.5" thickBot="1">
      <c r="A525" s="3177"/>
      <c r="B525" s="3010"/>
      <c r="C525" s="3010"/>
      <c r="D525" s="3010"/>
      <c r="E525" s="3010"/>
      <c r="F525" s="3010"/>
      <c r="G525" s="3010"/>
      <c r="H525" s="3010"/>
      <c r="I525" s="3010"/>
      <c r="J525" s="3010"/>
      <c r="K525" s="3010"/>
      <c r="L525" s="3010"/>
      <c r="N525" s="3179"/>
      <c r="O525" s="3179"/>
    </row>
    <row r="526" spans="1:15" ht="13.5" thickBot="1">
      <c r="A526" s="3178"/>
      <c r="B526" s="3180"/>
      <c r="C526" s="3180"/>
      <c r="D526" s="3180"/>
      <c r="E526" s="3180"/>
      <c r="F526" s="3180"/>
      <c r="G526" s="3180"/>
      <c r="H526" s="3180"/>
      <c r="I526" s="3180"/>
      <c r="J526" s="3180"/>
      <c r="K526" s="3180"/>
      <c r="L526" s="3180"/>
      <c r="N526" s="3180"/>
      <c r="O526" s="3179"/>
    </row>
    <row r="527" spans="1:15" ht="13.5" thickBot="1">
      <c r="A527" s="3178"/>
      <c r="O527" s="3179"/>
    </row>
    <row r="528" spans="1:15" ht="13.5" thickBot="1">
      <c r="A528" s="3178"/>
      <c r="O528" s="3179"/>
    </row>
    <row r="529" spans="1:15" ht="13.5" thickBot="1">
      <c r="A529" s="3178"/>
      <c r="O529" s="3179"/>
    </row>
    <row r="530" spans="1:15" ht="13.5" thickBot="1">
      <c r="A530" s="3178"/>
      <c r="O530" s="3179"/>
    </row>
    <row r="531" spans="1:15" ht="13.5" thickBot="1">
      <c r="A531" s="3178"/>
      <c r="O531" s="3179"/>
    </row>
    <row r="532" spans="1:15" ht="13.5" thickBot="1">
      <c r="A532" s="3178"/>
      <c r="O532" s="3179"/>
    </row>
    <row r="533" spans="1:15">
      <c r="A533" s="3181"/>
      <c r="O533" s="3180"/>
    </row>
  </sheetData>
  <mergeCells count="135">
    <mergeCell ref="O175:O181"/>
    <mergeCell ref="O182:O186"/>
    <mergeCell ref="A175:A186"/>
    <mergeCell ref="C177:C181"/>
    <mergeCell ref="M182:M186"/>
    <mergeCell ref="N182:N186"/>
    <mergeCell ref="C183:C186"/>
    <mergeCell ref="O157:O169"/>
    <mergeCell ref="O170:O174"/>
    <mergeCell ref="M104:M108"/>
    <mergeCell ref="A157:A174"/>
    <mergeCell ref="C159:C167"/>
    <mergeCell ref="M170:M174"/>
    <mergeCell ref="N170:N174"/>
    <mergeCell ref="C171:C174"/>
    <mergeCell ref="A147:A156"/>
    <mergeCell ref="A73:A84"/>
    <mergeCell ref="C93:C96"/>
    <mergeCell ref="A97:A108"/>
    <mergeCell ref="C99:C103"/>
    <mergeCell ref="N104:N108"/>
    <mergeCell ref="C105:C108"/>
    <mergeCell ref="C75:C79"/>
    <mergeCell ref="N80:N84"/>
    <mergeCell ref="C81:C84"/>
    <mergeCell ref="A85:A96"/>
    <mergeCell ref="A109:A121"/>
    <mergeCell ref="O122:O129"/>
    <mergeCell ref="O132:O134"/>
    <mergeCell ref="C149:C150"/>
    <mergeCell ref="N154:N156"/>
    <mergeCell ref="C155:C156"/>
    <mergeCell ref="M154:M156"/>
    <mergeCell ref="A135:A146"/>
    <mergeCell ref="N144:N146"/>
    <mergeCell ref="C145:C146"/>
    <mergeCell ref="C137:C143"/>
    <mergeCell ref="M144:M146"/>
    <mergeCell ref="O135:O138"/>
    <mergeCell ref="O147:O150"/>
    <mergeCell ref="O144:O146"/>
    <mergeCell ref="O154:O156"/>
    <mergeCell ref="A122:A134"/>
    <mergeCell ref="C124:C129"/>
    <mergeCell ref="N132:N134"/>
    <mergeCell ref="C133:C134"/>
    <mergeCell ref="M132:M134"/>
    <mergeCell ref="A3:O3"/>
    <mergeCell ref="C4:C5"/>
    <mergeCell ref="D4:D5"/>
    <mergeCell ref="O4:O5"/>
    <mergeCell ref="N4:N5"/>
    <mergeCell ref="B4:B5"/>
    <mergeCell ref="A4:A5"/>
    <mergeCell ref="M4:M5"/>
    <mergeCell ref="A24:A43"/>
    <mergeCell ref="C26:C37"/>
    <mergeCell ref="C39:C43"/>
    <mergeCell ref="N38:N43"/>
    <mergeCell ref="M18:M23"/>
    <mergeCell ref="M38:M43"/>
    <mergeCell ref="N18:N23"/>
    <mergeCell ref="F4:F5"/>
    <mergeCell ref="G4:L4"/>
    <mergeCell ref="O24:O37"/>
    <mergeCell ref="O44:O52"/>
    <mergeCell ref="C87:C91"/>
    <mergeCell ref="N92:N96"/>
    <mergeCell ref="O55:O59"/>
    <mergeCell ref="A61:A72"/>
    <mergeCell ref="C63:C67"/>
    <mergeCell ref="C69:C72"/>
    <mergeCell ref="N68:N72"/>
    <mergeCell ref="A44:A59"/>
    <mergeCell ref="C46:C52"/>
    <mergeCell ref="C56:C59"/>
    <mergeCell ref="N55:N59"/>
    <mergeCell ref="M55:M59"/>
    <mergeCell ref="M68:M72"/>
    <mergeCell ref="O61:O67"/>
    <mergeCell ref="O73:O79"/>
    <mergeCell ref="O85:O91"/>
    <mergeCell ref="M80:M84"/>
    <mergeCell ref="M92:M96"/>
    <mergeCell ref="O92:O96"/>
    <mergeCell ref="A205:A219"/>
    <mergeCell ref="O205:O214"/>
    <mergeCell ref="C207:C212"/>
    <mergeCell ref="M215:M219"/>
    <mergeCell ref="N215:N219"/>
    <mergeCell ref="O215:O219"/>
    <mergeCell ref="C216:C219"/>
    <mergeCell ref="A187:A204"/>
    <mergeCell ref="O187:O199"/>
    <mergeCell ref="C189:C197"/>
    <mergeCell ref="M200:M204"/>
    <mergeCell ref="N200:N204"/>
    <mergeCell ref="O200:O204"/>
    <mergeCell ref="C201:C204"/>
    <mergeCell ref="C240:C245"/>
    <mergeCell ref="M248:M252"/>
    <mergeCell ref="N248:N252"/>
    <mergeCell ref="O248:O252"/>
    <mergeCell ref="C249:C252"/>
    <mergeCell ref="A220:A237"/>
    <mergeCell ref="O220:O232"/>
    <mergeCell ref="C222:C230"/>
    <mergeCell ref="M233:M237"/>
    <mergeCell ref="N233:N237"/>
    <mergeCell ref="O233:O237"/>
    <mergeCell ref="C234:C237"/>
    <mergeCell ref="O104:O108"/>
    <mergeCell ref="O80:O84"/>
    <mergeCell ref="O109:O116"/>
    <mergeCell ref="C111:C116"/>
    <mergeCell ref="M117:M121"/>
    <mergeCell ref="N117:N121"/>
    <mergeCell ref="C118:C121"/>
    <mergeCell ref="O97:O103"/>
    <mergeCell ref="A264:A281"/>
    <mergeCell ref="O264:O276"/>
    <mergeCell ref="C266:C274"/>
    <mergeCell ref="M277:M281"/>
    <mergeCell ref="N277:N281"/>
    <mergeCell ref="O277:O281"/>
    <mergeCell ref="C278:C281"/>
    <mergeCell ref="A253:A263"/>
    <mergeCell ref="O253:O258"/>
    <mergeCell ref="C255:C258"/>
    <mergeCell ref="M259:M263"/>
    <mergeCell ref="N259:N263"/>
    <mergeCell ref="O259:O263"/>
    <mergeCell ref="C260:C263"/>
    <mergeCell ref="A238:A252"/>
    <mergeCell ref="O238:O247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8" firstPageNumber="38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</oddHeader>
    <oddFooter>&amp;C&amp;8&amp;P</oddFooter>
  </headerFooter>
  <rowBreaks count="3" manualBreakCount="3">
    <brk id="72" max="14" man="1"/>
    <brk id="186" max="14" man="1"/>
    <brk id="25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DE533"/>
  <sheetViews>
    <sheetView showGridLines="0" view="pageBreakPreview" zoomScale="110" zoomScaleSheetLayoutView="110" workbookViewId="0">
      <pane ySplit="8" topLeftCell="A90" activePane="bottomLeft" state="frozen"/>
      <selection activeCell="A4" sqref="A1:XFD1048576"/>
      <selection pane="bottomLeft" activeCell="B69" sqref="B69"/>
    </sheetView>
  </sheetViews>
  <sheetFormatPr defaultColWidth="9.140625" defaultRowHeight="11.25"/>
  <cols>
    <col min="1" max="1" width="2.85546875" style="1384" customWidth="1"/>
    <col min="2" max="2" width="57.140625" style="1385" customWidth="1"/>
    <col min="3" max="3" width="10" style="1385" customWidth="1"/>
    <col min="4" max="4" width="13.85546875" style="1385" customWidth="1"/>
    <col min="5" max="5" width="12" style="1385" customWidth="1"/>
    <col min="6" max="6" width="10.42578125" style="1385" customWidth="1"/>
    <col min="7" max="7" width="10.140625" style="1385" customWidth="1"/>
    <col min="8" max="8" width="9.28515625" style="1385" customWidth="1"/>
    <col min="9" max="12" width="9.5703125" style="1385" customWidth="1"/>
    <col min="13" max="13" width="10.5703125" style="1385" hidden="1" customWidth="1"/>
    <col min="14" max="14" width="11.28515625" style="1385" customWidth="1"/>
    <col min="15" max="15" width="15.7109375" style="1517" customWidth="1"/>
    <col min="16" max="16384" width="9.140625" style="1385"/>
  </cols>
  <sheetData>
    <row r="1" spans="1:15" ht="18" customHeight="1">
      <c r="H1" s="1386" t="s">
        <v>120</v>
      </c>
      <c r="I1" s="1386"/>
      <c r="J1" s="1386"/>
      <c r="K1" s="1386"/>
      <c r="L1" s="1386"/>
      <c r="M1" s="1387"/>
      <c r="N1" s="1387"/>
      <c r="O1" s="1388"/>
    </row>
    <row r="2" spans="1:15" ht="7.5" customHeight="1">
      <c r="I2" s="1387"/>
      <c r="J2" s="1387"/>
      <c r="K2" s="1387"/>
      <c r="L2" s="1387"/>
      <c r="M2" s="1387"/>
      <c r="N2" s="1387"/>
      <c r="O2" s="1388"/>
    </row>
    <row r="3" spans="1:15" ht="14.25" hidden="1" customHeight="1">
      <c r="F3" s="1389"/>
      <c r="G3" s="1389"/>
      <c r="H3" s="1389"/>
      <c r="I3" s="1387"/>
      <c r="J3" s="1387"/>
      <c r="K3" s="1387"/>
      <c r="L3" s="1387"/>
      <c r="M3" s="1387"/>
      <c r="N3" s="1387"/>
      <c r="O3" s="1388"/>
    </row>
    <row r="4" spans="1:15" ht="9" customHeight="1">
      <c r="F4" s="1389"/>
      <c r="G4" s="1389"/>
      <c r="H4" s="1389"/>
      <c r="I4" s="1387"/>
      <c r="J4" s="1387"/>
      <c r="K4" s="1387"/>
      <c r="L4" s="1387"/>
      <c r="M4" s="1387"/>
      <c r="N4" s="1387"/>
      <c r="O4" s="1388"/>
    </row>
    <row r="5" spans="1:15" ht="38.25" customHeight="1" thickBot="1">
      <c r="A5" s="3672" t="s">
        <v>121</v>
      </c>
      <c r="B5" s="3672"/>
      <c r="C5" s="3672"/>
      <c r="D5" s="3672"/>
      <c r="E5" s="3672"/>
      <c r="F5" s="3672"/>
      <c r="G5" s="3672"/>
      <c r="H5" s="3672"/>
      <c r="I5" s="3672"/>
      <c r="J5" s="3672"/>
      <c r="K5" s="3672"/>
      <c r="L5" s="3672"/>
      <c r="M5" s="3672"/>
      <c r="N5" s="3672"/>
      <c r="O5" s="3672"/>
    </row>
    <row r="6" spans="1:15" s="2960" customFormat="1" ht="33.75" customHeight="1">
      <c r="A6" s="1390"/>
      <c r="B6" s="3673" t="s">
        <v>67</v>
      </c>
      <c r="C6" s="3676" t="s">
        <v>63</v>
      </c>
      <c r="D6" s="3679" t="s">
        <v>122</v>
      </c>
      <c r="E6" s="3688" t="s">
        <v>516</v>
      </c>
      <c r="F6" s="3691" t="s">
        <v>573</v>
      </c>
      <c r="G6" s="3694" t="s">
        <v>513</v>
      </c>
      <c r="H6" s="3695"/>
      <c r="I6" s="3695"/>
      <c r="J6" s="3695"/>
      <c r="K6" s="3695"/>
      <c r="L6" s="3696"/>
      <c r="M6" s="3685" t="s">
        <v>528</v>
      </c>
      <c r="N6" s="3685" t="s">
        <v>514</v>
      </c>
      <c r="O6" s="3682" t="s">
        <v>65</v>
      </c>
    </row>
    <row r="7" spans="1:15" s="2960" customFormat="1" ht="25.5" customHeight="1">
      <c r="A7" s="1391" t="s">
        <v>66</v>
      </c>
      <c r="B7" s="3674"/>
      <c r="C7" s="3677"/>
      <c r="D7" s="3680"/>
      <c r="E7" s="3689"/>
      <c r="F7" s="3692"/>
      <c r="G7" s="3697" t="s">
        <v>6</v>
      </c>
      <c r="H7" s="3697" t="s">
        <v>202</v>
      </c>
      <c r="I7" s="3697" t="s">
        <v>204</v>
      </c>
      <c r="J7" s="3697" t="s">
        <v>246</v>
      </c>
      <c r="K7" s="3697" t="s">
        <v>247</v>
      </c>
      <c r="L7" s="3697" t="s">
        <v>245</v>
      </c>
      <c r="M7" s="3686"/>
      <c r="N7" s="3686"/>
      <c r="O7" s="3683"/>
    </row>
    <row r="8" spans="1:15" s="2960" customFormat="1" ht="20.25" customHeight="1" thickBot="1">
      <c r="A8" s="1391"/>
      <c r="B8" s="3675"/>
      <c r="C8" s="3678"/>
      <c r="D8" s="3681"/>
      <c r="E8" s="3690"/>
      <c r="F8" s="3693"/>
      <c r="G8" s="3698"/>
      <c r="H8" s="3698"/>
      <c r="I8" s="3698"/>
      <c r="J8" s="3698"/>
      <c r="K8" s="3698"/>
      <c r="L8" s="3698"/>
      <c r="M8" s="3687"/>
      <c r="N8" s="3687"/>
      <c r="O8" s="3684"/>
    </row>
    <row r="9" spans="1:15" s="2960" customFormat="1" ht="12.75" customHeight="1">
      <c r="A9" s="1536">
        <v>1</v>
      </c>
      <c r="B9" s="1537">
        <v>2</v>
      </c>
      <c r="C9" s="1538" t="s">
        <v>110</v>
      </c>
      <c r="D9" s="1538" t="s">
        <v>111</v>
      </c>
      <c r="E9" s="1538">
        <v>5</v>
      </c>
      <c r="F9" s="1538">
        <v>6</v>
      </c>
      <c r="G9" s="1538">
        <v>7</v>
      </c>
      <c r="H9" s="1538">
        <v>8</v>
      </c>
      <c r="I9" s="1538">
        <v>9</v>
      </c>
      <c r="J9" s="1538">
        <v>10</v>
      </c>
      <c r="K9" s="1538">
        <v>11</v>
      </c>
      <c r="L9" s="1538">
        <v>12</v>
      </c>
      <c r="M9" s="1540">
        <v>13</v>
      </c>
      <c r="N9" s="1540">
        <v>13</v>
      </c>
      <c r="O9" s="1539">
        <v>14</v>
      </c>
    </row>
    <row r="10" spans="1:15" s="2960" customFormat="1" ht="17.25" customHeight="1">
      <c r="A10" s="1392"/>
      <c r="B10" s="1393" t="s">
        <v>68</v>
      </c>
      <c r="C10" s="1394"/>
      <c r="D10" s="215">
        <f>+D11+D12</f>
        <v>1658272</v>
      </c>
      <c r="E10" s="215">
        <f t="shared" ref="E10" si="0">+E11+E12</f>
        <v>594690</v>
      </c>
      <c r="F10" s="215">
        <f t="shared" ref="F10:G10" si="1">+F11+F12</f>
        <v>164817</v>
      </c>
      <c r="G10" s="215">
        <f t="shared" si="1"/>
        <v>453309</v>
      </c>
      <c r="H10" s="215">
        <f t="shared" ref="H10:L10" si="2">+H11+H12</f>
        <v>246376</v>
      </c>
      <c r="I10" s="215">
        <f t="shared" si="2"/>
        <v>199080</v>
      </c>
      <c r="J10" s="215">
        <f t="shared" si="2"/>
        <v>0</v>
      </c>
      <c r="K10" s="215">
        <f t="shared" si="2"/>
        <v>0</v>
      </c>
      <c r="L10" s="215">
        <f t="shared" si="2"/>
        <v>0</v>
      </c>
      <c r="M10" s="145">
        <f>+M11+M12</f>
        <v>1063582</v>
      </c>
      <c r="N10" s="145">
        <f>+N11+N12</f>
        <v>898765</v>
      </c>
      <c r="O10" s="1396"/>
    </row>
    <row r="11" spans="1:15" s="2960" customFormat="1" ht="13.5" customHeight="1">
      <c r="A11" s="1392"/>
      <c r="B11" s="1397" t="s">
        <v>69</v>
      </c>
      <c r="C11" s="1398"/>
      <c r="D11" s="207">
        <f t="shared" ref="D11:L11" si="3">+D27+D38+D49+D56+D63+D70+D77</f>
        <v>1658272</v>
      </c>
      <c r="E11" s="207">
        <f>+E27+E38+E49+E56+E63+E70+E77</f>
        <v>594690</v>
      </c>
      <c r="F11" s="207">
        <f t="shared" si="3"/>
        <v>164817</v>
      </c>
      <c r="G11" s="207">
        <f t="shared" si="3"/>
        <v>453309</v>
      </c>
      <c r="H11" s="207">
        <f t="shared" si="3"/>
        <v>246376</v>
      </c>
      <c r="I11" s="207">
        <f t="shared" si="3"/>
        <v>199080</v>
      </c>
      <c r="J11" s="207">
        <f t="shared" si="3"/>
        <v>0</v>
      </c>
      <c r="K11" s="207">
        <f t="shared" si="3"/>
        <v>0</v>
      </c>
      <c r="L11" s="207">
        <f t="shared" si="3"/>
        <v>0</v>
      </c>
      <c r="M11" s="18">
        <f>SUM(F11:K11)</f>
        <v>1063582</v>
      </c>
      <c r="N11" s="18">
        <f>SUM(G11:L11)</f>
        <v>898765</v>
      </c>
      <c r="O11" s="1396"/>
    </row>
    <row r="12" spans="1:15" s="2960" customFormat="1" ht="13.5" customHeight="1" thickBot="1">
      <c r="A12" s="1392"/>
      <c r="B12" s="1400" t="s">
        <v>9</v>
      </c>
      <c r="C12" s="1398"/>
      <c r="D12" s="207">
        <v>0</v>
      </c>
      <c r="E12" s="207">
        <v>0</v>
      </c>
      <c r="F12" s="207">
        <v>0</v>
      </c>
      <c r="G12" s="207">
        <v>0</v>
      </c>
      <c r="H12" s="207">
        <v>0</v>
      </c>
      <c r="I12" s="207">
        <v>0</v>
      </c>
      <c r="J12" s="207">
        <v>0</v>
      </c>
      <c r="K12" s="207">
        <v>0</v>
      </c>
      <c r="L12" s="207">
        <v>0</v>
      </c>
      <c r="M12" s="18">
        <f>SUM(E12:K12)</f>
        <v>0</v>
      </c>
      <c r="N12" s="18">
        <f>SUM(F12:L12)</f>
        <v>0</v>
      </c>
      <c r="O12" s="1396"/>
    </row>
    <row r="13" spans="1:15" ht="14.25" customHeight="1">
      <c r="A13" s="1401"/>
      <c r="B13" s="1402" t="s">
        <v>10</v>
      </c>
      <c r="C13" s="1403"/>
      <c r="D13" s="151">
        <f>+D14+D17</f>
        <v>1658272</v>
      </c>
      <c r="E13" s="151">
        <f t="shared" ref="E13" si="4">+E14+E17</f>
        <v>594690</v>
      </c>
      <c r="F13" s="151">
        <f t="shared" ref="F13" si="5">+F14+F17</f>
        <v>164817</v>
      </c>
      <c r="G13" s="151">
        <f t="shared" ref="G13:N13" si="6">+G14+G17</f>
        <v>453309</v>
      </c>
      <c r="H13" s="151">
        <f t="shared" si="6"/>
        <v>246376</v>
      </c>
      <c r="I13" s="151">
        <f t="shared" si="6"/>
        <v>199080</v>
      </c>
      <c r="J13" s="151">
        <f t="shared" si="6"/>
        <v>0</v>
      </c>
      <c r="K13" s="151">
        <f t="shared" si="6"/>
        <v>0</v>
      </c>
      <c r="L13" s="151">
        <f t="shared" si="6"/>
        <v>0</v>
      </c>
      <c r="M13" s="185">
        <f t="shared" ref="M13" si="7">+M14+M17</f>
        <v>813582</v>
      </c>
      <c r="N13" s="185">
        <f t="shared" si="6"/>
        <v>898765</v>
      </c>
      <c r="O13" s="1396"/>
    </row>
    <row r="14" spans="1:15" ht="14.25" customHeight="1">
      <c r="A14" s="1392"/>
      <c r="B14" s="1404" t="s">
        <v>11</v>
      </c>
      <c r="C14" s="1405"/>
      <c r="D14" s="1520">
        <f>SUM(D15:D16)</f>
        <v>679652</v>
      </c>
      <c r="E14" s="1520">
        <f>SUM(E15:E16)</f>
        <v>274500</v>
      </c>
      <c r="F14" s="1520">
        <f>SUM(F15:F16)</f>
        <v>67232</v>
      </c>
      <c r="G14" s="1520">
        <f>SUM(G15:G16)</f>
        <v>134846</v>
      </c>
      <c r="H14" s="1520">
        <f t="shared" ref="H14:L14" si="8">SUM(H15:H16)</f>
        <v>103534</v>
      </c>
      <c r="I14" s="1520">
        <f t="shared" si="8"/>
        <v>99540</v>
      </c>
      <c r="J14" s="1520">
        <f t="shared" si="8"/>
        <v>0</v>
      </c>
      <c r="K14" s="1520">
        <f t="shared" si="8"/>
        <v>0</v>
      </c>
      <c r="L14" s="1520">
        <f t="shared" si="8"/>
        <v>0</v>
      </c>
      <c r="M14" s="1521">
        <f>+M15</f>
        <v>365852</v>
      </c>
      <c r="N14" s="1256">
        <f>SUM(N15:N16)</f>
        <v>337920</v>
      </c>
      <c r="O14" s="1406"/>
    </row>
    <row r="15" spans="1:15" ht="12">
      <c r="A15" s="1407"/>
      <c r="B15" s="1408" t="s">
        <v>12</v>
      </c>
      <c r="C15" s="1409"/>
      <c r="D15" s="1522">
        <f>+D29+D40</f>
        <v>640352</v>
      </c>
      <c r="E15" s="1522">
        <f t="shared" ref="E15" si="9">+E29+E40</f>
        <v>274500</v>
      </c>
      <c r="F15" s="1522">
        <f t="shared" ref="F15" si="10">+F29+F40</f>
        <v>67232</v>
      </c>
      <c r="G15" s="1522">
        <f>+G29+G40</f>
        <v>99540</v>
      </c>
      <c r="H15" s="1522">
        <f t="shared" ref="H15:L15" si="11">+H29+H40</f>
        <v>99540</v>
      </c>
      <c r="I15" s="1522">
        <f t="shared" si="11"/>
        <v>99540</v>
      </c>
      <c r="J15" s="1522">
        <f t="shared" si="11"/>
        <v>0</v>
      </c>
      <c r="K15" s="1522">
        <f t="shared" si="11"/>
        <v>0</v>
      </c>
      <c r="L15" s="1522">
        <f t="shared" si="11"/>
        <v>0</v>
      </c>
      <c r="M15" s="1365">
        <f>+H15+G15+F15+I15+J15+K15</f>
        <v>365852</v>
      </c>
      <c r="N15" s="1365">
        <f>+I15+H15+G15+J15+K15+L15</f>
        <v>298620</v>
      </c>
      <c r="O15" s="1396"/>
    </row>
    <row r="16" spans="1:15" ht="12">
      <c r="A16" s="1407"/>
      <c r="B16" s="304" t="s">
        <v>13</v>
      </c>
      <c r="C16" s="2098"/>
      <c r="D16" s="306">
        <f>+D79</f>
        <v>39300</v>
      </c>
      <c r="E16" s="306">
        <f t="shared" ref="E16:L16" si="12">+E79</f>
        <v>0</v>
      </c>
      <c r="F16" s="306">
        <f t="shared" si="12"/>
        <v>0</v>
      </c>
      <c r="G16" s="306">
        <f t="shared" si="12"/>
        <v>35306</v>
      </c>
      <c r="H16" s="306">
        <f t="shared" si="12"/>
        <v>3994</v>
      </c>
      <c r="I16" s="306">
        <f t="shared" si="12"/>
        <v>0</v>
      </c>
      <c r="J16" s="306">
        <f t="shared" si="12"/>
        <v>0</v>
      </c>
      <c r="K16" s="306">
        <f t="shared" si="12"/>
        <v>0</v>
      </c>
      <c r="L16" s="306">
        <f t="shared" si="12"/>
        <v>0</v>
      </c>
      <c r="M16" s="2097"/>
      <c r="N16" s="1365">
        <f>+I16+H16+G16+J16+K16+L16</f>
        <v>39300</v>
      </c>
      <c r="O16" s="1396"/>
    </row>
    <row r="17" spans="1:16" ht="14.25" customHeight="1">
      <c r="A17" s="1392"/>
      <c r="B17" s="1410" t="s">
        <v>18</v>
      </c>
      <c r="C17" s="1411"/>
      <c r="D17" s="159">
        <f t="shared" ref="D17:L17" si="13">SUM(D18:D19)</f>
        <v>978620</v>
      </c>
      <c r="E17" s="159">
        <f t="shared" si="13"/>
        <v>320190</v>
      </c>
      <c r="F17" s="159">
        <f t="shared" si="13"/>
        <v>97585</v>
      </c>
      <c r="G17" s="159">
        <f t="shared" si="13"/>
        <v>318463</v>
      </c>
      <c r="H17" s="159">
        <f t="shared" si="13"/>
        <v>142842</v>
      </c>
      <c r="I17" s="159">
        <f t="shared" si="13"/>
        <v>99540</v>
      </c>
      <c r="J17" s="159">
        <f t="shared" si="13"/>
        <v>0</v>
      </c>
      <c r="K17" s="159">
        <f t="shared" si="13"/>
        <v>0</v>
      </c>
      <c r="L17" s="159">
        <f t="shared" si="13"/>
        <v>0</v>
      </c>
      <c r="M17" s="1521">
        <f t="shared" ref="M17" si="14">SUM(M19)</f>
        <v>447730</v>
      </c>
      <c r="N17" s="1256">
        <f>SUM(N18:N19)</f>
        <v>560845</v>
      </c>
      <c r="O17" s="1406"/>
    </row>
    <row r="18" spans="1:16" ht="12">
      <c r="A18" s="1392"/>
      <c r="B18" s="308" t="s">
        <v>20</v>
      </c>
      <c r="C18" s="2099"/>
      <c r="D18" s="2102">
        <f t="shared" ref="D18:L18" si="15">+D81</f>
        <v>210700</v>
      </c>
      <c r="E18" s="2102">
        <f t="shared" si="15"/>
        <v>0</v>
      </c>
      <c r="F18" s="2102">
        <f t="shared" si="15"/>
        <v>0</v>
      </c>
      <c r="G18" s="2102">
        <f t="shared" si="15"/>
        <v>189284</v>
      </c>
      <c r="H18" s="2102">
        <f t="shared" si="15"/>
        <v>21416</v>
      </c>
      <c r="I18" s="2102">
        <f t="shared" si="15"/>
        <v>0</v>
      </c>
      <c r="J18" s="2102">
        <f t="shared" si="15"/>
        <v>0</v>
      </c>
      <c r="K18" s="2102">
        <f t="shared" si="15"/>
        <v>0</v>
      </c>
      <c r="L18" s="2102">
        <f t="shared" si="15"/>
        <v>0</v>
      </c>
      <c r="M18" s="2101"/>
      <c r="N18" s="1365">
        <f>+I18+H18+G18+J18+K18+L18</f>
        <v>210700</v>
      </c>
      <c r="O18" s="1406"/>
    </row>
    <row r="19" spans="1:16" ht="12" customHeight="1">
      <c r="A19" s="1412"/>
      <c r="B19" s="1413" t="s">
        <v>19</v>
      </c>
      <c r="C19" s="1414"/>
      <c r="D19" s="1522">
        <f>+D31+D42+D51+D58+D65+D72</f>
        <v>767920</v>
      </c>
      <c r="E19" s="1522">
        <f t="shared" ref="E19" si="16">+E31+E42+E51+E58+E65+E72</f>
        <v>320190</v>
      </c>
      <c r="F19" s="1522">
        <f t="shared" ref="F19:L19" si="17">+F31+F42+F51+F58+F65+F72</f>
        <v>97585</v>
      </c>
      <c r="G19" s="1522">
        <f t="shared" si="17"/>
        <v>129179</v>
      </c>
      <c r="H19" s="1522">
        <f t="shared" si="17"/>
        <v>121426</v>
      </c>
      <c r="I19" s="1522">
        <f t="shared" si="17"/>
        <v>99540</v>
      </c>
      <c r="J19" s="1522">
        <f t="shared" si="17"/>
        <v>0</v>
      </c>
      <c r="K19" s="1522">
        <f t="shared" si="17"/>
        <v>0</v>
      </c>
      <c r="L19" s="1522">
        <f t="shared" si="17"/>
        <v>0</v>
      </c>
      <c r="M19" s="1365">
        <f>+H19+G19+F19+I19+J19+K19</f>
        <v>447730</v>
      </c>
      <c r="N19" s="1365">
        <f>+I19+H19+G19+J19+K19+L19</f>
        <v>350145</v>
      </c>
      <c r="O19" s="1415"/>
    </row>
    <row r="20" spans="1:16" s="1419" customFormat="1" ht="14.25" customHeight="1">
      <c r="A20" s="1392"/>
      <c r="B20" s="1416" t="s">
        <v>21</v>
      </c>
      <c r="C20" s="1417"/>
      <c r="D20" s="359">
        <f>+D21+D23</f>
        <v>1017920</v>
      </c>
      <c r="E20" s="359">
        <f t="shared" ref="E20:L20" si="18">+E21+E23</f>
        <v>292115</v>
      </c>
      <c r="F20" s="359">
        <f t="shared" si="18"/>
        <v>107202</v>
      </c>
      <c r="G20" s="359">
        <f t="shared" si="18"/>
        <v>342369</v>
      </c>
      <c r="H20" s="359">
        <f t="shared" si="18"/>
        <v>146832</v>
      </c>
      <c r="I20" s="359">
        <f t="shared" si="18"/>
        <v>99540</v>
      </c>
      <c r="J20" s="359">
        <f t="shared" si="18"/>
        <v>29862</v>
      </c>
      <c r="K20" s="359">
        <f t="shared" si="18"/>
        <v>0</v>
      </c>
      <c r="L20" s="359">
        <f t="shared" si="18"/>
        <v>0</v>
      </c>
      <c r="M20" s="3661" t="s">
        <v>53</v>
      </c>
      <c r="N20" s="3661" t="s">
        <v>53</v>
      </c>
      <c r="O20" s="1418"/>
    </row>
    <row r="21" spans="1:16" s="1419" customFormat="1" ht="14.25" customHeight="1">
      <c r="A21" s="1392"/>
      <c r="B21" s="152" t="s">
        <v>11</v>
      </c>
      <c r="C21" s="1411"/>
      <c r="D21" s="2100">
        <f>+D22</f>
        <v>39300</v>
      </c>
      <c r="E21" s="2106">
        <f t="shared" ref="E21:L21" si="19">+E22</f>
        <v>0</v>
      </c>
      <c r="F21" s="2106">
        <f t="shared" si="19"/>
        <v>0</v>
      </c>
      <c r="G21" s="2106">
        <f t="shared" si="19"/>
        <v>35306</v>
      </c>
      <c r="H21" s="2106">
        <f t="shared" si="19"/>
        <v>3994</v>
      </c>
      <c r="I21" s="2106">
        <f t="shared" si="19"/>
        <v>0</v>
      </c>
      <c r="J21" s="2106">
        <f t="shared" si="19"/>
        <v>0</v>
      </c>
      <c r="K21" s="2106">
        <f t="shared" si="19"/>
        <v>0</v>
      </c>
      <c r="L21" s="2106">
        <f t="shared" si="19"/>
        <v>0</v>
      </c>
      <c r="M21" s="3662"/>
      <c r="N21" s="3662"/>
      <c r="O21" s="1418"/>
    </row>
    <row r="22" spans="1:16" s="1419" customFormat="1" ht="12">
      <c r="A22" s="1392"/>
      <c r="B22" s="304" t="s">
        <v>13</v>
      </c>
      <c r="C22" s="2099"/>
      <c r="D22" s="2107">
        <f>+D84</f>
        <v>39300</v>
      </c>
      <c r="E22" s="2108">
        <f t="shared" ref="E22:L22" si="20">+E84</f>
        <v>0</v>
      </c>
      <c r="F22" s="2108">
        <f t="shared" si="20"/>
        <v>0</v>
      </c>
      <c r="G22" s="2108">
        <f t="shared" si="20"/>
        <v>35306</v>
      </c>
      <c r="H22" s="2108">
        <f t="shared" si="20"/>
        <v>3994</v>
      </c>
      <c r="I22" s="2108">
        <f t="shared" si="20"/>
        <v>0</v>
      </c>
      <c r="J22" s="2108">
        <f t="shared" si="20"/>
        <v>0</v>
      </c>
      <c r="K22" s="2108">
        <f t="shared" si="20"/>
        <v>0</v>
      </c>
      <c r="L22" s="2108">
        <f t="shared" si="20"/>
        <v>0</v>
      </c>
      <c r="M22" s="3662"/>
      <c r="N22" s="3662"/>
      <c r="O22" s="1418"/>
    </row>
    <row r="23" spans="1:16" s="1419" customFormat="1" ht="14.25" customHeight="1">
      <c r="A23" s="1392"/>
      <c r="B23" s="1410" t="s">
        <v>18</v>
      </c>
      <c r="C23" s="1411"/>
      <c r="D23" s="2100">
        <f t="shared" ref="D23:J23" si="21">SUM(D24:D25)</f>
        <v>978620</v>
      </c>
      <c r="E23" s="2106">
        <f t="shared" si="21"/>
        <v>292115</v>
      </c>
      <c r="F23" s="2106">
        <f t="shared" si="21"/>
        <v>107202</v>
      </c>
      <c r="G23" s="2106">
        <f t="shared" si="21"/>
        <v>307063</v>
      </c>
      <c r="H23" s="2106">
        <f t="shared" si="21"/>
        <v>142838</v>
      </c>
      <c r="I23" s="2106">
        <f t="shared" si="21"/>
        <v>99540</v>
      </c>
      <c r="J23" s="2106">
        <f t="shared" si="21"/>
        <v>29862</v>
      </c>
      <c r="K23" s="2100">
        <f t="shared" ref="K23:L23" si="22">+K25</f>
        <v>0</v>
      </c>
      <c r="L23" s="2100">
        <f t="shared" si="22"/>
        <v>0</v>
      </c>
      <c r="M23" s="3662"/>
      <c r="N23" s="3662"/>
      <c r="O23" s="1406"/>
    </row>
    <row r="24" spans="1:16" s="1419" customFormat="1" ht="12">
      <c r="A24" s="1392"/>
      <c r="B24" s="308" t="s">
        <v>20</v>
      </c>
      <c r="C24" s="2099"/>
      <c r="D24" s="2107">
        <f t="shared" ref="D24:L24" si="23">+D85</f>
        <v>210700</v>
      </c>
      <c r="E24" s="2108">
        <f t="shared" si="23"/>
        <v>0</v>
      </c>
      <c r="F24" s="2108">
        <f t="shared" si="23"/>
        <v>0</v>
      </c>
      <c r="G24" s="2108">
        <f t="shared" si="23"/>
        <v>189284</v>
      </c>
      <c r="H24" s="2108">
        <f t="shared" si="23"/>
        <v>21416</v>
      </c>
      <c r="I24" s="2108">
        <f t="shared" si="23"/>
        <v>0</v>
      </c>
      <c r="J24" s="2108">
        <f t="shared" si="23"/>
        <v>0</v>
      </c>
      <c r="K24" s="2108">
        <f t="shared" si="23"/>
        <v>0</v>
      </c>
      <c r="L24" s="2108">
        <f t="shared" si="23"/>
        <v>0</v>
      </c>
      <c r="M24" s="3662"/>
      <c r="N24" s="3662"/>
      <c r="O24" s="1406"/>
    </row>
    <row r="25" spans="1:16" s="2105" customFormat="1" ht="12.75" customHeight="1" thickBot="1">
      <c r="A25" s="2103"/>
      <c r="B25" s="308" t="s">
        <v>19</v>
      </c>
      <c r="C25" s="2099"/>
      <c r="D25" s="2109">
        <f>+D36+D47+D54+D61+D68+D75</f>
        <v>767920</v>
      </c>
      <c r="E25" s="2110">
        <f t="shared" ref="E25" si="24">+E36+E47+E54+E61+E68+E75</f>
        <v>292115</v>
      </c>
      <c r="F25" s="2110">
        <f t="shared" ref="F25:L25" si="25">+F36+F47+F54+F61+F68+F75</f>
        <v>107202</v>
      </c>
      <c r="G25" s="2109">
        <f t="shared" si="25"/>
        <v>117779</v>
      </c>
      <c r="H25" s="2109">
        <f t="shared" si="25"/>
        <v>121422</v>
      </c>
      <c r="I25" s="2109">
        <f t="shared" si="25"/>
        <v>99540</v>
      </c>
      <c r="J25" s="2109">
        <f t="shared" si="25"/>
        <v>29862</v>
      </c>
      <c r="K25" s="2109">
        <f t="shared" si="25"/>
        <v>0</v>
      </c>
      <c r="L25" s="2109">
        <f t="shared" si="25"/>
        <v>0</v>
      </c>
      <c r="M25" s="3663"/>
      <c r="N25" s="3663"/>
      <c r="O25" s="2104"/>
      <c r="P25" s="2105">
        <f>D25-D19</f>
        <v>0</v>
      </c>
    </row>
    <row r="26" spans="1:16" ht="39" hidden="1" customHeight="1">
      <c r="A26" s="3645" t="s">
        <v>55</v>
      </c>
      <c r="B26" s="1420" t="s">
        <v>228</v>
      </c>
      <c r="C26" s="1421" t="s">
        <v>101</v>
      </c>
      <c r="D26" s="1523"/>
      <c r="E26" s="1524"/>
      <c r="F26" s="1524"/>
      <c r="G26" s="1524"/>
      <c r="H26" s="1524"/>
      <c r="I26" s="1524"/>
      <c r="J26" s="1524"/>
      <c r="K26" s="1524"/>
      <c r="L26" s="1524"/>
      <c r="M26" s="1525"/>
      <c r="N26" s="1525"/>
      <c r="O26" s="3665"/>
    </row>
    <row r="27" spans="1:16" ht="15" hidden="1" customHeight="1">
      <c r="A27" s="3646"/>
      <c r="B27" s="1423" t="s">
        <v>10</v>
      </c>
      <c r="C27" s="1424"/>
      <c r="D27" s="1247"/>
      <c r="E27" s="1247">
        <f t="shared" ref="E27" si="26">+E28+E30</f>
        <v>0</v>
      </c>
      <c r="F27" s="1247">
        <f>+F28+F30</f>
        <v>0</v>
      </c>
      <c r="G27" s="1247">
        <f>+G28+G30</f>
        <v>0</v>
      </c>
      <c r="H27" s="1247">
        <f>+H28+H30</f>
        <v>0</v>
      </c>
      <c r="I27" s="1247">
        <f>+I28+I30</f>
        <v>0</v>
      </c>
      <c r="J27" s="1247"/>
      <c r="K27" s="1247"/>
      <c r="L27" s="1247"/>
      <c r="M27" s="1377">
        <f>M28+M30</f>
        <v>0</v>
      </c>
      <c r="N27" s="1377" t="e">
        <f>N28+N30</f>
        <v>#REF!</v>
      </c>
      <c r="O27" s="3666"/>
    </row>
    <row r="28" spans="1:16" ht="12.75" hidden="1" customHeight="1">
      <c r="A28" s="3646"/>
      <c r="B28" s="1425" t="s">
        <v>23</v>
      </c>
      <c r="C28" s="3712" t="s">
        <v>124</v>
      </c>
      <c r="D28" s="1237"/>
      <c r="E28" s="1237">
        <f t="shared" ref="E28:I28" si="27">+E29</f>
        <v>0</v>
      </c>
      <c r="F28" s="1237">
        <f t="shared" si="27"/>
        <v>0</v>
      </c>
      <c r="G28" s="1237">
        <f t="shared" si="27"/>
        <v>0</v>
      </c>
      <c r="H28" s="1237">
        <f t="shared" si="27"/>
        <v>0</v>
      </c>
      <c r="I28" s="1237">
        <f t="shared" si="27"/>
        <v>0</v>
      </c>
      <c r="J28" s="1237"/>
      <c r="K28" s="1237"/>
      <c r="L28" s="1237"/>
      <c r="M28" s="1238">
        <f>+M29</f>
        <v>0</v>
      </c>
      <c r="N28" s="1238" t="e">
        <f>+N29</f>
        <v>#REF!</v>
      </c>
      <c r="O28" s="3666"/>
    </row>
    <row r="29" spans="1:16" ht="12.75" hidden="1" customHeight="1">
      <c r="A29" s="3646"/>
      <c r="B29" s="1426" t="s">
        <v>12</v>
      </c>
      <c r="C29" s="3705"/>
      <c r="D29" s="1240"/>
      <c r="E29" s="1240">
        <v>0</v>
      </c>
      <c r="F29" s="168">
        <v>0</v>
      </c>
      <c r="G29" s="168">
        <v>0</v>
      </c>
      <c r="H29" s="168">
        <v>0</v>
      </c>
      <c r="I29" s="168">
        <v>0</v>
      </c>
      <c r="J29" s="168"/>
      <c r="K29" s="168"/>
      <c r="L29" s="168"/>
      <c r="M29" s="1526">
        <f>SUM(F29:K29)</f>
        <v>0</v>
      </c>
      <c r="N29" s="1526" t="e">
        <f>+#REF!+I29+H29+G29+F29+#REF!</f>
        <v>#REF!</v>
      </c>
      <c r="O29" s="3666"/>
    </row>
    <row r="30" spans="1:16" ht="12.75" hidden="1" customHeight="1">
      <c r="A30" s="3646"/>
      <c r="B30" s="1428" t="s">
        <v>18</v>
      </c>
      <c r="C30" s="3705"/>
      <c r="D30" s="1242"/>
      <c r="E30" s="1242">
        <f t="shared" ref="E30:I30" si="28">E31</f>
        <v>0</v>
      </c>
      <c r="F30" s="1242">
        <f t="shared" si="28"/>
        <v>0</v>
      </c>
      <c r="G30" s="1242">
        <f t="shared" si="28"/>
        <v>0</v>
      </c>
      <c r="H30" s="1242">
        <f t="shared" si="28"/>
        <v>0</v>
      </c>
      <c r="I30" s="1242">
        <f t="shared" si="28"/>
        <v>0</v>
      </c>
      <c r="J30" s="1242"/>
      <c r="K30" s="1242"/>
      <c r="L30" s="1242"/>
      <c r="M30" s="1238">
        <f>+M31</f>
        <v>0</v>
      </c>
      <c r="N30" s="1238" t="e">
        <f>+N31</f>
        <v>#REF!</v>
      </c>
      <c r="O30" s="3666"/>
    </row>
    <row r="31" spans="1:16" ht="12" hidden="1">
      <c r="A31" s="3646"/>
      <c r="B31" s="1429" t="s">
        <v>19</v>
      </c>
      <c r="C31" s="3670"/>
      <c r="D31" s="1527"/>
      <c r="E31" s="1528">
        <v>0</v>
      </c>
      <c r="F31" s="130">
        <v>0</v>
      </c>
      <c r="G31" s="130">
        <v>0</v>
      </c>
      <c r="H31" s="130">
        <v>0</v>
      </c>
      <c r="I31" s="130">
        <v>0</v>
      </c>
      <c r="J31" s="130"/>
      <c r="K31" s="130"/>
      <c r="L31" s="130"/>
      <c r="M31" s="1526">
        <f>SUM(F31:K31)</f>
        <v>0</v>
      </c>
      <c r="N31" s="1526" t="e">
        <f>+#REF!+I31+H31+G31+F31+#REF!</f>
        <v>#REF!</v>
      </c>
      <c r="O31" s="3666"/>
    </row>
    <row r="32" spans="1:16" ht="12.75" hidden="1" customHeight="1">
      <c r="A32" s="3711"/>
      <c r="B32" s="1423" t="s">
        <v>21</v>
      </c>
      <c r="C32" s="1430"/>
      <c r="D32" s="1247"/>
      <c r="E32" s="1247">
        <f t="shared" ref="E32" si="29">E33+E35</f>
        <v>0</v>
      </c>
      <c r="F32" s="1247">
        <f>F33+F35</f>
        <v>0</v>
      </c>
      <c r="G32" s="1281">
        <f>G33+G35</f>
        <v>0</v>
      </c>
      <c r="H32" s="1281">
        <f>H33+H35</f>
        <v>0</v>
      </c>
      <c r="I32" s="1281">
        <f>I33+I35</f>
        <v>0</v>
      </c>
      <c r="J32" s="1529"/>
      <c r="K32" s="1529"/>
      <c r="L32" s="1529"/>
      <c r="M32" s="3664" t="s">
        <v>53</v>
      </c>
      <c r="N32" s="3664" t="s">
        <v>53</v>
      </c>
      <c r="O32" s="3666"/>
    </row>
    <row r="33" spans="1:15" ht="12" hidden="1" customHeight="1">
      <c r="A33" s="3711"/>
      <c r="B33" s="1431" t="s">
        <v>23</v>
      </c>
      <c r="C33" s="3712" t="s">
        <v>124</v>
      </c>
      <c r="D33" s="1237"/>
      <c r="E33" s="1237"/>
      <c r="F33" s="1237">
        <f t="shared" ref="F33:I33" si="30">F34</f>
        <v>0</v>
      </c>
      <c r="G33" s="1282">
        <f t="shared" si="30"/>
        <v>0</v>
      </c>
      <c r="H33" s="1282">
        <f t="shared" si="30"/>
        <v>0</v>
      </c>
      <c r="I33" s="1282">
        <f t="shared" si="30"/>
        <v>0</v>
      </c>
      <c r="J33" s="1530"/>
      <c r="K33" s="1530"/>
      <c r="L33" s="1530"/>
      <c r="M33" s="3654"/>
      <c r="N33" s="3654"/>
      <c r="O33" s="3666"/>
    </row>
    <row r="34" spans="1:15" ht="12" hidden="1" customHeight="1">
      <c r="A34" s="3711"/>
      <c r="B34" s="1432" t="s">
        <v>13</v>
      </c>
      <c r="C34" s="3705"/>
      <c r="D34" s="1240"/>
      <c r="E34" s="1249"/>
      <c r="F34" s="1249">
        <v>0</v>
      </c>
      <c r="G34" s="1249">
        <v>0</v>
      </c>
      <c r="H34" s="1249">
        <v>0</v>
      </c>
      <c r="I34" s="1249">
        <v>0</v>
      </c>
      <c r="J34" s="221"/>
      <c r="K34" s="221"/>
      <c r="L34" s="221"/>
      <c r="M34" s="3654"/>
      <c r="N34" s="3654"/>
      <c r="O34" s="3666"/>
    </row>
    <row r="35" spans="1:15" ht="13.5" hidden="1" customHeight="1">
      <c r="A35" s="3711"/>
      <c r="B35" s="1434" t="s">
        <v>18</v>
      </c>
      <c r="C35" s="3705"/>
      <c r="D35" s="1242"/>
      <c r="E35" s="1242">
        <f t="shared" ref="E35:I35" si="31">E36</f>
        <v>0</v>
      </c>
      <c r="F35" s="1242">
        <f t="shared" si="31"/>
        <v>0</v>
      </c>
      <c r="G35" s="1266">
        <f t="shared" si="31"/>
        <v>0</v>
      </c>
      <c r="H35" s="1266">
        <f t="shared" si="31"/>
        <v>0</v>
      </c>
      <c r="I35" s="1266">
        <f t="shared" si="31"/>
        <v>0</v>
      </c>
      <c r="J35" s="539"/>
      <c r="K35" s="539"/>
      <c r="L35" s="539"/>
      <c r="M35" s="3654"/>
      <c r="N35" s="3654"/>
      <c r="O35" s="3666"/>
    </row>
    <row r="36" spans="1:15" ht="13.5" hidden="1" customHeight="1" thickBot="1">
      <c r="A36" s="3647"/>
      <c r="B36" s="1435" t="s">
        <v>19</v>
      </c>
      <c r="C36" s="3671"/>
      <c r="D36" s="1531"/>
      <c r="E36" s="1532">
        <v>0</v>
      </c>
      <c r="F36" s="1532">
        <v>0</v>
      </c>
      <c r="G36" s="1532">
        <v>0</v>
      </c>
      <c r="H36" s="1532">
        <v>0</v>
      </c>
      <c r="I36" s="1532">
        <v>0</v>
      </c>
      <c r="J36" s="109"/>
      <c r="K36" s="109"/>
      <c r="L36" s="109"/>
      <c r="M36" s="3655"/>
      <c r="N36" s="3655"/>
      <c r="O36" s="3667"/>
    </row>
    <row r="37" spans="1:15" ht="24.75" customHeight="1">
      <c r="A37" s="3645" t="s">
        <v>55</v>
      </c>
      <c r="B37" s="1420" t="s">
        <v>640</v>
      </c>
      <c r="C37" s="1421" t="s">
        <v>101</v>
      </c>
      <c r="D37" s="181"/>
      <c r="E37" s="352"/>
      <c r="F37" s="352"/>
      <c r="G37" s="352"/>
      <c r="H37" s="352"/>
      <c r="I37" s="352"/>
      <c r="J37" s="352"/>
      <c r="K37" s="352"/>
      <c r="L37" s="2286"/>
      <c r="M37" s="1525"/>
      <c r="N37" s="1525"/>
      <c r="O37" s="3665" t="s">
        <v>123</v>
      </c>
    </row>
    <row r="38" spans="1:15" ht="13.5" customHeight="1">
      <c r="A38" s="3646"/>
      <c r="B38" s="1423" t="s">
        <v>10</v>
      </c>
      <c r="C38" s="1424"/>
      <c r="D38" s="1247">
        <f>+D39+D41</f>
        <v>1335657</v>
      </c>
      <c r="E38" s="1247">
        <f t="shared" ref="E38" si="32">+E39+E41</f>
        <v>593887</v>
      </c>
      <c r="F38" s="1247">
        <f t="shared" ref="F38" si="33">+F39+F41</f>
        <v>144526</v>
      </c>
      <c r="G38" s="1247">
        <f t="shared" ref="G38:L38" si="34">+G39+G41</f>
        <v>199080</v>
      </c>
      <c r="H38" s="2160">
        <f t="shared" si="34"/>
        <v>199084</v>
      </c>
      <c r="I38" s="2160">
        <f t="shared" si="34"/>
        <v>199080</v>
      </c>
      <c r="J38" s="2160">
        <f t="shared" si="34"/>
        <v>0</v>
      </c>
      <c r="K38" s="2160">
        <f t="shared" si="34"/>
        <v>0</v>
      </c>
      <c r="L38" s="2160">
        <f t="shared" si="34"/>
        <v>0</v>
      </c>
      <c r="M38" s="1377">
        <f>M39+M41</f>
        <v>741770</v>
      </c>
      <c r="N38" s="1377">
        <f>N39+N41</f>
        <v>597244</v>
      </c>
      <c r="O38" s="3666"/>
    </row>
    <row r="39" spans="1:15" ht="11.25" customHeight="1">
      <c r="A39" s="3646"/>
      <c r="B39" s="1425" t="s">
        <v>23</v>
      </c>
      <c r="C39" s="3712" t="s">
        <v>124</v>
      </c>
      <c r="D39" s="1237">
        <f>+D40</f>
        <v>640352</v>
      </c>
      <c r="E39" s="1237">
        <f t="shared" ref="E39:L39" si="35">+E40</f>
        <v>274500</v>
      </c>
      <c r="F39" s="1237">
        <f t="shared" si="35"/>
        <v>67232</v>
      </c>
      <c r="G39" s="1237">
        <f t="shared" si="35"/>
        <v>99540</v>
      </c>
      <c r="H39" s="2161">
        <f t="shared" si="35"/>
        <v>99540</v>
      </c>
      <c r="I39" s="2161">
        <f t="shared" si="35"/>
        <v>99540</v>
      </c>
      <c r="J39" s="2161">
        <f t="shared" si="35"/>
        <v>0</v>
      </c>
      <c r="K39" s="2161">
        <f t="shared" si="35"/>
        <v>0</v>
      </c>
      <c r="L39" s="2161">
        <f t="shared" si="35"/>
        <v>0</v>
      </c>
      <c r="M39" s="1238">
        <f>+M40</f>
        <v>365852</v>
      </c>
      <c r="N39" s="1238">
        <f>+N40</f>
        <v>298620</v>
      </c>
      <c r="O39" s="3666"/>
    </row>
    <row r="40" spans="1:15" ht="13.5" customHeight="1">
      <c r="A40" s="3646"/>
      <c r="B40" s="1426" t="s">
        <v>12</v>
      </c>
      <c r="C40" s="3705"/>
      <c r="D40" s="773">
        <f>E40+F40+G40+H40+I40+J40+K40+L40</f>
        <v>640352</v>
      </c>
      <c r="E40" s="1533">
        <f>274500</f>
        <v>274500</v>
      </c>
      <c r="F40" s="168">
        <f>69883+5032-7683</f>
        <v>67232</v>
      </c>
      <c r="G40" s="168">
        <v>99540</v>
      </c>
      <c r="H40" s="2162">
        <v>99540</v>
      </c>
      <c r="I40" s="2162">
        <v>99540</v>
      </c>
      <c r="J40" s="2162">
        <v>0</v>
      </c>
      <c r="K40" s="2162">
        <v>0</v>
      </c>
      <c r="L40" s="2162">
        <v>0</v>
      </c>
      <c r="M40" s="1526">
        <f>SUM(F40:K40)</f>
        <v>365852</v>
      </c>
      <c r="N40" s="1526">
        <f>SUM(G40:L40)</f>
        <v>298620</v>
      </c>
      <c r="O40" s="3666"/>
    </row>
    <row r="41" spans="1:15" ht="13.5" customHeight="1">
      <c r="A41" s="3646"/>
      <c r="B41" s="1428" t="s">
        <v>18</v>
      </c>
      <c r="C41" s="3705"/>
      <c r="D41" s="1242">
        <f>+D42</f>
        <v>695305</v>
      </c>
      <c r="E41" s="1242">
        <f t="shared" ref="E41:L41" si="36">E42</f>
        <v>319387</v>
      </c>
      <c r="F41" s="1242">
        <f t="shared" si="36"/>
        <v>77294</v>
      </c>
      <c r="G41" s="1242">
        <f t="shared" si="36"/>
        <v>99540</v>
      </c>
      <c r="H41" s="2163">
        <f t="shared" si="36"/>
        <v>99544</v>
      </c>
      <c r="I41" s="2163">
        <f t="shared" si="36"/>
        <v>99540</v>
      </c>
      <c r="J41" s="2163">
        <f t="shared" si="36"/>
        <v>0</v>
      </c>
      <c r="K41" s="2163">
        <f t="shared" si="36"/>
        <v>0</v>
      </c>
      <c r="L41" s="2163">
        <f t="shared" si="36"/>
        <v>0</v>
      </c>
      <c r="M41" s="1238">
        <f>+M42</f>
        <v>375918</v>
      </c>
      <c r="N41" s="1238">
        <f>+N42</f>
        <v>298624</v>
      </c>
      <c r="O41" s="3666"/>
    </row>
    <row r="42" spans="1:15" ht="12">
      <c r="A42" s="3646"/>
      <c r="B42" s="1429" t="s">
        <v>19</v>
      </c>
      <c r="C42" s="3670"/>
      <c r="D42" s="773">
        <f>E42+F42+G42+H42+I42+J42+K42+L42</f>
        <v>695305</v>
      </c>
      <c r="E42" s="1533">
        <f>319387</f>
        <v>319387</v>
      </c>
      <c r="F42" s="130">
        <f>75707+1591-4</f>
        <v>77294</v>
      </c>
      <c r="G42" s="130">
        <v>99540</v>
      </c>
      <c r="H42" s="2164">
        <f>99540+4</f>
        <v>99544</v>
      </c>
      <c r="I42" s="2164">
        <v>99540</v>
      </c>
      <c r="J42" s="2164">
        <v>0</v>
      </c>
      <c r="K42" s="2164">
        <v>0</v>
      </c>
      <c r="L42" s="2164">
        <v>0</v>
      </c>
      <c r="M42" s="1526">
        <f>SUM(F42:K42)</f>
        <v>375918</v>
      </c>
      <c r="N42" s="1526">
        <f>SUM(G42:L42)</f>
        <v>298624</v>
      </c>
      <c r="O42" s="3666"/>
    </row>
    <row r="43" spans="1:15" ht="13.5" customHeight="1">
      <c r="A43" s="3711"/>
      <c r="B43" s="1423" t="s">
        <v>21</v>
      </c>
      <c r="C43" s="1430"/>
      <c r="D43" s="1247">
        <f>+D46</f>
        <v>695305</v>
      </c>
      <c r="E43" s="1247">
        <f t="shared" ref="E43" si="37">E44+E46</f>
        <v>291312</v>
      </c>
      <c r="F43" s="1247">
        <f t="shared" ref="F43:L43" si="38">F44+F46</f>
        <v>79154</v>
      </c>
      <c r="G43" s="1247">
        <f t="shared" si="38"/>
        <v>95897</v>
      </c>
      <c r="H43" s="2160">
        <f t="shared" si="38"/>
        <v>99540</v>
      </c>
      <c r="I43" s="2160">
        <f t="shared" si="38"/>
        <v>99540</v>
      </c>
      <c r="J43" s="2160">
        <f t="shared" si="38"/>
        <v>29862</v>
      </c>
      <c r="K43" s="2160">
        <f t="shared" si="38"/>
        <v>0</v>
      </c>
      <c r="L43" s="2160">
        <f t="shared" si="38"/>
        <v>0</v>
      </c>
      <c r="M43" s="3664" t="s">
        <v>53</v>
      </c>
      <c r="N43" s="3664" t="s">
        <v>53</v>
      </c>
      <c r="O43" s="3666"/>
    </row>
    <row r="44" spans="1:15" ht="12" hidden="1" customHeight="1">
      <c r="A44" s="3711"/>
      <c r="B44" s="1431" t="s">
        <v>23</v>
      </c>
      <c r="C44" s="3712" t="s">
        <v>124</v>
      </c>
      <c r="D44" s="1237">
        <f t="shared" ref="D44:G44" si="39">D45</f>
        <v>0</v>
      </c>
      <c r="E44" s="1237">
        <f t="shared" si="39"/>
        <v>0</v>
      </c>
      <c r="F44" s="1237">
        <f t="shared" si="39"/>
        <v>0</v>
      </c>
      <c r="G44" s="1237">
        <f t="shared" si="39"/>
        <v>0</v>
      </c>
      <c r="H44" s="2161"/>
      <c r="I44" s="2161"/>
      <c r="J44" s="2161"/>
      <c r="K44" s="2161"/>
      <c r="L44" s="2161"/>
      <c r="M44" s="3654"/>
      <c r="N44" s="3654"/>
      <c r="O44" s="3666"/>
    </row>
    <row r="45" spans="1:15" ht="12" hidden="1" customHeight="1">
      <c r="A45" s="3711"/>
      <c r="B45" s="1432" t="s">
        <v>13</v>
      </c>
      <c r="C45" s="3705"/>
      <c r="D45" s="773">
        <f>E45+F45+G45+H45+I45+J45+K45+L45</f>
        <v>0</v>
      </c>
      <c r="E45" s="1249"/>
      <c r="F45" s="1249">
        <v>0</v>
      </c>
      <c r="G45" s="168">
        <v>0</v>
      </c>
      <c r="H45" s="2162"/>
      <c r="I45" s="2162"/>
      <c r="J45" s="2162"/>
      <c r="K45" s="2162"/>
      <c r="L45" s="2162"/>
      <c r="M45" s="3654"/>
      <c r="N45" s="3654"/>
      <c r="O45" s="3666"/>
    </row>
    <row r="46" spans="1:15" ht="13.5" customHeight="1">
      <c r="A46" s="3711"/>
      <c r="B46" s="1434" t="s">
        <v>18</v>
      </c>
      <c r="C46" s="3705"/>
      <c r="D46" s="1242">
        <f>+D47</f>
        <v>695305</v>
      </c>
      <c r="E46" s="1242">
        <f t="shared" ref="E46:L46" si="40">E47</f>
        <v>291312</v>
      </c>
      <c r="F46" s="1242">
        <f t="shared" si="40"/>
        <v>79154</v>
      </c>
      <c r="G46" s="1242">
        <f t="shared" si="40"/>
        <v>95897</v>
      </c>
      <c r="H46" s="2163">
        <f t="shared" si="40"/>
        <v>99540</v>
      </c>
      <c r="I46" s="2163">
        <f t="shared" si="40"/>
        <v>99540</v>
      </c>
      <c r="J46" s="2163">
        <f t="shared" si="40"/>
        <v>29862</v>
      </c>
      <c r="K46" s="2163">
        <f t="shared" si="40"/>
        <v>0</v>
      </c>
      <c r="L46" s="2163">
        <f t="shared" si="40"/>
        <v>0</v>
      </c>
      <c r="M46" s="3654"/>
      <c r="N46" s="3654"/>
      <c r="O46" s="3666"/>
    </row>
    <row r="47" spans="1:15" ht="12.75" customHeight="1" thickBot="1">
      <c r="A47" s="3647"/>
      <c r="B47" s="1435" t="s">
        <v>19</v>
      </c>
      <c r="C47" s="3671"/>
      <c r="D47" s="773">
        <f>E47+F47+G47+H47+I47+J47+K47+L47</f>
        <v>695305</v>
      </c>
      <c r="E47" s="1533">
        <f>291312</f>
        <v>291312</v>
      </c>
      <c r="F47" s="1532">
        <f>79186+1110-1142</f>
        <v>79154</v>
      </c>
      <c r="G47" s="1532">
        <f>24105-909+1881+69678+1142</f>
        <v>95897</v>
      </c>
      <c r="H47" s="2165">
        <v>99540</v>
      </c>
      <c r="I47" s="2165">
        <v>99540</v>
      </c>
      <c r="J47" s="2165">
        <v>29862</v>
      </c>
      <c r="K47" s="2165">
        <v>0</v>
      </c>
      <c r="L47" s="2165">
        <v>0</v>
      </c>
      <c r="M47" s="3655"/>
      <c r="N47" s="3655"/>
      <c r="O47" s="3667"/>
    </row>
    <row r="48" spans="1:15" ht="36" hidden="1" customHeight="1">
      <c r="A48" s="3645" t="s">
        <v>56</v>
      </c>
      <c r="B48" s="1420" t="s">
        <v>292</v>
      </c>
      <c r="C48" s="1421" t="s">
        <v>101</v>
      </c>
      <c r="D48" s="1523"/>
      <c r="E48" s="1524"/>
      <c r="F48" s="1524"/>
      <c r="G48" s="1524"/>
      <c r="H48" s="1524"/>
      <c r="I48" s="1524"/>
      <c r="J48" s="1524"/>
      <c r="K48" s="1524"/>
      <c r="L48" s="1524"/>
      <c r="M48" s="1525"/>
      <c r="N48" s="1525"/>
      <c r="O48" s="3648" t="s">
        <v>125</v>
      </c>
    </row>
    <row r="49" spans="1:15" ht="15" hidden="1" customHeight="1">
      <c r="A49" s="3646"/>
      <c r="B49" s="1423" t="s">
        <v>10</v>
      </c>
      <c r="C49" s="1424"/>
      <c r="D49" s="1247"/>
      <c r="E49" s="1247">
        <v>0</v>
      </c>
      <c r="F49" s="1247">
        <f t="shared" ref="F49:J50" si="41">F50</f>
        <v>0</v>
      </c>
      <c r="G49" s="1247">
        <f t="shared" ref="G49:L49" si="42">+G50+G52</f>
        <v>0</v>
      </c>
      <c r="H49" s="1247">
        <f t="shared" si="42"/>
        <v>0</v>
      </c>
      <c r="I49" s="1247">
        <f t="shared" si="42"/>
        <v>0</v>
      </c>
      <c r="J49" s="1247">
        <f t="shared" si="42"/>
        <v>0</v>
      </c>
      <c r="K49" s="1247">
        <f t="shared" si="42"/>
        <v>0</v>
      </c>
      <c r="L49" s="1247">
        <f t="shared" si="42"/>
        <v>0</v>
      </c>
      <c r="M49" s="1377">
        <f>M50</f>
        <v>0</v>
      </c>
      <c r="N49" s="1377" t="e">
        <f>N50</f>
        <v>#REF!</v>
      </c>
      <c r="O49" s="3649"/>
    </row>
    <row r="50" spans="1:15" ht="12" hidden="1">
      <c r="A50" s="3646"/>
      <c r="B50" s="1436" t="s">
        <v>18</v>
      </c>
      <c r="C50" s="3669" t="s">
        <v>126</v>
      </c>
      <c r="D50" s="1242"/>
      <c r="E50" s="1242">
        <v>0</v>
      </c>
      <c r="F50" s="1242">
        <f t="shared" si="41"/>
        <v>0</v>
      </c>
      <c r="G50" s="1242">
        <f t="shared" si="41"/>
        <v>0</v>
      </c>
      <c r="H50" s="1242">
        <f t="shared" si="41"/>
        <v>0</v>
      </c>
      <c r="I50" s="1242">
        <f t="shared" si="41"/>
        <v>0</v>
      </c>
      <c r="J50" s="1242">
        <f t="shared" si="41"/>
        <v>0</v>
      </c>
      <c r="K50" s="1242">
        <f>K51</f>
        <v>0</v>
      </c>
      <c r="L50" s="1242">
        <f>L51</f>
        <v>0</v>
      </c>
      <c r="M50" s="1238">
        <f>+M51</f>
        <v>0</v>
      </c>
      <c r="N50" s="1238" t="e">
        <f>+N51</f>
        <v>#REF!</v>
      </c>
      <c r="O50" s="3649"/>
    </row>
    <row r="51" spans="1:15" ht="12" hidden="1">
      <c r="A51" s="3646"/>
      <c r="B51" s="1437" t="s">
        <v>19</v>
      </c>
      <c r="C51" s="3670"/>
      <c r="D51" s="1240"/>
      <c r="E51" s="1240">
        <v>0</v>
      </c>
      <c r="F51" s="130">
        <v>0</v>
      </c>
      <c r="G51" s="130">
        <v>0</v>
      </c>
      <c r="H51" s="130">
        <v>0</v>
      </c>
      <c r="I51" s="130">
        <v>0</v>
      </c>
      <c r="J51" s="130">
        <v>0</v>
      </c>
      <c r="K51" s="130">
        <v>0</v>
      </c>
      <c r="L51" s="130">
        <v>0</v>
      </c>
      <c r="M51" s="1526">
        <f>SUM(F51:K51)</f>
        <v>0</v>
      </c>
      <c r="N51" s="1526" t="e">
        <f>+I51+H51+G51+F51+#REF!</f>
        <v>#REF!</v>
      </c>
      <c r="O51" s="3649"/>
    </row>
    <row r="52" spans="1:15" ht="15" hidden="1" customHeight="1">
      <c r="A52" s="3646"/>
      <c r="B52" s="1438" t="s">
        <v>21</v>
      </c>
      <c r="C52" s="1439"/>
      <c r="D52" s="1247"/>
      <c r="E52" s="1247">
        <v>0</v>
      </c>
      <c r="F52" s="1247">
        <f t="shared" ref="F52:L52" si="43">F53+F99</f>
        <v>0</v>
      </c>
      <c r="G52" s="1247">
        <f t="shared" si="43"/>
        <v>0</v>
      </c>
      <c r="H52" s="1247">
        <f t="shared" si="43"/>
        <v>0</v>
      </c>
      <c r="I52" s="1247">
        <f t="shared" si="43"/>
        <v>0</v>
      </c>
      <c r="J52" s="1247">
        <f t="shared" si="43"/>
        <v>0</v>
      </c>
      <c r="K52" s="1247">
        <f t="shared" si="43"/>
        <v>0</v>
      </c>
      <c r="L52" s="1247">
        <f t="shared" si="43"/>
        <v>0</v>
      </c>
      <c r="M52" s="3664" t="s">
        <v>53</v>
      </c>
      <c r="N52" s="3664" t="s">
        <v>53</v>
      </c>
      <c r="O52" s="3649"/>
    </row>
    <row r="53" spans="1:15" ht="12" hidden="1">
      <c r="A53" s="3646"/>
      <c r="B53" s="1436" t="s">
        <v>18</v>
      </c>
      <c r="C53" s="3669" t="s">
        <v>126</v>
      </c>
      <c r="D53" s="1242"/>
      <c r="E53" s="1242">
        <v>0</v>
      </c>
      <c r="F53" s="1242">
        <f t="shared" ref="F53:L53" si="44">F54</f>
        <v>0</v>
      </c>
      <c r="G53" s="1242">
        <f t="shared" si="44"/>
        <v>0</v>
      </c>
      <c r="H53" s="1242">
        <f t="shared" si="44"/>
        <v>0</v>
      </c>
      <c r="I53" s="1242">
        <f t="shared" si="44"/>
        <v>0</v>
      </c>
      <c r="J53" s="1242">
        <f t="shared" si="44"/>
        <v>0</v>
      </c>
      <c r="K53" s="1242">
        <f t="shared" si="44"/>
        <v>0</v>
      </c>
      <c r="L53" s="1242">
        <f t="shared" si="44"/>
        <v>0</v>
      </c>
      <c r="M53" s="3654"/>
      <c r="N53" s="3654"/>
      <c r="O53" s="3649"/>
    </row>
    <row r="54" spans="1:15" ht="12.75" hidden="1" thickBot="1">
      <c r="A54" s="3647"/>
      <c r="B54" s="1440" t="s">
        <v>19</v>
      </c>
      <c r="C54" s="3671"/>
      <c r="D54" s="1240"/>
      <c r="E54" s="1240">
        <v>0</v>
      </c>
      <c r="F54" s="1532">
        <v>0</v>
      </c>
      <c r="G54" s="1532">
        <v>0</v>
      </c>
      <c r="H54" s="1532">
        <v>0</v>
      </c>
      <c r="I54" s="1532">
        <v>0</v>
      </c>
      <c r="J54" s="1532">
        <v>0</v>
      </c>
      <c r="K54" s="1532">
        <v>0</v>
      </c>
      <c r="L54" s="1532">
        <v>0</v>
      </c>
      <c r="M54" s="3655"/>
      <c r="N54" s="3655"/>
      <c r="O54" s="3668"/>
    </row>
    <row r="55" spans="1:15" ht="42.75" hidden="1" customHeight="1">
      <c r="A55" s="3645" t="s">
        <v>56</v>
      </c>
      <c r="B55" s="1420" t="s">
        <v>572</v>
      </c>
      <c r="C55" s="1421" t="s">
        <v>101</v>
      </c>
      <c r="D55" s="1523"/>
      <c r="E55" s="1524"/>
      <c r="F55" s="1524"/>
      <c r="G55" s="1524"/>
      <c r="H55" s="1524"/>
      <c r="I55" s="1524"/>
      <c r="J55" s="1524"/>
      <c r="K55" s="1524"/>
      <c r="L55" s="1524"/>
      <c r="M55" s="1525"/>
      <c r="N55" s="1525"/>
      <c r="O55" s="3648" t="s">
        <v>125</v>
      </c>
    </row>
    <row r="56" spans="1:15" ht="15" hidden="1" customHeight="1">
      <c r="A56" s="3646"/>
      <c r="B56" s="1423" t="s">
        <v>10</v>
      </c>
      <c r="C56" s="1424"/>
      <c r="D56" s="1247">
        <f>D57</f>
        <v>0</v>
      </c>
      <c r="E56" s="1247">
        <f t="shared" ref="E56:J57" si="45">E57</f>
        <v>0</v>
      </c>
      <c r="F56" s="1247">
        <f t="shared" si="45"/>
        <v>0</v>
      </c>
      <c r="G56" s="1247">
        <f t="shared" ref="G56:L56" si="46">+G57+G59</f>
        <v>0</v>
      </c>
      <c r="H56" s="1247">
        <f t="shared" si="46"/>
        <v>0</v>
      </c>
      <c r="I56" s="1247">
        <f t="shared" si="46"/>
        <v>0</v>
      </c>
      <c r="J56" s="1247">
        <f t="shared" si="46"/>
        <v>0</v>
      </c>
      <c r="K56" s="1247">
        <f t="shared" si="46"/>
        <v>0</v>
      </c>
      <c r="L56" s="1247">
        <f t="shared" si="46"/>
        <v>0</v>
      </c>
      <c r="M56" s="1377">
        <f>M57</f>
        <v>0</v>
      </c>
      <c r="N56" s="1377">
        <f>N57</f>
        <v>0</v>
      </c>
      <c r="O56" s="3649"/>
    </row>
    <row r="57" spans="1:15" ht="12" hidden="1">
      <c r="A57" s="3646"/>
      <c r="B57" s="1436" t="s">
        <v>18</v>
      </c>
      <c r="C57" s="3669" t="s">
        <v>126</v>
      </c>
      <c r="D57" s="1242">
        <f>+D58</f>
        <v>0</v>
      </c>
      <c r="E57" s="1242">
        <f t="shared" si="45"/>
        <v>0</v>
      </c>
      <c r="F57" s="1242">
        <f t="shared" si="45"/>
        <v>0</v>
      </c>
      <c r="G57" s="1242">
        <f t="shared" si="45"/>
        <v>0</v>
      </c>
      <c r="H57" s="1242">
        <f t="shared" si="45"/>
        <v>0</v>
      </c>
      <c r="I57" s="1242">
        <f t="shared" si="45"/>
        <v>0</v>
      </c>
      <c r="J57" s="1242">
        <f t="shared" si="45"/>
        <v>0</v>
      </c>
      <c r="K57" s="1242">
        <f>K58</f>
        <v>0</v>
      </c>
      <c r="L57" s="1242">
        <f>L58</f>
        <v>0</v>
      </c>
      <c r="M57" s="1238">
        <f>+M58</f>
        <v>0</v>
      </c>
      <c r="N57" s="1238">
        <f>+N58</f>
        <v>0</v>
      </c>
      <c r="O57" s="3649"/>
    </row>
    <row r="58" spans="1:15" ht="12" hidden="1">
      <c r="A58" s="3646"/>
      <c r="B58" s="1437" t="s">
        <v>19</v>
      </c>
      <c r="C58" s="3670"/>
      <c r="D58" s="773">
        <v>0</v>
      </c>
      <c r="E58" s="1533">
        <v>0</v>
      </c>
      <c r="F58" s="130">
        <v>0</v>
      </c>
      <c r="G58" s="130">
        <v>0</v>
      </c>
      <c r="H58" s="130">
        <v>0</v>
      </c>
      <c r="I58" s="130">
        <v>0</v>
      </c>
      <c r="J58" s="130">
        <v>0</v>
      </c>
      <c r="K58" s="130">
        <v>0</v>
      </c>
      <c r="L58" s="130">
        <v>0</v>
      </c>
      <c r="M58" s="1526">
        <f>SUM(F58:K58)</f>
        <v>0</v>
      </c>
      <c r="N58" s="1526">
        <f>SUM(G58:L58)</f>
        <v>0</v>
      </c>
      <c r="O58" s="3649"/>
    </row>
    <row r="59" spans="1:15" ht="15" hidden="1" customHeight="1">
      <c r="A59" s="3646"/>
      <c r="B59" s="1438" t="s">
        <v>21</v>
      </c>
      <c r="C59" s="1439"/>
      <c r="D59" s="1247">
        <f>+D60</f>
        <v>0</v>
      </c>
      <c r="E59" s="1247">
        <f t="shared" ref="E59" si="47">+E60</f>
        <v>0</v>
      </c>
      <c r="F59" s="1247">
        <f t="shared" ref="F59:I59" si="48">F60</f>
        <v>0</v>
      </c>
      <c r="G59" s="1247">
        <f t="shared" si="48"/>
        <v>0</v>
      </c>
      <c r="H59" s="1247">
        <f t="shared" si="48"/>
        <v>0</v>
      </c>
      <c r="I59" s="1247">
        <f t="shared" si="48"/>
        <v>0</v>
      </c>
      <c r="J59" s="1247"/>
      <c r="K59" s="1247"/>
      <c r="L59" s="1247"/>
      <c r="M59" s="3664" t="s">
        <v>53</v>
      </c>
      <c r="N59" s="3664" t="s">
        <v>53</v>
      </c>
      <c r="O59" s="3649"/>
    </row>
    <row r="60" spans="1:15" ht="12" hidden="1">
      <c r="A60" s="3646"/>
      <c r="B60" s="1436" t="s">
        <v>18</v>
      </c>
      <c r="C60" s="3669" t="s">
        <v>126</v>
      </c>
      <c r="D60" s="1242">
        <f>+D61</f>
        <v>0</v>
      </c>
      <c r="E60" s="1242">
        <f t="shared" ref="E60:L60" si="49">E61</f>
        <v>0</v>
      </c>
      <c r="F60" s="1242">
        <f t="shared" si="49"/>
        <v>0</v>
      </c>
      <c r="G60" s="1242">
        <f t="shared" si="49"/>
        <v>0</v>
      </c>
      <c r="H60" s="1242">
        <f t="shared" si="49"/>
        <v>0</v>
      </c>
      <c r="I60" s="1242">
        <f t="shared" si="49"/>
        <v>0</v>
      </c>
      <c r="J60" s="1242">
        <f t="shared" si="49"/>
        <v>0</v>
      </c>
      <c r="K60" s="1242">
        <f t="shared" si="49"/>
        <v>0</v>
      </c>
      <c r="L60" s="1242">
        <f t="shared" si="49"/>
        <v>0</v>
      </c>
      <c r="M60" s="3654"/>
      <c r="N60" s="3654"/>
      <c r="O60" s="3649"/>
    </row>
    <row r="61" spans="1:15" ht="12.75" hidden="1" thickBot="1">
      <c r="A61" s="3647"/>
      <c r="B61" s="1440" t="s">
        <v>19</v>
      </c>
      <c r="C61" s="3671"/>
      <c r="D61" s="773">
        <f>E61+F61+G61+H61+I61+J61+K61+L61</f>
        <v>0</v>
      </c>
      <c r="E61" s="1533">
        <v>0</v>
      </c>
      <c r="F61" s="1532">
        <v>0</v>
      </c>
      <c r="G61" s="1532">
        <v>0</v>
      </c>
      <c r="H61" s="1532">
        <v>0</v>
      </c>
      <c r="I61" s="1532">
        <v>0</v>
      </c>
      <c r="J61" s="1532">
        <v>0</v>
      </c>
      <c r="K61" s="1532">
        <v>0</v>
      </c>
      <c r="L61" s="1532">
        <v>0</v>
      </c>
      <c r="M61" s="3655"/>
      <c r="N61" s="3655"/>
      <c r="O61" s="3668"/>
    </row>
    <row r="62" spans="1:15" ht="26.25" hidden="1" customHeight="1">
      <c r="A62" s="3645" t="s">
        <v>57</v>
      </c>
      <c r="B62" s="1420" t="s">
        <v>379</v>
      </c>
      <c r="C62" s="1421" t="s">
        <v>101</v>
      </c>
      <c r="D62" s="1523"/>
      <c r="E62" s="1524"/>
      <c r="F62" s="1524"/>
      <c r="G62" s="1524"/>
      <c r="H62" s="1524"/>
      <c r="I62" s="1524"/>
      <c r="J62" s="1524"/>
      <c r="K62" s="1524"/>
      <c r="L62" s="1524"/>
      <c r="M62" s="1525"/>
      <c r="N62" s="1525"/>
      <c r="O62" s="3648" t="s">
        <v>253</v>
      </c>
    </row>
    <row r="63" spans="1:15" ht="15" hidden="1" customHeight="1">
      <c r="A63" s="3646"/>
      <c r="B63" s="1423" t="s">
        <v>10</v>
      </c>
      <c r="C63" s="1424"/>
      <c r="D63" s="1247"/>
      <c r="E63" s="1247">
        <v>0</v>
      </c>
      <c r="F63" s="1247">
        <f t="shared" ref="F63:J64" si="50">F64</f>
        <v>0</v>
      </c>
      <c r="G63" s="1247">
        <f t="shared" ref="G63:L63" si="51">+G64+G66</f>
        <v>0</v>
      </c>
      <c r="H63" s="1247">
        <f t="shared" si="51"/>
        <v>0</v>
      </c>
      <c r="I63" s="1247">
        <f t="shared" si="51"/>
        <v>0</v>
      </c>
      <c r="J63" s="1247">
        <f t="shared" si="51"/>
        <v>0</v>
      </c>
      <c r="K63" s="1247">
        <f t="shared" si="51"/>
        <v>0</v>
      </c>
      <c r="L63" s="1247">
        <f t="shared" si="51"/>
        <v>0</v>
      </c>
      <c r="M63" s="1377">
        <f>M64</f>
        <v>0</v>
      </c>
      <c r="N63" s="1377">
        <f>N64</f>
        <v>0</v>
      </c>
      <c r="O63" s="3649"/>
    </row>
    <row r="64" spans="1:15" ht="12.75" hidden="1" thickBot="1">
      <c r="A64" s="3646"/>
      <c r="B64" s="1436" t="s">
        <v>18</v>
      </c>
      <c r="C64" s="3669" t="s">
        <v>254</v>
      </c>
      <c r="D64" s="1242"/>
      <c r="E64" s="1242">
        <v>0</v>
      </c>
      <c r="F64" s="1242">
        <f t="shared" si="50"/>
        <v>0</v>
      </c>
      <c r="G64" s="1242">
        <f t="shared" si="50"/>
        <v>0</v>
      </c>
      <c r="H64" s="1242">
        <f t="shared" si="50"/>
        <v>0</v>
      </c>
      <c r="I64" s="1242">
        <f t="shared" si="50"/>
        <v>0</v>
      </c>
      <c r="J64" s="1242">
        <f t="shared" si="50"/>
        <v>0</v>
      </c>
      <c r="K64" s="1242">
        <f>K65</f>
        <v>0</v>
      </c>
      <c r="L64" s="1242">
        <f>L65</f>
        <v>0</v>
      </c>
      <c r="M64" s="1238">
        <f>+M65</f>
        <v>0</v>
      </c>
      <c r="N64" s="1238">
        <f>+N65</f>
        <v>0</v>
      </c>
      <c r="O64" s="3649"/>
    </row>
    <row r="65" spans="1:16" ht="12.75" hidden="1" thickBot="1">
      <c r="A65" s="3646"/>
      <c r="B65" s="1437" t="s">
        <v>19</v>
      </c>
      <c r="C65" s="3670"/>
      <c r="D65" s="1534"/>
      <c r="E65" s="1533">
        <v>0</v>
      </c>
      <c r="F65" s="130">
        <v>0</v>
      </c>
      <c r="G65" s="130">
        <v>0</v>
      </c>
      <c r="H65" s="130">
        <v>0</v>
      </c>
      <c r="I65" s="130">
        <v>0</v>
      </c>
      <c r="J65" s="130">
        <v>0</v>
      </c>
      <c r="K65" s="130">
        <v>0</v>
      </c>
      <c r="L65" s="130">
        <v>0</v>
      </c>
      <c r="M65" s="1526">
        <f>SUM(E65:K65)</f>
        <v>0</v>
      </c>
      <c r="N65" s="1526">
        <f>SUM(F65:L65)</f>
        <v>0</v>
      </c>
      <c r="O65" s="3649"/>
    </row>
    <row r="66" spans="1:16" ht="15" hidden="1" customHeight="1">
      <c r="A66" s="3646"/>
      <c r="B66" s="1438" t="s">
        <v>21</v>
      </c>
      <c r="C66" s="1439"/>
      <c r="D66" s="1535"/>
      <c r="E66" s="1247">
        <v>0</v>
      </c>
      <c r="F66" s="1247">
        <f t="shared" ref="F66:L66" si="52">F67+F113</f>
        <v>0</v>
      </c>
      <c r="G66" s="1247">
        <f t="shared" si="52"/>
        <v>0</v>
      </c>
      <c r="H66" s="1247">
        <f t="shared" si="52"/>
        <v>0</v>
      </c>
      <c r="I66" s="1247">
        <f t="shared" si="52"/>
        <v>0</v>
      </c>
      <c r="J66" s="1247">
        <f t="shared" si="52"/>
        <v>0</v>
      </c>
      <c r="K66" s="1247">
        <f t="shared" si="52"/>
        <v>0</v>
      </c>
      <c r="L66" s="1247">
        <f t="shared" si="52"/>
        <v>0</v>
      </c>
      <c r="M66" s="3664" t="s">
        <v>53</v>
      </c>
      <c r="N66" s="3664" t="s">
        <v>53</v>
      </c>
      <c r="O66" s="3649"/>
    </row>
    <row r="67" spans="1:16" ht="12.75" hidden="1" thickBot="1">
      <c r="A67" s="3646"/>
      <c r="B67" s="1436" t="s">
        <v>18</v>
      </c>
      <c r="C67" s="3669" t="s">
        <v>254</v>
      </c>
      <c r="D67" s="1242"/>
      <c r="E67" s="1242">
        <v>0</v>
      </c>
      <c r="F67" s="1242">
        <f t="shared" ref="F67:L67" si="53">F68</f>
        <v>0</v>
      </c>
      <c r="G67" s="1242">
        <f t="shared" si="53"/>
        <v>0</v>
      </c>
      <c r="H67" s="1242">
        <f t="shared" si="53"/>
        <v>0</v>
      </c>
      <c r="I67" s="1242">
        <f t="shared" si="53"/>
        <v>0</v>
      </c>
      <c r="J67" s="1242">
        <f t="shared" si="53"/>
        <v>0</v>
      </c>
      <c r="K67" s="1242">
        <f t="shared" si="53"/>
        <v>0</v>
      </c>
      <c r="L67" s="1242">
        <f t="shared" si="53"/>
        <v>0</v>
      </c>
      <c r="M67" s="3654"/>
      <c r="N67" s="3654"/>
      <c r="O67" s="3649"/>
    </row>
    <row r="68" spans="1:16" ht="12.75" hidden="1" thickBot="1">
      <c r="A68" s="3647"/>
      <c r="B68" s="1440" t="s">
        <v>19</v>
      </c>
      <c r="C68" s="3671"/>
      <c r="D68" s="1534"/>
      <c r="E68" s="1533">
        <v>0</v>
      </c>
      <c r="F68" s="1532">
        <v>0</v>
      </c>
      <c r="G68" s="1532">
        <v>0</v>
      </c>
      <c r="H68" s="1532">
        <v>0</v>
      </c>
      <c r="I68" s="1532">
        <v>0</v>
      </c>
      <c r="J68" s="1532">
        <v>0</v>
      </c>
      <c r="K68" s="1532">
        <v>0</v>
      </c>
      <c r="L68" s="1532">
        <v>0</v>
      </c>
      <c r="M68" s="3655"/>
      <c r="N68" s="3655"/>
      <c r="O68" s="3668"/>
    </row>
    <row r="69" spans="1:16" ht="26.25" customHeight="1">
      <c r="A69" s="3645" t="s">
        <v>56</v>
      </c>
      <c r="B69" s="1420" t="s">
        <v>775</v>
      </c>
      <c r="C69" s="1421" t="s">
        <v>101</v>
      </c>
      <c r="D69" s="181"/>
      <c r="E69" s="352"/>
      <c r="F69" s="352"/>
      <c r="G69" s="352"/>
      <c r="H69" s="352"/>
      <c r="I69" s="352"/>
      <c r="J69" s="352"/>
      <c r="K69" s="352"/>
      <c r="L69" s="2286"/>
      <c r="M69" s="1525"/>
      <c r="N69" s="1525"/>
      <c r="O69" s="3648" t="s">
        <v>123</v>
      </c>
    </row>
    <row r="70" spans="1:16" ht="15" customHeight="1">
      <c r="A70" s="3646"/>
      <c r="B70" s="1423" t="s">
        <v>10</v>
      </c>
      <c r="C70" s="1424"/>
      <c r="D70" s="1247">
        <f>+D71</f>
        <v>72615</v>
      </c>
      <c r="E70" s="1247">
        <f t="shared" ref="E70:E71" si="54">+E71</f>
        <v>803</v>
      </c>
      <c r="F70" s="1247">
        <f t="shared" ref="F70:H71" si="55">+F71</f>
        <v>20291</v>
      </c>
      <c r="G70" s="1247">
        <f t="shared" si="55"/>
        <v>29639</v>
      </c>
      <c r="H70" s="1247">
        <f t="shared" si="55"/>
        <v>21882</v>
      </c>
      <c r="I70" s="1247"/>
      <c r="J70" s="1247"/>
      <c r="K70" s="1247"/>
      <c r="L70" s="1247"/>
      <c r="M70" s="1377">
        <f>+M71</f>
        <v>71812</v>
      </c>
      <c r="N70" s="1377">
        <f>+N71</f>
        <v>51521</v>
      </c>
      <c r="O70" s="3649"/>
    </row>
    <row r="71" spans="1:16" ht="12">
      <c r="A71" s="3646"/>
      <c r="B71" s="1436" t="s">
        <v>18</v>
      </c>
      <c r="C71" s="3669" t="s">
        <v>124</v>
      </c>
      <c r="D71" s="1242">
        <f>+D72</f>
        <v>72615</v>
      </c>
      <c r="E71" s="1242">
        <f t="shared" si="54"/>
        <v>803</v>
      </c>
      <c r="F71" s="1242">
        <f t="shared" si="55"/>
        <v>20291</v>
      </c>
      <c r="G71" s="1242">
        <f t="shared" si="55"/>
        <v>29639</v>
      </c>
      <c r="H71" s="1242">
        <f t="shared" si="55"/>
        <v>21882</v>
      </c>
      <c r="I71" s="1242"/>
      <c r="J71" s="1242"/>
      <c r="K71" s="1242"/>
      <c r="L71" s="1242"/>
      <c r="M71" s="1238">
        <f>+M72</f>
        <v>71812</v>
      </c>
      <c r="N71" s="1238">
        <f>+N72</f>
        <v>51521</v>
      </c>
      <c r="O71" s="3649"/>
    </row>
    <row r="72" spans="1:16" ht="12">
      <c r="A72" s="3646"/>
      <c r="B72" s="1437" t="s">
        <v>19</v>
      </c>
      <c r="C72" s="3670"/>
      <c r="D72" s="1267">
        <f>E72+F72+G72+H72+I72+J72+K72+L72</f>
        <v>72615</v>
      </c>
      <c r="E72" s="1533">
        <f>803</f>
        <v>803</v>
      </c>
      <c r="F72" s="130">
        <f>4200+3397+21882-9188</f>
        <v>20291</v>
      </c>
      <c r="G72" s="130">
        <f>21882+7757</f>
        <v>29639</v>
      </c>
      <c r="H72" s="130">
        <v>21882</v>
      </c>
      <c r="I72" s="130"/>
      <c r="J72" s="130"/>
      <c r="K72" s="130"/>
      <c r="L72" s="130"/>
      <c r="M72" s="1526">
        <f>SUM(F72:K72)</f>
        <v>71812</v>
      </c>
      <c r="N72" s="1526">
        <f>SUM(G72:L72)</f>
        <v>51521</v>
      </c>
      <c r="O72" s="3649"/>
    </row>
    <row r="73" spans="1:16" ht="15" customHeight="1">
      <c r="A73" s="3646"/>
      <c r="B73" s="1438" t="s">
        <v>21</v>
      </c>
      <c r="C73" s="1439"/>
      <c r="D73" s="1535">
        <f>+D74</f>
        <v>72615</v>
      </c>
      <c r="E73" s="1535">
        <f t="shared" ref="E73:E74" si="56">+E74</f>
        <v>803</v>
      </c>
      <c r="F73" s="1247">
        <f t="shared" ref="F73:H74" si="57">+F74</f>
        <v>28048</v>
      </c>
      <c r="G73" s="1247">
        <f t="shared" si="57"/>
        <v>21882</v>
      </c>
      <c r="H73" s="1247">
        <f t="shared" si="57"/>
        <v>21882</v>
      </c>
      <c r="I73" s="1247"/>
      <c r="J73" s="1247"/>
      <c r="K73" s="1247"/>
      <c r="L73" s="1247"/>
      <c r="M73" s="3664"/>
      <c r="N73" s="3664"/>
      <c r="O73" s="3649"/>
    </row>
    <row r="74" spans="1:16" ht="12">
      <c r="A74" s="3646"/>
      <c r="B74" s="1436" t="s">
        <v>18</v>
      </c>
      <c r="C74" s="3669" t="s">
        <v>124</v>
      </c>
      <c r="D74" s="1242">
        <f>+D75</f>
        <v>72615</v>
      </c>
      <c r="E74" s="1242">
        <f t="shared" si="56"/>
        <v>803</v>
      </c>
      <c r="F74" s="1242">
        <f t="shared" si="57"/>
        <v>28048</v>
      </c>
      <c r="G74" s="1242">
        <f t="shared" si="57"/>
        <v>21882</v>
      </c>
      <c r="H74" s="1242">
        <f t="shared" si="57"/>
        <v>21882</v>
      </c>
      <c r="I74" s="1242"/>
      <c r="J74" s="1242"/>
      <c r="K74" s="1242"/>
      <c r="L74" s="1242"/>
      <c r="M74" s="3654"/>
      <c r="N74" s="3654"/>
      <c r="O74" s="3649"/>
    </row>
    <row r="75" spans="1:16" ht="12.75" thickBot="1">
      <c r="A75" s="3647"/>
      <c r="B75" s="1440" t="s">
        <v>19</v>
      </c>
      <c r="C75" s="3671"/>
      <c r="D75" s="1382">
        <f>E75+F75+G75+H75+I75+J75+K75+L75</f>
        <v>72615</v>
      </c>
      <c r="E75" s="1571">
        <f>803</f>
        <v>803</v>
      </c>
      <c r="F75" s="1532">
        <f>4200+3397+21882-1431</f>
        <v>28048</v>
      </c>
      <c r="G75" s="1532">
        <v>21882</v>
      </c>
      <c r="H75" s="1532">
        <v>21882</v>
      </c>
      <c r="I75" s="1532"/>
      <c r="J75" s="1532"/>
      <c r="K75" s="1532"/>
      <c r="L75" s="1532"/>
      <c r="M75" s="3655"/>
      <c r="N75" s="3655"/>
      <c r="O75" s="3668"/>
    </row>
    <row r="76" spans="1:16" ht="27" customHeight="1">
      <c r="A76" s="3645" t="s">
        <v>57</v>
      </c>
      <c r="B76" s="1420" t="s">
        <v>628</v>
      </c>
      <c r="C76" s="1421" t="s">
        <v>101</v>
      </c>
      <c r="D76" s="181"/>
      <c r="E76" s="352"/>
      <c r="F76" s="352"/>
      <c r="G76" s="352"/>
      <c r="H76" s="352"/>
      <c r="I76" s="352"/>
      <c r="J76" s="352"/>
      <c r="K76" s="352"/>
      <c r="L76" s="2286"/>
      <c r="M76" s="1525"/>
      <c r="N76" s="1525"/>
      <c r="O76" s="3648" t="s">
        <v>312</v>
      </c>
    </row>
    <row r="77" spans="1:16" ht="12">
      <c r="A77" s="3646"/>
      <c r="B77" s="2073" t="s">
        <v>10</v>
      </c>
      <c r="C77" s="1424"/>
      <c r="D77" s="549">
        <f t="shared" ref="D77:L77" si="58">+D78+D80</f>
        <v>250000</v>
      </c>
      <c r="E77" s="549">
        <f t="shared" si="58"/>
        <v>0</v>
      </c>
      <c r="F77" s="549">
        <f t="shared" si="58"/>
        <v>0</v>
      </c>
      <c r="G77" s="549">
        <f t="shared" si="58"/>
        <v>224590</v>
      </c>
      <c r="H77" s="549">
        <f t="shared" si="58"/>
        <v>25410</v>
      </c>
      <c r="I77" s="549">
        <f t="shared" si="58"/>
        <v>0</v>
      </c>
      <c r="J77" s="549">
        <f t="shared" si="58"/>
        <v>0</v>
      </c>
      <c r="K77" s="549">
        <f t="shared" si="58"/>
        <v>0</v>
      </c>
      <c r="L77" s="549">
        <f t="shared" si="58"/>
        <v>0</v>
      </c>
      <c r="M77" s="1920" t="e">
        <f>+#REF!</f>
        <v>#REF!</v>
      </c>
      <c r="N77" s="1920">
        <f>+N78+N80</f>
        <v>250000</v>
      </c>
      <c r="O77" s="3649"/>
      <c r="P77" s="1385" t="s">
        <v>697</v>
      </c>
    </row>
    <row r="78" spans="1:16" ht="12">
      <c r="A78" s="3646"/>
      <c r="B78" s="2111" t="s">
        <v>23</v>
      </c>
      <c r="C78" s="3658" t="s">
        <v>140</v>
      </c>
      <c r="D78" s="2166">
        <f>+D79</f>
        <v>39300</v>
      </c>
      <c r="E78" s="2166">
        <f>+E79</f>
        <v>0</v>
      </c>
      <c r="F78" s="2166">
        <f t="shared" ref="F78:L78" si="59">+F79</f>
        <v>0</v>
      </c>
      <c r="G78" s="2166">
        <f t="shared" si="59"/>
        <v>35306</v>
      </c>
      <c r="H78" s="2166">
        <f t="shared" si="59"/>
        <v>3994</v>
      </c>
      <c r="I78" s="2166">
        <f t="shared" si="59"/>
        <v>0</v>
      </c>
      <c r="J78" s="2166">
        <f t="shared" si="59"/>
        <v>0</v>
      </c>
      <c r="K78" s="2166">
        <f t="shared" si="59"/>
        <v>0</v>
      </c>
      <c r="L78" s="2166">
        <f t="shared" si="59"/>
        <v>0</v>
      </c>
      <c r="M78" s="1920"/>
      <c r="N78" s="1920">
        <f>+N79</f>
        <v>39300</v>
      </c>
      <c r="O78" s="3649"/>
    </row>
    <row r="79" spans="1:16" ht="12">
      <c r="A79" s="3646"/>
      <c r="B79" s="167" t="s">
        <v>13</v>
      </c>
      <c r="C79" s="3659"/>
      <c r="D79" s="1815">
        <f>E79+F79+G79+H79+I79+J79+K79+L79</f>
        <v>39300</v>
      </c>
      <c r="E79" s="1815">
        <v>0</v>
      </c>
      <c r="F79" s="1815">
        <v>0</v>
      </c>
      <c r="G79" s="1815">
        <v>35306</v>
      </c>
      <c r="H79" s="1815">
        <v>3994</v>
      </c>
      <c r="I79" s="1815"/>
      <c r="J79" s="1815"/>
      <c r="K79" s="1815"/>
      <c r="L79" s="1815"/>
      <c r="M79" s="1920"/>
      <c r="N79" s="2167">
        <f>SUM(G79:L79)</f>
        <v>39300</v>
      </c>
      <c r="O79" s="3649"/>
    </row>
    <row r="80" spans="1:16" ht="12">
      <c r="A80" s="3646"/>
      <c r="B80" s="2041" t="s">
        <v>18</v>
      </c>
      <c r="C80" s="3659"/>
      <c r="D80" s="2166">
        <f>+D81</f>
        <v>210700</v>
      </c>
      <c r="E80" s="2166">
        <f t="shared" ref="E80:L80" si="60">+E81</f>
        <v>0</v>
      </c>
      <c r="F80" s="2166">
        <f t="shared" si="60"/>
        <v>0</v>
      </c>
      <c r="G80" s="2166">
        <f t="shared" si="60"/>
        <v>189284</v>
      </c>
      <c r="H80" s="2166">
        <f t="shared" si="60"/>
        <v>21416</v>
      </c>
      <c r="I80" s="2166">
        <f t="shared" si="60"/>
        <v>0</v>
      </c>
      <c r="J80" s="2166">
        <f t="shared" si="60"/>
        <v>0</v>
      </c>
      <c r="K80" s="2166">
        <f t="shared" si="60"/>
        <v>0</v>
      </c>
      <c r="L80" s="2166">
        <f t="shared" si="60"/>
        <v>0</v>
      </c>
      <c r="M80" s="1920"/>
      <c r="N80" s="1920">
        <f>+N81</f>
        <v>210700</v>
      </c>
      <c r="O80" s="3649"/>
    </row>
    <row r="81" spans="1:27" ht="12">
      <c r="A81" s="3646"/>
      <c r="B81" s="552" t="s">
        <v>20</v>
      </c>
      <c r="C81" s="3659"/>
      <c r="D81" s="1815">
        <f>E81+F81+G81+H81+I81+J81+K81+L81</f>
        <v>210700</v>
      </c>
      <c r="E81" s="1815">
        <v>0</v>
      </c>
      <c r="F81" s="1815">
        <v>0</v>
      </c>
      <c r="G81" s="1815">
        <v>189284</v>
      </c>
      <c r="H81" s="1815">
        <v>21416</v>
      </c>
      <c r="I81" s="1815"/>
      <c r="J81" s="1815"/>
      <c r="K81" s="1815"/>
      <c r="L81" s="1815"/>
      <c r="M81" s="1920"/>
      <c r="N81" s="2167">
        <f>SUM(G81:L81)</f>
        <v>210700</v>
      </c>
      <c r="O81" s="3649"/>
    </row>
    <row r="82" spans="1:27" ht="12">
      <c r="A82" s="3646"/>
      <c r="B82" s="1438" t="s">
        <v>21</v>
      </c>
      <c r="C82" s="1439"/>
      <c r="D82" s="1535">
        <f>+D83+D85</f>
        <v>250000</v>
      </c>
      <c r="E82" s="1535">
        <f t="shared" ref="E82:L82" si="61">+E83+E85</f>
        <v>0</v>
      </c>
      <c r="F82" s="1535">
        <f t="shared" si="61"/>
        <v>0</v>
      </c>
      <c r="G82" s="1535">
        <f t="shared" si="61"/>
        <v>224590</v>
      </c>
      <c r="H82" s="1535">
        <f t="shared" si="61"/>
        <v>25410</v>
      </c>
      <c r="I82" s="1535">
        <f t="shared" si="61"/>
        <v>0</v>
      </c>
      <c r="J82" s="1535">
        <f t="shared" si="61"/>
        <v>0</v>
      </c>
      <c r="K82" s="1535">
        <f t="shared" si="61"/>
        <v>0</v>
      </c>
      <c r="L82" s="1535">
        <f t="shared" si="61"/>
        <v>0</v>
      </c>
      <c r="M82" s="3653"/>
      <c r="N82" s="3653"/>
      <c r="O82" s="3649"/>
    </row>
    <row r="83" spans="1:27" ht="12">
      <c r="A83" s="3646"/>
      <c r="B83" s="1351" t="s">
        <v>23</v>
      </c>
      <c r="C83" s="3658" t="s">
        <v>140</v>
      </c>
      <c r="D83" s="2168">
        <f>+D84</f>
        <v>39300</v>
      </c>
      <c r="E83" s="2168">
        <f t="shared" ref="E83:L83" si="62">+E84</f>
        <v>0</v>
      </c>
      <c r="F83" s="2168">
        <f t="shared" si="62"/>
        <v>0</v>
      </c>
      <c r="G83" s="2168">
        <f t="shared" si="62"/>
        <v>35306</v>
      </c>
      <c r="H83" s="2168">
        <f t="shared" si="62"/>
        <v>3994</v>
      </c>
      <c r="I83" s="2168">
        <f t="shared" si="62"/>
        <v>0</v>
      </c>
      <c r="J83" s="2168">
        <f t="shared" si="62"/>
        <v>0</v>
      </c>
      <c r="K83" s="2168">
        <f t="shared" si="62"/>
        <v>0</v>
      </c>
      <c r="L83" s="2168">
        <f t="shared" si="62"/>
        <v>0</v>
      </c>
      <c r="M83" s="3654"/>
      <c r="N83" s="3656"/>
      <c r="O83" s="3650"/>
    </row>
    <row r="84" spans="1:27" ht="12">
      <c r="A84" s="3646"/>
      <c r="B84" s="171" t="s">
        <v>13</v>
      </c>
      <c r="C84" s="3659"/>
      <c r="D84" s="1815">
        <f>E84+F84+G84+H84+I84+J84+K84+L84</f>
        <v>39300</v>
      </c>
      <c r="E84" s="1902">
        <v>0</v>
      </c>
      <c r="F84" s="2169">
        <v>0</v>
      </c>
      <c r="G84" s="2169">
        <v>35306</v>
      </c>
      <c r="H84" s="2169">
        <v>3994</v>
      </c>
      <c r="I84" s="2169"/>
      <c r="J84" s="2169"/>
      <c r="K84" s="2169"/>
      <c r="L84" s="2169"/>
      <c r="M84" s="3654"/>
      <c r="N84" s="3656"/>
      <c r="O84" s="3651"/>
    </row>
    <row r="85" spans="1:27" ht="12" customHeight="1">
      <c r="A85" s="3646"/>
      <c r="B85" s="1879" t="s">
        <v>18</v>
      </c>
      <c r="C85" s="3659"/>
      <c r="D85" s="2170">
        <f>+D86</f>
        <v>210700</v>
      </c>
      <c r="E85" s="2170">
        <f t="shared" ref="E85:L85" si="63">+E86</f>
        <v>0</v>
      </c>
      <c r="F85" s="2170">
        <f t="shared" si="63"/>
        <v>0</v>
      </c>
      <c r="G85" s="2170">
        <f t="shared" si="63"/>
        <v>189284</v>
      </c>
      <c r="H85" s="2170">
        <f t="shared" si="63"/>
        <v>21416</v>
      </c>
      <c r="I85" s="2170">
        <f t="shared" si="63"/>
        <v>0</v>
      </c>
      <c r="J85" s="2170">
        <f t="shared" si="63"/>
        <v>0</v>
      </c>
      <c r="K85" s="2170">
        <f t="shared" si="63"/>
        <v>0</v>
      </c>
      <c r="L85" s="2170">
        <f t="shared" si="63"/>
        <v>0</v>
      </c>
      <c r="M85" s="3654"/>
      <c r="N85" s="3656"/>
      <c r="O85" s="3651"/>
    </row>
    <row r="86" spans="1:27" ht="12.75" thickBot="1">
      <c r="A86" s="3647"/>
      <c r="B86" s="323" t="s">
        <v>20</v>
      </c>
      <c r="C86" s="3660"/>
      <c r="D86" s="1570">
        <f>E86+F86+G86+H86+I86+J86+K86+L86</f>
        <v>210700</v>
      </c>
      <c r="E86" s="2171">
        <v>0</v>
      </c>
      <c r="F86" s="2172">
        <v>0</v>
      </c>
      <c r="G86" s="2172">
        <v>189284</v>
      </c>
      <c r="H86" s="2172">
        <v>21416</v>
      </c>
      <c r="I86" s="2172"/>
      <c r="J86" s="2172"/>
      <c r="K86" s="2172"/>
      <c r="L86" s="2172"/>
      <c r="M86" s="3655"/>
      <c r="N86" s="3657"/>
      <c r="O86" s="3652"/>
    </row>
    <row r="87" spans="1:27" s="289" customFormat="1" ht="30" customHeight="1" thickBot="1">
      <c r="A87" s="186" t="s">
        <v>699</v>
      </c>
      <c r="B87" s="187"/>
      <c r="C87" s="187"/>
      <c r="D87" s="187"/>
      <c r="E87" s="1212"/>
      <c r="F87" s="187"/>
      <c r="G87" s="187"/>
      <c r="H87" s="187"/>
      <c r="I87" s="187"/>
      <c r="J87" s="187"/>
      <c r="K87" s="187"/>
      <c r="L87" s="187"/>
      <c r="M87" s="853"/>
      <c r="N87" s="853"/>
      <c r="O87" s="2807"/>
    </row>
    <row r="88" spans="1:27" s="2454" customFormat="1" ht="12.75">
      <c r="A88" s="1196"/>
      <c r="B88" s="202" t="s">
        <v>68</v>
      </c>
      <c r="C88" s="203"/>
      <c r="D88" s="2808">
        <f>D89+D90</f>
        <v>540000</v>
      </c>
      <c r="E88" s="204">
        <f t="shared" ref="E88:L88" si="64">E89+E90</f>
        <v>0</v>
      </c>
      <c r="F88" s="204">
        <f t="shared" si="64"/>
        <v>0</v>
      </c>
      <c r="G88" s="204">
        <f t="shared" si="64"/>
        <v>22500</v>
      </c>
      <c r="H88" s="204">
        <f t="shared" si="64"/>
        <v>90000</v>
      </c>
      <c r="I88" s="204">
        <f t="shared" si="64"/>
        <v>135000</v>
      </c>
      <c r="J88" s="204">
        <f t="shared" si="64"/>
        <v>135000</v>
      </c>
      <c r="K88" s="204">
        <f t="shared" si="64"/>
        <v>112500</v>
      </c>
      <c r="L88" s="204">
        <f t="shared" si="64"/>
        <v>45000</v>
      </c>
      <c r="M88" s="16">
        <f>+M90+N94</f>
        <v>0</v>
      </c>
      <c r="N88" s="2809">
        <f>N89+N90</f>
        <v>540000</v>
      </c>
      <c r="O88" s="3736"/>
      <c r="P88" s="2455"/>
    </row>
    <row r="89" spans="1:27" s="2454" customFormat="1" ht="13.5" customHeight="1" thickBot="1">
      <c r="A89" s="184"/>
      <c r="B89" s="205" t="s">
        <v>69</v>
      </c>
      <c r="C89" s="206"/>
      <c r="D89" s="2810">
        <f>D95</f>
        <v>540000</v>
      </c>
      <c r="E89" s="215">
        <f t="shared" ref="E89:L89" si="65">E95</f>
        <v>0</v>
      </c>
      <c r="F89" s="215">
        <f t="shared" si="65"/>
        <v>0</v>
      </c>
      <c r="G89" s="215">
        <f t="shared" si="65"/>
        <v>22500</v>
      </c>
      <c r="H89" s="215">
        <f t="shared" si="65"/>
        <v>90000</v>
      </c>
      <c r="I89" s="215">
        <f t="shared" si="65"/>
        <v>135000</v>
      </c>
      <c r="J89" s="215">
        <f t="shared" si="65"/>
        <v>135000</v>
      </c>
      <c r="K89" s="215">
        <f t="shared" si="65"/>
        <v>112500</v>
      </c>
      <c r="L89" s="215">
        <f t="shared" si="65"/>
        <v>45000</v>
      </c>
      <c r="M89" s="145">
        <f>SUM(F89:K89)</f>
        <v>495000</v>
      </c>
      <c r="N89" s="2401">
        <f>SUM(G89:L89)</f>
        <v>540000</v>
      </c>
      <c r="O89" s="3737"/>
    </row>
    <row r="90" spans="1:27" s="2454" customFormat="1" ht="13.5" customHeight="1" thickBot="1">
      <c r="A90" s="184"/>
      <c r="B90" s="216" t="s">
        <v>9</v>
      </c>
      <c r="C90" s="206"/>
      <c r="D90" s="215">
        <v>0</v>
      </c>
      <c r="E90" s="207">
        <v>0</v>
      </c>
      <c r="F90" s="207">
        <v>0</v>
      </c>
      <c r="G90" s="334">
        <v>0</v>
      </c>
      <c r="H90" s="334">
        <v>0</v>
      </c>
      <c r="I90" s="334">
        <v>0</v>
      </c>
      <c r="J90" s="334">
        <v>0</v>
      </c>
      <c r="K90" s="334">
        <v>0</v>
      </c>
      <c r="L90" s="334">
        <v>0</v>
      </c>
      <c r="M90" s="147">
        <f>SUM(F90:K90)</f>
        <v>0</v>
      </c>
      <c r="N90" s="1649">
        <f>SUM(G90:L90)</f>
        <v>0</v>
      </c>
      <c r="O90" s="3738"/>
    </row>
    <row r="91" spans="1:27" s="338" customFormat="1" ht="13.5" customHeight="1" thickBot="1">
      <c r="A91" s="335"/>
      <c r="B91" s="176" t="s">
        <v>10</v>
      </c>
      <c r="C91" s="177"/>
      <c r="D91" s="151">
        <f>D92</f>
        <v>540000</v>
      </c>
      <c r="E91" s="151">
        <f t="shared" ref="E91:L92" si="66">E92</f>
        <v>0</v>
      </c>
      <c r="F91" s="151">
        <f t="shared" si="66"/>
        <v>0</v>
      </c>
      <c r="G91" s="151">
        <f t="shared" si="66"/>
        <v>22500</v>
      </c>
      <c r="H91" s="151">
        <f t="shared" si="66"/>
        <v>90000</v>
      </c>
      <c r="I91" s="151">
        <f t="shared" si="66"/>
        <v>135000</v>
      </c>
      <c r="J91" s="151">
        <f t="shared" si="66"/>
        <v>135000</v>
      </c>
      <c r="K91" s="151">
        <f t="shared" si="66"/>
        <v>112500</v>
      </c>
      <c r="L91" s="151">
        <f t="shared" si="66"/>
        <v>45000</v>
      </c>
      <c r="M91" s="336">
        <f>+N94</f>
        <v>0</v>
      </c>
      <c r="N91" s="2434">
        <f>N92</f>
        <v>540000</v>
      </c>
      <c r="O91" s="3738"/>
      <c r="P91" s="337"/>
      <c r="Q91" s="337"/>
    </row>
    <row r="92" spans="1:27" s="341" customFormat="1" ht="13.5" customHeight="1">
      <c r="A92" s="190"/>
      <c r="B92" s="152" t="s">
        <v>11</v>
      </c>
      <c r="C92" s="3741" t="s">
        <v>53</v>
      </c>
      <c r="D92" s="1362">
        <f>D93</f>
        <v>540000</v>
      </c>
      <c r="E92" s="1362">
        <f t="shared" si="66"/>
        <v>0</v>
      </c>
      <c r="F92" s="1362">
        <f t="shared" si="66"/>
        <v>0</v>
      </c>
      <c r="G92" s="1362">
        <f t="shared" si="66"/>
        <v>22500</v>
      </c>
      <c r="H92" s="1362">
        <f t="shared" si="66"/>
        <v>90000</v>
      </c>
      <c r="I92" s="1362">
        <f t="shared" si="66"/>
        <v>135000</v>
      </c>
      <c r="J92" s="1362">
        <f t="shared" si="66"/>
        <v>135000</v>
      </c>
      <c r="K92" s="1362">
        <f t="shared" si="66"/>
        <v>112500</v>
      </c>
      <c r="L92" s="1362">
        <f t="shared" si="66"/>
        <v>45000</v>
      </c>
      <c r="M92" s="1363">
        <f>+N94+N95</f>
        <v>540000</v>
      </c>
      <c r="N92" s="2546">
        <f>+N93</f>
        <v>540000</v>
      </c>
      <c r="O92" s="3739"/>
      <c r="P92" s="339"/>
      <c r="Q92" s="340"/>
      <c r="R92" s="339"/>
      <c r="S92" s="339"/>
      <c r="T92" s="339"/>
      <c r="U92" s="339"/>
      <c r="V92" s="339"/>
      <c r="W92" s="339"/>
      <c r="X92" s="339"/>
      <c r="Y92" s="339"/>
      <c r="Z92" s="339"/>
      <c r="AA92" s="339"/>
    </row>
    <row r="93" spans="1:27" s="303" customFormat="1" ht="13.5" thickBot="1">
      <c r="A93" s="2811"/>
      <c r="B93" s="155" t="s">
        <v>12</v>
      </c>
      <c r="C93" s="3742"/>
      <c r="D93" s="1364">
        <f>D97</f>
        <v>540000</v>
      </c>
      <c r="E93" s="1364">
        <f t="shared" ref="E93:L93" si="67">E97</f>
        <v>0</v>
      </c>
      <c r="F93" s="1364">
        <f t="shared" si="67"/>
        <v>0</v>
      </c>
      <c r="G93" s="1364">
        <f t="shared" si="67"/>
        <v>22500</v>
      </c>
      <c r="H93" s="1364">
        <f t="shared" si="67"/>
        <v>90000</v>
      </c>
      <c r="I93" s="1364">
        <f t="shared" si="67"/>
        <v>135000</v>
      </c>
      <c r="J93" s="1364">
        <f t="shared" si="67"/>
        <v>135000</v>
      </c>
      <c r="K93" s="1364">
        <f t="shared" si="67"/>
        <v>112500</v>
      </c>
      <c r="L93" s="1364">
        <f t="shared" si="67"/>
        <v>45000</v>
      </c>
      <c r="M93" s="1365">
        <f>SUM(F93:L93)</f>
        <v>540000</v>
      </c>
      <c r="N93" s="2812">
        <f>SUM(G93:L93)</f>
        <v>540000</v>
      </c>
      <c r="O93" s="3740"/>
      <c r="P93" s="2455"/>
    </row>
    <row r="94" spans="1:27" ht="36.75" thickBot="1">
      <c r="A94" s="3732" t="s">
        <v>55</v>
      </c>
      <c r="B94" s="343" t="s">
        <v>701</v>
      </c>
      <c r="C94" s="344" t="s">
        <v>101</v>
      </c>
      <c r="D94" s="351"/>
      <c r="E94" s="350"/>
      <c r="F94" s="350"/>
      <c r="G94" s="350"/>
      <c r="H94" s="350"/>
      <c r="I94" s="350"/>
      <c r="J94" s="350"/>
      <c r="K94" s="350"/>
      <c r="L94" s="1201"/>
      <c r="M94" s="327"/>
      <c r="N94" s="327"/>
      <c r="O94" s="3733" t="s">
        <v>164</v>
      </c>
      <c r="P94" s="2096"/>
    </row>
    <row r="95" spans="1:27" ht="12.75" thickBot="1">
      <c r="A95" s="3732"/>
      <c r="B95" s="80" t="s">
        <v>10</v>
      </c>
      <c r="C95" s="1236"/>
      <c r="D95" s="1247">
        <f>+D96</f>
        <v>540000</v>
      </c>
      <c r="E95" s="1247">
        <f t="shared" ref="E95:N96" si="68">+E96</f>
        <v>0</v>
      </c>
      <c r="F95" s="1247">
        <f t="shared" si="68"/>
        <v>0</v>
      </c>
      <c r="G95" s="1247">
        <f t="shared" si="68"/>
        <v>22500</v>
      </c>
      <c r="H95" s="1247">
        <f t="shared" si="68"/>
        <v>90000</v>
      </c>
      <c r="I95" s="1247">
        <f t="shared" si="68"/>
        <v>135000</v>
      </c>
      <c r="J95" s="1247">
        <f t="shared" si="68"/>
        <v>135000</v>
      </c>
      <c r="K95" s="1247">
        <f t="shared" si="68"/>
        <v>112500</v>
      </c>
      <c r="L95" s="1247">
        <f t="shared" si="68"/>
        <v>45000</v>
      </c>
      <c r="M95" s="1908">
        <f t="shared" si="68"/>
        <v>540000</v>
      </c>
      <c r="N95" s="2813">
        <f t="shared" si="68"/>
        <v>540000</v>
      </c>
      <c r="O95" s="3733"/>
      <c r="P95" s="2096"/>
    </row>
    <row r="96" spans="1:27" ht="12" customHeight="1" thickBot="1">
      <c r="A96" s="3732"/>
      <c r="B96" s="508" t="s">
        <v>23</v>
      </c>
      <c r="C96" s="3743" t="s">
        <v>700</v>
      </c>
      <c r="D96" s="1367">
        <f>+D97</f>
        <v>540000</v>
      </c>
      <c r="E96" s="1909">
        <f t="shared" si="68"/>
        <v>0</v>
      </c>
      <c r="F96" s="1910">
        <f t="shared" si="68"/>
        <v>0</v>
      </c>
      <c r="G96" s="1255">
        <f t="shared" si="68"/>
        <v>22500</v>
      </c>
      <c r="H96" s="1255">
        <f t="shared" si="68"/>
        <v>90000</v>
      </c>
      <c r="I96" s="1255">
        <f t="shared" si="68"/>
        <v>135000</v>
      </c>
      <c r="J96" s="1255">
        <f t="shared" si="68"/>
        <v>135000</v>
      </c>
      <c r="K96" s="1255">
        <f t="shared" si="68"/>
        <v>112500</v>
      </c>
      <c r="L96" s="1255">
        <f t="shared" si="68"/>
        <v>45000</v>
      </c>
      <c r="M96" s="1911">
        <f t="shared" si="68"/>
        <v>540000</v>
      </c>
      <c r="N96" s="2814">
        <f t="shared" si="68"/>
        <v>540000</v>
      </c>
      <c r="O96" s="3734"/>
      <c r="P96" s="2096"/>
    </row>
    <row r="97" spans="1:109" ht="12.75" thickBot="1">
      <c r="A97" s="3732"/>
      <c r="B97" s="1141" t="s">
        <v>12</v>
      </c>
      <c r="C97" s="3744"/>
      <c r="D97" s="766">
        <f>E97+F97+G97+H97+I97+J97+K97+L97</f>
        <v>540000</v>
      </c>
      <c r="E97" s="1912">
        <v>0</v>
      </c>
      <c r="F97" s="1913">
        <v>0</v>
      </c>
      <c r="G97" s="1914">
        <v>22500</v>
      </c>
      <c r="H97" s="1914">
        <v>90000</v>
      </c>
      <c r="I97" s="1914">
        <v>135000</v>
      </c>
      <c r="J97" s="1914">
        <v>135000</v>
      </c>
      <c r="K97" s="1914">
        <v>112500</v>
      </c>
      <c r="L97" s="1914">
        <v>45000</v>
      </c>
      <c r="M97" s="1329">
        <f>SUM(F97:L97)</f>
        <v>540000</v>
      </c>
      <c r="N97" s="2552">
        <f>SUM(G97:L97)</f>
        <v>540000</v>
      </c>
      <c r="O97" s="3735"/>
      <c r="P97" s="2096"/>
    </row>
    <row r="98" spans="1:109" ht="9" customHeight="1">
      <c r="A98" s="2815"/>
      <c r="B98" s="1442"/>
      <c r="C98" s="1443"/>
      <c r="D98" s="1444"/>
      <c r="E98" s="1445"/>
      <c r="F98" s="1445"/>
      <c r="G98" s="1445"/>
      <c r="H98" s="1445"/>
      <c r="I98" s="1446"/>
      <c r="J98" s="1446"/>
      <c r="K98" s="1446"/>
      <c r="L98" s="1446"/>
      <c r="M98" s="1447"/>
      <c r="N98" s="1447"/>
      <c r="O98" s="2567"/>
    </row>
    <row r="99" spans="1:109" s="1450" customFormat="1" ht="26.25" hidden="1" customHeight="1" thickBot="1">
      <c r="A99" s="3672" t="s">
        <v>127</v>
      </c>
      <c r="B99" s="3672"/>
      <c r="C99" s="3672"/>
      <c r="D99" s="3672"/>
      <c r="E99" s="3672"/>
      <c r="F99" s="3672"/>
      <c r="G99" s="3672"/>
      <c r="H99" s="3672"/>
      <c r="I99" s="3672"/>
      <c r="J99" s="3672"/>
      <c r="K99" s="3672"/>
      <c r="L99" s="3672"/>
      <c r="M99" s="1448"/>
      <c r="N99" s="2542"/>
      <c r="O99" s="2568"/>
      <c r="P99" s="1449"/>
      <c r="Q99" s="1449"/>
      <c r="R99" s="1449"/>
      <c r="S99" s="1449"/>
      <c r="T99" s="1449"/>
      <c r="U99" s="1449"/>
      <c r="V99" s="1449"/>
      <c r="W99" s="1449"/>
      <c r="X99" s="1449"/>
      <c r="Y99" s="1449"/>
      <c r="Z99" s="1449"/>
      <c r="AA99" s="1449"/>
      <c r="AB99" s="1449"/>
      <c r="AC99" s="1449"/>
      <c r="AD99" s="1449"/>
      <c r="AE99" s="1449"/>
      <c r="AF99" s="1449"/>
      <c r="AG99" s="1449"/>
      <c r="AH99" s="1449"/>
      <c r="AI99" s="1449"/>
      <c r="AJ99" s="1449"/>
      <c r="AK99" s="1449"/>
      <c r="AL99" s="1449"/>
      <c r="AM99" s="1449"/>
      <c r="AN99" s="1449"/>
      <c r="AO99" s="1449"/>
      <c r="AP99" s="1449"/>
      <c r="AQ99" s="1449"/>
      <c r="AR99" s="1449"/>
      <c r="AS99" s="1449"/>
      <c r="AT99" s="1449"/>
      <c r="AU99" s="1449"/>
      <c r="AV99" s="1449"/>
      <c r="AW99" s="1449"/>
      <c r="AX99" s="1449"/>
      <c r="AY99" s="1449"/>
      <c r="AZ99" s="1449"/>
      <c r="BA99" s="1449"/>
      <c r="BB99" s="1449"/>
      <c r="BC99" s="1449"/>
      <c r="BD99" s="1449"/>
      <c r="BE99" s="1449"/>
      <c r="BF99" s="1449"/>
      <c r="BG99" s="1449"/>
      <c r="BH99" s="1449"/>
      <c r="BI99" s="1449"/>
      <c r="BJ99" s="1449"/>
      <c r="BK99" s="1449"/>
      <c r="BL99" s="1449"/>
      <c r="BM99" s="1449"/>
      <c r="BN99" s="1449"/>
      <c r="BO99" s="1449"/>
      <c r="BP99" s="1449"/>
      <c r="BQ99" s="1449"/>
      <c r="BR99" s="1449"/>
      <c r="BS99" s="1449"/>
      <c r="BT99" s="1449"/>
      <c r="BU99" s="1449"/>
      <c r="BV99" s="1449"/>
      <c r="BW99" s="1449"/>
      <c r="BX99" s="1449"/>
      <c r="BY99" s="1449"/>
      <c r="BZ99" s="1449"/>
      <c r="CA99" s="1449"/>
      <c r="CB99" s="1449"/>
      <c r="CC99" s="1449"/>
      <c r="CD99" s="1449"/>
      <c r="CE99" s="1449"/>
      <c r="CF99" s="1449"/>
      <c r="CG99" s="1449"/>
      <c r="CH99" s="1449"/>
      <c r="CI99" s="1449"/>
      <c r="CJ99" s="1449"/>
      <c r="CK99" s="1449"/>
      <c r="CL99" s="1449"/>
      <c r="CM99" s="1449"/>
      <c r="CN99" s="1449"/>
      <c r="CO99" s="1449"/>
      <c r="CP99" s="1449"/>
      <c r="CQ99" s="1449"/>
      <c r="CR99" s="1449"/>
      <c r="CS99" s="1449"/>
      <c r="CT99" s="1449"/>
      <c r="CU99" s="1449"/>
      <c r="CV99" s="1449"/>
      <c r="CW99" s="1449"/>
      <c r="CX99" s="1449"/>
      <c r="CY99" s="1449"/>
      <c r="CZ99" s="1449"/>
      <c r="DA99" s="1449"/>
      <c r="DB99" s="1449"/>
      <c r="DC99" s="1449"/>
      <c r="DD99" s="1449"/>
      <c r="DE99" s="1449"/>
    </row>
    <row r="100" spans="1:109" s="2960" customFormat="1" ht="14.25" hidden="1" customHeight="1">
      <c r="A100" s="2381"/>
      <c r="B100" s="2503" t="s">
        <v>68</v>
      </c>
      <c r="C100" s="2394"/>
      <c r="D100" s="2513">
        <f>+D101+D102</f>
        <v>0</v>
      </c>
      <c r="E100" s="2513">
        <f t="shared" ref="E100:L100" si="69">+E101+E102</f>
        <v>0</v>
      </c>
      <c r="F100" s="2513">
        <f t="shared" si="69"/>
        <v>0</v>
      </c>
      <c r="G100" s="2513">
        <f t="shared" si="69"/>
        <v>0</v>
      </c>
      <c r="H100" s="2513">
        <f t="shared" si="69"/>
        <v>0</v>
      </c>
      <c r="I100" s="2513">
        <f t="shared" si="69"/>
        <v>0</v>
      </c>
      <c r="J100" s="2513">
        <f t="shared" si="69"/>
        <v>0</v>
      </c>
      <c r="K100" s="2513">
        <f t="shared" si="69"/>
        <v>0</v>
      </c>
      <c r="L100" s="2513">
        <f t="shared" si="69"/>
        <v>0</v>
      </c>
      <c r="M100" s="1395">
        <f>+M101+M102</f>
        <v>0</v>
      </c>
      <c r="N100" s="2543">
        <f>+N101+N102</f>
        <v>0</v>
      </c>
      <c r="O100" s="3727"/>
    </row>
    <row r="101" spans="1:109" s="2960" customFormat="1" ht="13.5" hidden="1" customHeight="1">
      <c r="A101" s="2381"/>
      <c r="B101" s="2498" t="s">
        <v>69</v>
      </c>
      <c r="C101" s="2394"/>
      <c r="D101" s="2508">
        <v>0</v>
      </c>
      <c r="E101" s="2508">
        <v>0</v>
      </c>
      <c r="F101" s="2508">
        <v>0</v>
      </c>
      <c r="G101" s="2508">
        <v>0</v>
      </c>
      <c r="H101" s="2508">
        <v>0</v>
      </c>
      <c r="I101" s="2508">
        <v>0</v>
      </c>
      <c r="J101" s="2508">
        <v>0</v>
      </c>
      <c r="K101" s="2508">
        <v>0</v>
      </c>
      <c r="L101" s="2508">
        <v>0</v>
      </c>
      <c r="M101" s="2494">
        <f>SUM(E101:G101)</f>
        <v>0</v>
      </c>
      <c r="N101" s="2429">
        <f>SUM(F101:H101)</f>
        <v>0</v>
      </c>
      <c r="O101" s="3728"/>
    </row>
    <row r="102" spans="1:109" s="2960" customFormat="1" ht="13.5" hidden="1" customHeight="1" thickBot="1">
      <c r="A102" s="1412"/>
      <c r="B102" s="2439" t="s">
        <v>9</v>
      </c>
      <c r="C102" s="2440"/>
      <c r="D102" s="2441">
        <f>+D119+D123+D128+D140</f>
        <v>0</v>
      </c>
      <c r="E102" s="2441">
        <f t="shared" ref="E102:F102" si="70">+E119+E123+E128+E140</f>
        <v>0</v>
      </c>
      <c r="F102" s="2441">
        <f t="shared" si="70"/>
        <v>0</v>
      </c>
      <c r="G102" s="2441">
        <f t="shared" ref="G102:L102" si="71">+G119+G123+G128+G140</f>
        <v>0</v>
      </c>
      <c r="H102" s="2441">
        <f t="shared" si="71"/>
        <v>0</v>
      </c>
      <c r="I102" s="2441">
        <f t="shared" si="71"/>
        <v>0</v>
      </c>
      <c r="J102" s="2441">
        <f t="shared" si="71"/>
        <v>0</v>
      </c>
      <c r="K102" s="2441">
        <f t="shared" si="71"/>
        <v>0</v>
      </c>
      <c r="L102" s="2441">
        <f t="shared" si="71"/>
        <v>0</v>
      </c>
      <c r="M102" s="1399">
        <f>SUM(E102:G102)</f>
        <v>0</v>
      </c>
      <c r="N102" s="2442">
        <f>SUM(F102:H102)</f>
        <v>0</v>
      </c>
      <c r="O102" s="3729"/>
    </row>
    <row r="103" spans="1:109" s="1450" customFormat="1" ht="13.5" hidden="1" customHeight="1">
      <c r="A103" s="2466"/>
      <c r="B103" s="2467" t="s">
        <v>10</v>
      </c>
      <c r="C103" s="2467"/>
      <c r="D103" s="2468">
        <f>D104+D108</f>
        <v>0</v>
      </c>
      <c r="E103" s="2468">
        <f>+E104+E108</f>
        <v>0</v>
      </c>
      <c r="F103" s="2468">
        <f t="shared" ref="F103:L103" si="72">+F104+F108</f>
        <v>0</v>
      </c>
      <c r="G103" s="2468">
        <f t="shared" si="72"/>
        <v>0</v>
      </c>
      <c r="H103" s="2468">
        <f t="shared" si="72"/>
        <v>0</v>
      </c>
      <c r="I103" s="2468">
        <f t="shared" si="72"/>
        <v>0</v>
      </c>
      <c r="J103" s="2468">
        <f t="shared" si="72"/>
        <v>0</v>
      </c>
      <c r="K103" s="2468">
        <f t="shared" si="72"/>
        <v>0</v>
      </c>
      <c r="L103" s="2468">
        <f t="shared" si="72"/>
        <v>0</v>
      </c>
      <c r="M103" s="2469" t="e">
        <f>+M104</f>
        <v>#REF!</v>
      </c>
      <c r="N103" s="2469" t="e">
        <f>+N104</f>
        <v>#REF!</v>
      </c>
      <c r="O103" s="3730"/>
      <c r="P103" s="1449"/>
      <c r="Q103" s="1449"/>
      <c r="R103" s="1449"/>
      <c r="S103" s="1449"/>
      <c r="T103" s="1449"/>
      <c r="U103" s="1449"/>
      <c r="V103" s="1449"/>
      <c r="W103" s="1449"/>
      <c r="X103" s="1449"/>
      <c r="Y103" s="1449"/>
      <c r="Z103" s="1449"/>
      <c r="AA103" s="1449"/>
      <c r="AB103" s="1449"/>
      <c r="AC103" s="1449"/>
      <c r="AD103" s="1449"/>
      <c r="AE103" s="1449"/>
      <c r="AF103" s="1449"/>
      <c r="AG103" s="1449"/>
      <c r="AH103" s="1449"/>
      <c r="AI103" s="1449"/>
      <c r="AJ103" s="1449"/>
      <c r="AK103" s="1449"/>
      <c r="AL103" s="1449"/>
      <c r="AM103" s="1449"/>
      <c r="AN103" s="1449"/>
      <c r="AO103" s="1449"/>
      <c r="AP103" s="1449"/>
      <c r="AQ103" s="1449"/>
      <c r="AR103" s="1449"/>
      <c r="AS103" s="1449"/>
      <c r="AT103" s="1449"/>
      <c r="AU103" s="1449"/>
      <c r="AV103" s="1449"/>
      <c r="AW103" s="1449"/>
      <c r="AX103" s="1449"/>
      <c r="AY103" s="1449"/>
      <c r="AZ103" s="1449"/>
      <c r="BA103" s="1449"/>
      <c r="BB103" s="1449"/>
      <c r="BC103" s="1449"/>
      <c r="BD103" s="1449"/>
      <c r="BE103" s="1449"/>
      <c r="BF103" s="1449"/>
      <c r="BG103" s="1449"/>
      <c r="BH103" s="1449"/>
      <c r="BI103" s="1449"/>
      <c r="BJ103" s="1449"/>
      <c r="BK103" s="1449"/>
      <c r="BL103" s="1449"/>
      <c r="BM103" s="1449"/>
      <c r="BN103" s="1449"/>
      <c r="BO103" s="1449"/>
      <c r="BP103" s="1449"/>
      <c r="BQ103" s="1449"/>
      <c r="BR103" s="1449"/>
      <c r="BS103" s="1449"/>
      <c r="BT103" s="1449"/>
      <c r="BU103" s="1449"/>
      <c r="BV103" s="1449"/>
      <c r="BW103" s="1449"/>
      <c r="BX103" s="1449"/>
      <c r="BY103" s="1449"/>
      <c r="BZ103" s="1449"/>
      <c r="CA103" s="1449"/>
      <c r="CB103" s="1449"/>
      <c r="CC103" s="1449"/>
      <c r="CD103" s="1449"/>
      <c r="CE103" s="1449"/>
      <c r="CF103" s="1449"/>
      <c r="CG103" s="1449"/>
      <c r="CH103" s="1449"/>
      <c r="CI103" s="1449"/>
      <c r="CJ103" s="1449"/>
      <c r="CK103" s="1449"/>
      <c r="CL103" s="1449"/>
      <c r="CM103" s="1449"/>
      <c r="CN103" s="1449"/>
      <c r="CO103" s="1449"/>
      <c r="CP103" s="1449"/>
      <c r="CQ103" s="1449"/>
      <c r="CR103" s="1449"/>
      <c r="CS103" s="1449"/>
      <c r="CT103" s="1449"/>
      <c r="CU103" s="1449"/>
      <c r="CV103" s="1449"/>
      <c r="CW103" s="1449"/>
      <c r="CX103" s="1449"/>
      <c r="CY103" s="1449"/>
      <c r="CZ103" s="1449"/>
      <c r="DA103" s="1449"/>
      <c r="DB103" s="1449"/>
      <c r="DC103" s="1449"/>
      <c r="DD103" s="1449"/>
      <c r="DE103" s="1449"/>
    </row>
    <row r="104" spans="1:109" s="1450" customFormat="1" ht="13.5" hidden="1" customHeight="1">
      <c r="A104" s="2466"/>
      <c r="B104" s="2470" t="s">
        <v>11</v>
      </c>
      <c r="C104" s="2471"/>
      <c r="D104" s="2471">
        <f>+D105+D106+D107</f>
        <v>0</v>
      </c>
      <c r="E104" s="2471">
        <f t="shared" ref="E104:L104" si="73">+E105+E106+E107</f>
        <v>0</v>
      </c>
      <c r="F104" s="2471">
        <f t="shared" si="73"/>
        <v>0</v>
      </c>
      <c r="G104" s="2471">
        <f t="shared" si="73"/>
        <v>0</v>
      </c>
      <c r="H104" s="2471">
        <f t="shared" si="73"/>
        <v>0</v>
      </c>
      <c r="I104" s="2471">
        <f t="shared" si="73"/>
        <v>0</v>
      </c>
      <c r="J104" s="2471">
        <f t="shared" si="73"/>
        <v>0</v>
      </c>
      <c r="K104" s="2471">
        <f t="shared" si="73"/>
        <v>0</v>
      </c>
      <c r="L104" s="2471">
        <f t="shared" si="73"/>
        <v>0</v>
      </c>
      <c r="M104" s="2472" t="e">
        <f>+M107+M106</f>
        <v>#REF!</v>
      </c>
      <c r="N104" s="2472" t="e">
        <f>+N107+N106</f>
        <v>#REF!</v>
      </c>
      <c r="O104" s="3730"/>
      <c r="P104" s="1449"/>
      <c r="Q104" s="1449"/>
      <c r="R104" s="1449"/>
      <c r="S104" s="1449"/>
      <c r="T104" s="1449"/>
      <c r="U104" s="1449"/>
      <c r="V104" s="1449"/>
      <c r="W104" s="1449"/>
      <c r="X104" s="1449"/>
      <c r="Y104" s="1449"/>
      <c r="Z104" s="1449"/>
      <c r="AA104" s="1449"/>
      <c r="AB104" s="1449"/>
      <c r="AC104" s="1449"/>
      <c r="AD104" s="1449"/>
      <c r="AE104" s="1449"/>
      <c r="AF104" s="1449"/>
      <c r="AG104" s="1449"/>
      <c r="AH104" s="1449"/>
      <c r="AI104" s="1449"/>
      <c r="AJ104" s="1449"/>
      <c r="AK104" s="1449"/>
      <c r="AL104" s="1449"/>
      <c r="AM104" s="1449"/>
      <c r="AN104" s="1449"/>
      <c r="AO104" s="1449"/>
      <c r="AP104" s="1449"/>
      <c r="AQ104" s="1449"/>
      <c r="AR104" s="1449"/>
      <c r="AS104" s="1449"/>
      <c r="AT104" s="1449"/>
      <c r="AU104" s="1449"/>
      <c r="AV104" s="1449"/>
      <c r="AW104" s="1449"/>
      <c r="AX104" s="1449"/>
      <c r="AY104" s="1449"/>
      <c r="AZ104" s="1449"/>
      <c r="BA104" s="1449"/>
      <c r="BB104" s="1449"/>
      <c r="BC104" s="1449"/>
      <c r="BD104" s="1449"/>
      <c r="BE104" s="1449"/>
      <c r="BF104" s="1449"/>
      <c r="BG104" s="1449"/>
      <c r="BH104" s="1449"/>
      <c r="BI104" s="1449"/>
      <c r="BJ104" s="1449"/>
      <c r="BK104" s="1449"/>
      <c r="BL104" s="1449"/>
      <c r="BM104" s="1449"/>
      <c r="BN104" s="1449"/>
      <c r="BO104" s="1449"/>
      <c r="BP104" s="1449"/>
      <c r="BQ104" s="1449"/>
      <c r="BR104" s="1449"/>
      <c r="BS104" s="1449"/>
      <c r="BT104" s="1449"/>
      <c r="BU104" s="1449"/>
      <c r="BV104" s="1449"/>
      <c r="BW104" s="1449"/>
      <c r="BX104" s="1449"/>
      <c r="BY104" s="1449"/>
      <c r="BZ104" s="1449"/>
      <c r="CA104" s="1449"/>
      <c r="CB104" s="1449"/>
      <c r="CC104" s="1449"/>
      <c r="CD104" s="1449"/>
      <c r="CE104" s="1449"/>
      <c r="CF104" s="1449"/>
      <c r="CG104" s="1449"/>
      <c r="CH104" s="1449"/>
      <c r="CI104" s="1449"/>
      <c r="CJ104" s="1449"/>
      <c r="CK104" s="1449"/>
      <c r="CL104" s="1449"/>
      <c r="CM104" s="1449"/>
      <c r="CN104" s="1449"/>
      <c r="CO104" s="1449"/>
      <c r="CP104" s="1449"/>
      <c r="CQ104" s="1449"/>
      <c r="CR104" s="1449"/>
      <c r="CS104" s="1449"/>
      <c r="CT104" s="1449"/>
      <c r="CU104" s="1449"/>
      <c r="CV104" s="1449"/>
      <c r="CW104" s="1449"/>
      <c r="CX104" s="1449"/>
      <c r="CY104" s="1449"/>
      <c r="CZ104" s="1449"/>
      <c r="DA104" s="1449"/>
      <c r="DB104" s="1449"/>
      <c r="DC104" s="1449"/>
      <c r="DD104" s="1449"/>
      <c r="DE104" s="1449"/>
    </row>
    <row r="105" spans="1:109" s="1450" customFormat="1" ht="13.5" hidden="1" customHeight="1">
      <c r="A105" s="2466"/>
      <c r="B105" s="2532" t="s">
        <v>128</v>
      </c>
      <c r="C105" s="2532"/>
      <c r="D105" s="2532">
        <f>+D127</f>
        <v>0</v>
      </c>
      <c r="E105" s="2532">
        <f t="shared" ref="E105:F105" si="74">+E127</f>
        <v>0</v>
      </c>
      <c r="F105" s="2532">
        <f t="shared" si="74"/>
        <v>0</v>
      </c>
      <c r="G105" s="2532">
        <v>0</v>
      </c>
      <c r="H105" s="2532">
        <v>0</v>
      </c>
      <c r="I105" s="2532">
        <v>0</v>
      </c>
      <c r="J105" s="2532">
        <v>0</v>
      </c>
      <c r="K105" s="2532">
        <v>0</v>
      </c>
      <c r="L105" s="2532">
        <v>0</v>
      </c>
      <c r="M105" s="2533" t="s">
        <v>53</v>
      </c>
      <c r="N105" s="2533" t="s">
        <v>53</v>
      </c>
      <c r="O105" s="3730"/>
      <c r="P105" s="1449"/>
      <c r="Q105" s="1449"/>
      <c r="R105" s="1449"/>
      <c r="S105" s="1449"/>
      <c r="T105" s="1449"/>
      <c r="U105" s="1449"/>
      <c r="V105" s="1449"/>
      <c r="W105" s="1449"/>
      <c r="X105" s="1449"/>
      <c r="Y105" s="1449"/>
      <c r="Z105" s="1449"/>
      <c r="AA105" s="1449"/>
      <c r="AB105" s="1449"/>
      <c r="AC105" s="1449"/>
      <c r="AD105" s="1449"/>
      <c r="AE105" s="1449"/>
      <c r="AF105" s="1449"/>
      <c r="AG105" s="1449"/>
      <c r="AH105" s="1449"/>
      <c r="AI105" s="1449"/>
      <c r="AJ105" s="1449"/>
      <c r="AK105" s="1449"/>
      <c r="AL105" s="1449"/>
      <c r="AM105" s="1449"/>
      <c r="AN105" s="1449"/>
      <c r="AO105" s="1449"/>
      <c r="AP105" s="1449"/>
      <c r="AQ105" s="1449"/>
      <c r="AR105" s="1449"/>
      <c r="AS105" s="1449"/>
      <c r="AT105" s="1449"/>
      <c r="AU105" s="1449"/>
      <c r="AV105" s="1449"/>
      <c r="AW105" s="1449"/>
      <c r="AX105" s="1449"/>
      <c r="AY105" s="1449"/>
      <c r="AZ105" s="1449"/>
      <c r="BA105" s="1449"/>
      <c r="BB105" s="1449"/>
      <c r="BC105" s="1449"/>
      <c r="BD105" s="1449"/>
      <c r="BE105" s="1449"/>
      <c r="BF105" s="1449"/>
      <c r="BG105" s="1449"/>
      <c r="BH105" s="1449"/>
      <c r="BI105" s="1449"/>
      <c r="BJ105" s="1449"/>
      <c r="BK105" s="1449"/>
      <c r="BL105" s="1449"/>
      <c r="BM105" s="1449"/>
      <c r="BN105" s="1449"/>
      <c r="BO105" s="1449"/>
      <c r="BP105" s="1449"/>
      <c r="BQ105" s="1449"/>
      <c r="BR105" s="1449"/>
      <c r="BS105" s="1449"/>
      <c r="BT105" s="1449"/>
      <c r="BU105" s="1449"/>
      <c r="BV105" s="1449"/>
      <c r="BW105" s="1449"/>
      <c r="BX105" s="1449"/>
      <c r="BY105" s="1449"/>
      <c r="BZ105" s="1449"/>
      <c r="CA105" s="1449"/>
      <c r="CB105" s="1449"/>
      <c r="CC105" s="1449"/>
      <c r="CD105" s="1449"/>
      <c r="CE105" s="1449"/>
      <c r="CF105" s="1449"/>
      <c r="CG105" s="1449"/>
      <c r="CH105" s="1449"/>
      <c r="CI105" s="1449"/>
      <c r="CJ105" s="1449"/>
      <c r="CK105" s="1449"/>
      <c r="CL105" s="1449"/>
      <c r="CM105" s="1449"/>
      <c r="CN105" s="1449"/>
      <c r="CO105" s="1449"/>
      <c r="CP105" s="1449"/>
      <c r="CQ105" s="1449"/>
      <c r="CR105" s="1449"/>
      <c r="CS105" s="1449"/>
      <c r="CT105" s="1449"/>
      <c r="CU105" s="1449"/>
      <c r="CV105" s="1449"/>
      <c r="CW105" s="1449"/>
      <c r="CX105" s="1449"/>
      <c r="CY105" s="1449"/>
      <c r="CZ105" s="1449"/>
      <c r="DA105" s="1449"/>
      <c r="DB105" s="1449"/>
      <c r="DC105" s="1449"/>
      <c r="DD105" s="1449"/>
      <c r="DE105" s="1449"/>
    </row>
    <row r="106" spans="1:109" s="1450" customFormat="1" ht="13.5" hidden="1" customHeight="1">
      <c r="A106" s="2428"/>
      <c r="B106" s="2451" t="s">
        <v>129</v>
      </c>
      <c r="C106" s="2452"/>
      <c r="D106" s="2452">
        <f>+D128+D140</f>
        <v>0</v>
      </c>
      <c r="E106" s="2452">
        <f t="shared" ref="E106:I106" si="75">+E128+E140</f>
        <v>0</v>
      </c>
      <c r="F106" s="2452">
        <f t="shared" si="75"/>
        <v>0</v>
      </c>
      <c r="G106" s="2452">
        <f t="shared" si="75"/>
        <v>0</v>
      </c>
      <c r="H106" s="2452">
        <f t="shared" si="75"/>
        <v>0</v>
      </c>
      <c r="I106" s="2452">
        <f t="shared" si="75"/>
        <v>0</v>
      </c>
      <c r="J106" s="2452">
        <v>0</v>
      </c>
      <c r="K106" s="2452">
        <v>0</v>
      </c>
      <c r="L106" s="2452">
        <v>0</v>
      </c>
      <c r="M106" s="2519" t="e">
        <f>+H106+G106+F106+E106+#REF!</f>
        <v>#REF!</v>
      </c>
      <c r="N106" s="2520" t="e">
        <f>+I106+H106+G106+F106+#REF!</f>
        <v>#REF!</v>
      </c>
      <c r="O106" s="3728"/>
      <c r="P106" s="1449"/>
      <c r="Q106" s="1449"/>
      <c r="R106" s="1449"/>
      <c r="S106" s="1449"/>
      <c r="T106" s="1449"/>
      <c r="U106" s="1449"/>
      <c r="V106" s="1449"/>
      <c r="W106" s="1449"/>
      <c r="X106" s="1449"/>
      <c r="Y106" s="1449"/>
      <c r="Z106" s="1449"/>
      <c r="AA106" s="1449"/>
      <c r="AB106" s="1449"/>
      <c r="AC106" s="1449"/>
      <c r="AD106" s="1449"/>
      <c r="AE106" s="1449"/>
      <c r="AF106" s="1449"/>
      <c r="AG106" s="1449"/>
      <c r="AH106" s="1449"/>
      <c r="AI106" s="1449"/>
      <c r="AJ106" s="1449"/>
      <c r="AK106" s="1449"/>
      <c r="AL106" s="1449"/>
      <c r="AM106" s="1449"/>
      <c r="AN106" s="1449"/>
      <c r="AO106" s="1449"/>
      <c r="AP106" s="1449"/>
      <c r="AQ106" s="1449"/>
      <c r="AR106" s="1449"/>
      <c r="AS106" s="1449"/>
      <c r="AT106" s="1449"/>
      <c r="AU106" s="1449"/>
      <c r="AV106" s="1449"/>
      <c r="AW106" s="1449"/>
      <c r="AX106" s="1449"/>
      <c r="AY106" s="1449"/>
      <c r="AZ106" s="1449"/>
      <c r="BA106" s="1449"/>
      <c r="BB106" s="1449"/>
      <c r="BC106" s="1449"/>
      <c r="BD106" s="1449"/>
      <c r="BE106" s="1449"/>
      <c r="BF106" s="1449"/>
      <c r="BG106" s="1449"/>
      <c r="BH106" s="1449"/>
      <c r="BI106" s="1449"/>
      <c r="BJ106" s="1449"/>
      <c r="BK106" s="1449"/>
      <c r="BL106" s="1449"/>
      <c r="BM106" s="1449"/>
      <c r="BN106" s="1449"/>
      <c r="BO106" s="1449"/>
      <c r="BP106" s="1449"/>
      <c r="BQ106" s="1449"/>
      <c r="BR106" s="1449"/>
      <c r="BS106" s="1449"/>
      <c r="BT106" s="1449"/>
      <c r="BU106" s="1449"/>
      <c r="BV106" s="1449"/>
      <c r="BW106" s="1449"/>
      <c r="BX106" s="1449"/>
      <c r="BY106" s="1449"/>
      <c r="BZ106" s="1449"/>
      <c r="CA106" s="1449"/>
      <c r="CB106" s="1449"/>
      <c r="CC106" s="1449"/>
      <c r="CD106" s="1449"/>
      <c r="CE106" s="1449"/>
      <c r="CF106" s="1449"/>
      <c r="CG106" s="1449"/>
      <c r="CH106" s="1449"/>
      <c r="CI106" s="1449"/>
      <c r="CJ106" s="1449"/>
      <c r="CK106" s="1449"/>
      <c r="CL106" s="1449"/>
      <c r="CM106" s="1449"/>
      <c r="CN106" s="1449"/>
      <c r="CO106" s="1449"/>
      <c r="CP106" s="1449"/>
      <c r="CQ106" s="1449"/>
      <c r="CR106" s="1449"/>
      <c r="CS106" s="1449"/>
      <c r="CT106" s="1449"/>
      <c r="CU106" s="1449"/>
      <c r="CV106" s="1449"/>
      <c r="CW106" s="1449"/>
      <c r="CX106" s="1449"/>
      <c r="CY106" s="1449"/>
      <c r="CZ106" s="1449"/>
      <c r="DA106" s="1449"/>
      <c r="DB106" s="1449"/>
      <c r="DC106" s="1449"/>
      <c r="DD106" s="1449"/>
      <c r="DE106" s="1449"/>
    </row>
    <row r="107" spans="1:109" s="1459" customFormat="1" ht="13.5" hidden="1" customHeight="1">
      <c r="A107" s="2382"/>
      <c r="B107" s="1455" t="s">
        <v>12</v>
      </c>
      <c r="C107" s="1456"/>
      <c r="D107" s="1456">
        <f>+D119+D123</f>
        <v>0</v>
      </c>
      <c r="E107" s="1456">
        <f t="shared" ref="E107:F107" si="76">+E119+E123</f>
        <v>0</v>
      </c>
      <c r="F107" s="1456">
        <f t="shared" si="76"/>
        <v>0</v>
      </c>
      <c r="G107" s="1456">
        <v>0</v>
      </c>
      <c r="H107" s="1456">
        <v>0</v>
      </c>
      <c r="I107" s="1456">
        <v>0</v>
      </c>
      <c r="J107" s="1456"/>
      <c r="K107" s="1456"/>
      <c r="L107" s="1456"/>
      <c r="M107" s="1457">
        <f>SUM(E107:F107)</f>
        <v>0</v>
      </c>
      <c r="N107" s="2406">
        <f>SUM(F107:G107)</f>
        <v>0</v>
      </c>
      <c r="O107" s="3731"/>
      <c r="P107" s="1458"/>
      <c r="Q107" s="1458"/>
      <c r="R107" s="1458"/>
      <c r="S107" s="1458"/>
      <c r="T107" s="1458"/>
      <c r="U107" s="1458"/>
      <c r="V107" s="1458"/>
      <c r="W107" s="1458"/>
      <c r="X107" s="1458"/>
      <c r="Y107" s="1458"/>
      <c r="Z107" s="1458"/>
      <c r="AA107" s="1458"/>
      <c r="AB107" s="1458"/>
      <c r="AC107" s="1458"/>
      <c r="AD107" s="1458"/>
      <c r="AE107" s="1458"/>
      <c r="AF107" s="1458"/>
      <c r="AG107" s="1458"/>
      <c r="AH107" s="1458"/>
      <c r="AI107" s="1458"/>
      <c r="AJ107" s="1458"/>
      <c r="AK107" s="1458"/>
      <c r="AL107" s="1458"/>
      <c r="AM107" s="1458"/>
      <c r="AN107" s="1458"/>
      <c r="AO107" s="1458"/>
      <c r="AP107" s="1458"/>
      <c r="AQ107" s="1458"/>
      <c r="AR107" s="1458"/>
      <c r="AS107" s="1458"/>
      <c r="AT107" s="1458"/>
      <c r="AU107" s="1458"/>
      <c r="AV107" s="1458"/>
      <c r="AW107" s="1458"/>
      <c r="AX107" s="1458"/>
      <c r="AY107" s="1458"/>
      <c r="AZ107" s="1458"/>
      <c r="BA107" s="1458"/>
      <c r="BB107" s="1458"/>
      <c r="BC107" s="1458"/>
      <c r="BD107" s="1458"/>
      <c r="BE107" s="1458"/>
      <c r="BF107" s="1458"/>
      <c r="BG107" s="1458"/>
      <c r="BH107" s="1458"/>
      <c r="BI107" s="1458"/>
      <c r="BJ107" s="1458"/>
      <c r="BK107" s="1458"/>
      <c r="BL107" s="1458"/>
      <c r="BM107" s="1458"/>
      <c r="BN107" s="1458"/>
      <c r="BO107" s="1458"/>
      <c r="BP107" s="1458"/>
      <c r="BQ107" s="1458"/>
      <c r="BR107" s="1458"/>
      <c r="BS107" s="1458"/>
      <c r="BT107" s="1458"/>
      <c r="BU107" s="1458"/>
      <c r="BV107" s="1458"/>
      <c r="BW107" s="1458"/>
      <c r="BX107" s="1458"/>
      <c r="BY107" s="1458"/>
      <c r="BZ107" s="1458"/>
      <c r="CA107" s="1458"/>
      <c r="CB107" s="1458"/>
      <c r="CC107" s="1458"/>
      <c r="CD107" s="1458"/>
      <c r="CE107" s="1458"/>
      <c r="CF107" s="1458"/>
      <c r="CG107" s="1458"/>
      <c r="CH107" s="1458"/>
      <c r="CI107" s="1458"/>
      <c r="CJ107" s="1458"/>
      <c r="CK107" s="1458"/>
      <c r="CL107" s="1458"/>
      <c r="CM107" s="1458"/>
      <c r="CN107" s="1458"/>
      <c r="CO107" s="1458"/>
      <c r="CP107" s="1458"/>
      <c r="CQ107" s="1458"/>
      <c r="CR107" s="1458"/>
      <c r="CS107" s="1458"/>
      <c r="CT107" s="1458"/>
      <c r="CU107" s="1458"/>
      <c r="CV107" s="1458"/>
      <c r="CW107" s="1458"/>
      <c r="CX107" s="1458"/>
      <c r="CY107" s="1458"/>
      <c r="CZ107" s="1458"/>
      <c r="DA107" s="1458"/>
      <c r="DB107" s="1458"/>
      <c r="DC107" s="1458"/>
      <c r="DD107" s="1458"/>
      <c r="DE107" s="1458"/>
    </row>
    <row r="108" spans="1:109" s="1450" customFormat="1" ht="13.5" hidden="1" customHeight="1">
      <c r="A108" s="2381"/>
      <c r="B108" s="1451" t="s">
        <v>18</v>
      </c>
      <c r="C108" s="1460"/>
      <c r="D108" s="1461">
        <f>D109</f>
        <v>0</v>
      </c>
      <c r="E108" s="1461">
        <f t="shared" ref="E108:L108" si="77">E109</f>
        <v>0</v>
      </c>
      <c r="F108" s="1461">
        <f t="shared" si="77"/>
        <v>0</v>
      </c>
      <c r="G108" s="1460">
        <f t="shared" si="77"/>
        <v>0</v>
      </c>
      <c r="H108" s="1460">
        <f t="shared" si="77"/>
        <v>0</v>
      </c>
      <c r="I108" s="1460">
        <f t="shared" si="77"/>
        <v>0</v>
      </c>
      <c r="J108" s="1460">
        <f t="shared" si="77"/>
        <v>0</v>
      </c>
      <c r="K108" s="1460">
        <f t="shared" si="77"/>
        <v>0</v>
      </c>
      <c r="L108" s="1460">
        <f t="shared" si="77"/>
        <v>0</v>
      </c>
      <c r="M108" s="1462" t="s">
        <v>53</v>
      </c>
      <c r="N108" s="2407" t="s">
        <v>53</v>
      </c>
      <c r="O108" s="2418"/>
      <c r="P108" s="1449"/>
      <c r="Q108" s="1449"/>
      <c r="R108" s="1449"/>
      <c r="S108" s="1449"/>
      <c r="T108" s="1449"/>
      <c r="U108" s="1449"/>
      <c r="V108" s="1449"/>
      <c r="W108" s="1449"/>
      <c r="X108" s="1449"/>
      <c r="Y108" s="1449"/>
      <c r="Z108" s="1449"/>
      <c r="AA108" s="1449"/>
      <c r="AB108" s="1449"/>
      <c r="AC108" s="1449"/>
      <c r="AD108" s="1449"/>
      <c r="AE108" s="1449"/>
      <c r="AF108" s="1449"/>
      <c r="AG108" s="1449"/>
      <c r="AH108" s="1449"/>
      <c r="AI108" s="1449"/>
      <c r="AJ108" s="1449"/>
      <c r="AK108" s="1449"/>
      <c r="AL108" s="1449"/>
      <c r="AM108" s="1449"/>
      <c r="AN108" s="1449"/>
      <c r="AO108" s="1449"/>
      <c r="AP108" s="1449"/>
      <c r="AQ108" s="1449"/>
      <c r="AR108" s="1449"/>
      <c r="AS108" s="1449"/>
      <c r="AT108" s="1449"/>
      <c r="AU108" s="1449"/>
      <c r="AV108" s="1449"/>
      <c r="AW108" s="1449"/>
      <c r="AX108" s="1449"/>
      <c r="AY108" s="1449"/>
      <c r="AZ108" s="1449"/>
      <c r="BA108" s="1449"/>
      <c r="BB108" s="1449"/>
      <c r="BC108" s="1449"/>
      <c r="BD108" s="1449"/>
      <c r="BE108" s="1449"/>
      <c r="BF108" s="1449"/>
      <c r="BG108" s="1449"/>
      <c r="BH108" s="1449"/>
      <c r="BI108" s="1449"/>
      <c r="BJ108" s="1449"/>
      <c r="BK108" s="1449"/>
      <c r="BL108" s="1449"/>
      <c r="BM108" s="1449"/>
      <c r="BN108" s="1449"/>
      <c r="BO108" s="1449"/>
      <c r="BP108" s="1449"/>
      <c r="BQ108" s="1449"/>
      <c r="BR108" s="1449"/>
      <c r="BS108" s="1449"/>
      <c r="BT108" s="1449"/>
      <c r="BU108" s="1449"/>
      <c r="BV108" s="1449"/>
      <c r="BW108" s="1449"/>
      <c r="BX108" s="1449"/>
      <c r="BY108" s="1449"/>
      <c r="BZ108" s="1449"/>
      <c r="CA108" s="1449"/>
      <c r="CB108" s="1449"/>
      <c r="CC108" s="1449"/>
      <c r="CD108" s="1449"/>
      <c r="CE108" s="1449"/>
      <c r="CF108" s="1449"/>
      <c r="CG108" s="1449"/>
      <c r="CH108" s="1449"/>
      <c r="CI108" s="1449"/>
      <c r="CJ108" s="1449"/>
      <c r="CK108" s="1449"/>
      <c r="CL108" s="1449"/>
      <c r="CM108" s="1449"/>
      <c r="CN108" s="1449"/>
      <c r="CO108" s="1449"/>
      <c r="CP108" s="1449"/>
      <c r="CQ108" s="1449"/>
      <c r="CR108" s="1449"/>
      <c r="CS108" s="1449"/>
      <c r="CT108" s="1449"/>
      <c r="CU108" s="1449"/>
      <c r="CV108" s="1449"/>
      <c r="CW108" s="1449"/>
      <c r="CX108" s="1449"/>
      <c r="CY108" s="1449"/>
      <c r="CZ108" s="1449"/>
      <c r="DA108" s="1449"/>
      <c r="DB108" s="1449"/>
      <c r="DC108" s="1449"/>
      <c r="DD108" s="1449"/>
      <c r="DE108" s="1449"/>
    </row>
    <row r="109" spans="1:109" s="1450" customFormat="1" ht="13.5" hidden="1" customHeight="1">
      <c r="A109" s="2381"/>
      <c r="B109" s="1452" t="s">
        <v>34</v>
      </c>
      <c r="C109" s="1453"/>
      <c r="D109" s="1464">
        <f>D130</f>
        <v>0</v>
      </c>
      <c r="E109" s="1464">
        <f>E130</f>
        <v>0</v>
      </c>
      <c r="F109" s="1464">
        <v>0</v>
      </c>
      <c r="G109" s="1453">
        <v>0</v>
      </c>
      <c r="H109" s="1453">
        <v>0</v>
      </c>
      <c r="I109" s="1453">
        <v>0</v>
      </c>
      <c r="J109" s="1453">
        <v>0</v>
      </c>
      <c r="K109" s="1453">
        <v>0</v>
      </c>
      <c r="L109" s="1453">
        <v>0</v>
      </c>
      <c r="M109" s="1465" t="s">
        <v>53</v>
      </c>
      <c r="N109" s="2408" t="s">
        <v>53</v>
      </c>
      <c r="O109" s="2418"/>
      <c r="P109" s="1449"/>
      <c r="Q109" s="1449"/>
      <c r="R109" s="1449"/>
      <c r="S109" s="1449"/>
      <c r="T109" s="1449"/>
      <c r="U109" s="1449"/>
      <c r="V109" s="1449"/>
      <c r="W109" s="1449"/>
      <c r="X109" s="1449"/>
      <c r="Y109" s="1449"/>
      <c r="Z109" s="1449"/>
      <c r="AA109" s="1449"/>
      <c r="AB109" s="1449"/>
      <c r="AC109" s="1449"/>
      <c r="AD109" s="1449"/>
      <c r="AE109" s="1449"/>
      <c r="AF109" s="1449"/>
      <c r="AG109" s="1449"/>
      <c r="AH109" s="1449"/>
      <c r="AI109" s="1449"/>
      <c r="AJ109" s="1449"/>
      <c r="AK109" s="1449"/>
      <c r="AL109" s="1449"/>
      <c r="AM109" s="1449"/>
      <c r="AN109" s="1449"/>
      <c r="AO109" s="1449"/>
      <c r="AP109" s="1449"/>
      <c r="AQ109" s="1449"/>
      <c r="AR109" s="1449"/>
      <c r="AS109" s="1449"/>
      <c r="AT109" s="1449"/>
      <c r="AU109" s="1449"/>
      <c r="AV109" s="1449"/>
      <c r="AW109" s="1449"/>
      <c r="AX109" s="1449"/>
      <c r="AY109" s="1449"/>
      <c r="AZ109" s="1449"/>
      <c r="BA109" s="1449"/>
      <c r="BB109" s="1449"/>
      <c r="BC109" s="1449"/>
      <c r="BD109" s="1449"/>
      <c r="BE109" s="1449"/>
      <c r="BF109" s="1449"/>
      <c r="BG109" s="1449"/>
      <c r="BH109" s="1449"/>
      <c r="BI109" s="1449"/>
      <c r="BJ109" s="1449"/>
      <c r="BK109" s="1449"/>
      <c r="BL109" s="1449"/>
      <c r="BM109" s="1449"/>
      <c r="BN109" s="1449"/>
      <c r="BO109" s="1449"/>
      <c r="BP109" s="1449"/>
      <c r="BQ109" s="1449"/>
      <c r="BR109" s="1449"/>
      <c r="BS109" s="1449"/>
      <c r="BT109" s="1449"/>
      <c r="BU109" s="1449"/>
      <c r="BV109" s="1449"/>
      <c r="BW109" s="1449"/>
      <c r="BX109" s="1449"/>
      <c r="BY109" s="1449"/>
      <c r="BZ109" s="1449"/>
      <c r="CA109" s="1449"/>
      <c r="CB109" s="1449"/>
      <c r="CC109" s="1449"/>
      <c r="CD109" s="1449"/>
      <c r="CE109" s="1449"/>
      <c r="CF109" s="1449"/>
      <c r="CG109" s="1449"/>
      <c r="CH109" s="1449"/>
      <c r="CI109" s="1449"/>
      <c r="CJ109" s="1449"/>
      <c r="CK109" s="1449"/>
      <c r="CL109" s="1449"/>
      <c r="CM109" s="1449"/>
      <c r="CN109" s="1449"/>
      <c r="CO109" s="1449"/>
      <c r="CP109" s="1449"/>
      <c r="CQ109" s="1449"/>
      <c r="CR109" s="1449"/>
      <c r="CS109" s="1449"/>
      <c r="CT109" s="1449"/>
      <c r="CU109" s="1449"/>
      <c r="CV109" s="1449"/>
      <c r="CW109" s="1449"/>
      <c r="CX109" s="1449"/>
      <c r="CY109" s="1449"/>
      <c r="CZ109" s="1449"/>
      <c r="DA109" s="1449"/>
      <c r="DB109" s="1449"/>
      <c r="DC109" s="1449"/>
      <c r="DD109" s="1449"/>
      <c r="DE109" s="1449"/>
    </row>
    <row r="110" spans="1:109" s="1450" customFormat="1" ht="13.5" hidden="1" customHeight="1">
      <c r="A110" s="2381"/>
      <c r="B110" s="1466" t="s">
        <v>21</v>
      </c>
      <c r="C110" s="1467"/>
      <c r="D110" s="1468">
        <f>D111+D114</f>
        <v>0</v>
      </c>
      <c r="E110" s="1468">
        <f t="shared" ref="E110:L110" si="78">E111+E114</f>
        <v>0</v>
      </c>
      <c r="F110" s="1468">
        <f t="shared" si="78"/>
        <v>0</v>
      </c>
      <c r="G110" s="1468">
        <f t="shared" si="78"/>
        <v>0</v>
      </c>
      <c r="H110" s="1468">
        <f t="shared" si="78"/>
        <v>0</v>
      </c>
      <c r="I110" s="1468">
        <f t="shared" si="78"/>
        <v>0</v>
      </c>
      <c r="J110" s="1468">
        <f t="shared" si="78"/>
        <v>0</v>
      </c>
      <c r="K110" s="1468">
        <f t="shared" si="78"/>
        <v>0</v>
      </c>
      <c r="L110" s="1468">
        <f t="shared" si="78"/>
        <v>0</v>
      </c>
      <c r="M110" s="1469"/>
      <c r="N110" s="2409"/>
      <c r="O110" s="2418"/>
      <c r="P110" s="1449"/>
      <c r="Q110" s="1449"/>
      <c r="R110" s="1449"/>
      <c r="S110" s="1449"/>
      <c r="T110" s="1449"/>
      <c r="U110" s="1449"/>
      <c r="V110" s="1449"/>
      <c r="W110" s="1449"/>
      <c r="X110" s="1449"/>
      <c r="Y110" s="1449"/>
      <c r="Z110" s="1449"/>
      <c r="AA110" s="1449"/>
      <c r="AB110" s="1449"/>
      <c r="AC110" s="1449"/>
      <c r="AD110" s="1449"/>
      <c r="AE110" s="1449"/>
      <c r="AF110" s="1449"/>
      <c r="AG110" s="1449"/>
      <c r="AH110" s="1449"/>
      <c r="AI110" s="1449"/>
      <c r="AJ110" s="1449"/>
      <c r="AK110" s="1449"/>
      <c r="AL110" s="1449"/>
      <c r="AM110" s="1449"/>
      <c r="AN110" s="1449"/>
      <c r="AO110" s="1449"/>
      <c r="AP110" s="1449"/>
      <c r="AQ110" s="1449"/>
      <c r="AR110" s="1449"/>
      <c r="AS110" s="1449"/>
      <c r="AT110" s="1449"/>
      <c r="AU110" s="1449"/>
      <c r="AV110" s="1449"/>
      <c r="AW110" s="1449"/>
      <c r="AX110" s="1449"/>
      <c r="AY110" s="1449"/>
      <c r="AZ110" s="1449"/>
      <c r="BA110" s="1449"/>
      <c r="BB110" s="1449"/>
      <c r="BC110" s="1449"/>
      <c r="BD110" s="1449"/>
      <c r="BE110" s="1449"/>
      <c r="BF110" s="1449"/>
      <c r="BG110" s="1449"/>
      <c r="BH110" s="1449"/>
      <c r="BI110" s="1449"/>
      <c r="BJ110" s="1449"/>
      <c r="BK110" s="1449"/>
      <c r="BL110" s="1449"/>
      <c r="BM110" s="1449"/>
      <c r="BN110" s="1449"/>
      <c r="BO110" s="1449"/>
      <c r="BP110" s="1449"/>
      <c r="BQ110" s="1449"/>
      <c r="BR110" s="1449"/>
      <c r="BS110" s="1449"/>
      <c r="BT110" s="1449"/>
      <c r="BU110" s="1449"/>
      <c r="BV110" s="1449"/>
      <c r="BW110" s="1449"/>
      <c r="BX110" s="1449"/>
      <c r="BY110" s="1449"/>
      <c r="BZ110" s="1449"/>
      <c r="CA110" s="1449"/>
      <c r="CB110" s="1449"/>
      <c r="CC110" s="1449"/>
      <c r="CD110" s="1449"/>
      <c r="CE110" s="1449"/>
      <c r="CF110" s="1449"/>
      <c r="CG110" s="1449"/>
      <c r="CH110" s="1449"/>
      <c r="CI110" s="1449"/>
      <c r="CJ110" s="1449"/>
      <c r="CK110" s="1449"/>
      <c r="CL110" s="1449"/>
      <c r="CM110" s="1449"/>
      <c r="CN110" s="1449"/>
      <c r="CO110" s="1449"/>
      <c r="CP110" s="1449"/>
      <c r="CQ110" s="1449"/>
      <c r="CR110" s="1449"/>
      <c r="CS110" s="1449"/>
      <c r="CT110" s="1449"/>
      <c r="CU110" s="1449"/>
      <c r="CV110" s="1449"/>
      <c r="CW110" s="1449"/>
      <c r="CX110" s="1449"/>
      <c r="CY110" s="1449"/>
      <c r="CZ110" s="1449"/>
      <c r="DA110" s="1449"/>
      <c r="DB110" s="1449"/>
      <c r="DC110" s="1449"/>
      <c r="DD110" s="1449"/>
      <c r="DE110" s="1449"/>
    </row>
    <row r="111" spans="1:109" s="1450" customFormat="1" ht="13.5" hidden="1" customHeight="1">
      <c r="A111" s="2381"/>
      <c r="B111" s="1470" t="s">
        <v>23</v>
      </c>
      <c r="C111" s="1471"/>
      <c r="D111" s="1472">
        <f>+D112+D113</f>
        <v>0</v>
      </c>
      <c r="E111" s="1472">
        <f t="shared" ref="E111:I111" si="79">+E112+E113</f>
        <v>0</v>
      </c>
      <c r="F111" s="1456">
        <f t="shared" si="79"/>
        <v>0</v>
      </c>
      <c r="G111" s="1456">
        <f t="shared" si="79"/>
        <v>0</v>
      </c>
      <c r="H111" s="1456">
        <f t="shared" si="79"/>
        <v>0</v>
      </c>
      <c r="I111" s="1456">
        <f t="shared" si="79"/>
        <v>0</v>
      </c>
      <c r="J111" s="1456">
        <v>0</v>
      </c>
      <c r="K111" s="1456">
        <v>0</v>
      </c>
      <c r="L111" s="1456">
        <v>0</v>
      </c>
      <c r="M111" s="3702" t="s">
        <v>53</v>
      </c>
      <c r="N111" s="3709" t="s">
        <v>53</v>
      </c>
      <c r="O111" s="2418"/>
      <c r="P111" s="1449"/>
      <c r="Q111" s="1449"/>
      <c r="R111" s="1449"/>
      <c r="S111" s="1449"/>
      <c r="T111" s="1449"/>
      <c r="U111" s="1449"/>
      <c r="V111" s="1449"/>
      <c r="W111" s="1449"/>
      <c r="X111" s="1449"/>
      <c r="Y111" s="1449"/>
      <c r="Z111" s="1449"/>
      <c r="AA111" s="1449"/>
      <c r="AB111" s="1449"/>
      <c r="AC111" s="1449"/>
      <c r="AD111" s="1449"/>
      <c r="AE111" s="1449"/>
      <c r="AF111" s="1449"/>
      <c r="AG111" s="1449"/>
      <c r="AH111" s="1449"/>
      <c r="AI111" s="1449"/>
      <c r="AJ111" s="1449"/>
      <c r="AK111" s="1449"/>
      <c r="AL111" s="1449"/>
      <c r="AM111" s="1449"/>
      <c r="AN111" s="1449"/>
      <c r="AO111" s="1449"/>
      <c r="AP111" s="1449"/>
      <c r="AQ111" s="1449"/>
      <c r="AR111" s="1449"/>
      <c r="AS111" s="1449"/>
      <c r="AT111" s="1449"/>
      <c r="AU111" s="1449"/>
      <c r="AV111" s="1449"/>
      <c r="AW111" s="1449"/>
      <c r="AX111" s="1449"/>
      <c r="AY111" s="1449"/>
      <c r="AZ111" s="1449"/>
      <c r="BA111" s="1449"/>
      <c r="BB111" s="1449"/>
      <c r="BC111" s="1449"/>
      <c r="BD111" s="1449"/>
      <c r="BE111" s="1449"/>
      <c r="BF111" s="1449"/>
      <c r="BG111" s="1449"/>
      <c r="BH111" s="1449"/>
      <c r="BI111" s="1449"/>
      <c r="BJ111" s="1449"/>
      <c r="BK111" s="1449"/>
      <c r="BL111" s="1449"/>
      <c r="BM111" s="1449"/>
      <c r="BN111" s="1449"/>
      <c r="BO111" s="1449"/>
      <c r="BP111" s="1449"/>
      <c r="BQ111" s="1449"/>
      <c r="BR111" s="1449"/>
      <c r="BS111" s="1449"/>
      <c r="BT111" s="1449"/>
      <c r="BU111" s="1449"/>
      <c r="BV111" s="1449"/>
      <c r="BW111" s="1449"/>
      <c r="BX111" s="1449"/>
      <c r="BY111" s="1449"/>
      <c r="BZ111" s="1449"/>
      <c r="CA111" s="1449"/>
      <c r="CB111" s="1449"/>
      <c r="CC111" s="1449"/>
      <c r="CD111" s="1449"/>
      <c r="CE111" s="1449"/>
      <c r="CF111" s="1449"/>
      <c r="CG111" s="1449"/>
      <c r="CH111" s="1449"/>
      <c r="CI111" s="1449"/>
      <c r="CJ111" s="1449"/>
      <c r="CK111" s="1449"/>
      <c r="CL111" s="1449"/>
      <c r="CM111" s="1449"/>
      <c r="CN111" s="1449"/>
      <c r="CO111" s="1449"/>
      <c r="CP111" s="1449"/>
      <c r="CQ111" s="1449"/>
      <c r="CR111" s="1449"/>
      <c r="CS111" s="1449"/>
      <c r="CT111" s="1449"/>
      <c r="CU111" s="1449"/>
      <c r="CV111" s="1449"/>
      <c r="CW111" s="1449"/>
      <c r="CX111" s="1449"/>
      <c r="CY111" s="1449"/>
      <c r="CZ111" s="1449"/>
      <c r="DA111" s="1449"/>
      <c r="DB111" s="1449"/>
      <c r="DC111" s="1449"/>
      <c r="DD111" s="1449"/>
      <c r="DE111" s="1449"/>
    </row>
    <row r="112" spans="1:109" s="1450" customFormat="1" ht="13.5" hidden="1" customHeight="1">
      <c r="A112" s="2381"/>
      <c r="B112" s="1455" t="s">
        <v>128</v>
      </c>
      <c r="C112" s="1456"/>
      <c r="D112" s="1456">
        <f>+D133</f>
        <v>0</v>
      </c>
      <c r="E112" s="1456">
        <f t="shared" ref="E112:F113" si="80">+E133</f>
        <v>0</v>
      </c>
      <c r="F112" s="1456">
        <f t="shared" si="80"/>
        <v>0</v>
      </c>
      <c r="G112" s="1456">
        <v>0</v>
      </c>
      <c r="H112" s="1456">
        <v>0</v>
      </c>
      <c r="I112" s="1456">
        <v>0</v>
      </c>
      <c r="J112" s="1456">
        <v>0</v>
      </c>
      <c r="K112" s="1456">
        <v>0</v>
      </c>
      <c r="L112" s="1456">
        <v>0</v>
      </c>
      <c r="M112" s="3703"/>
      <c r="N112" s="3710"/>
      <c r="O112" s="2418"/>
      <c r="P112" s="1449"/>
      <c r="Q112" s="1449"/>
      <c r="R112" s="1449"/>
      <c r="S112" s="1449"/>
      <c r="T112" s="1449"/>
      <c r="U112" s="1449"/>
      <c r="V112" s="1449"/>
      <c r="W112" s="1449"/>
      <c r="X112" s="1449"/>
      <c r="Y112" s="1449"/>
      <c r="Z112" s="1449"/>
      <c r="AA112" s="1449"/>
      <c r="AB112" s="1449"/>
      <c r="AC112" s="1449"/>
      <c r="AD112" s="1449"/>
      <c r="AE112" s="1449"/>
      <c r="AF112" s="1449"/>
      <c r="AG112" s="1449"/>
      <c r="AH112" s="1449"/>
      <c r="AI112" s="1449"/>
      <c r="AJ112" s="1449"/>
      <c r="AK112" s="1449"/>
      <c r="AL112" s="1449"/>
      <c r="AM112" s="1449"/>
      <c r="AN112" s="1449"/>
      <c r="AO112" s="1449"/>
      <c r="AP112" s="1449"/>
      <c r="AQ112" s="1449"/>
      <c r="AR112" s="1449"/>
      <c r="AS112" s="1449"/>
      <c r="AT112" s="1449"/>
      <c r="AU112" s="1449"/>
      <c r="AV112" s="1449"/>
      <c r="AW112" s="1449"/>
      <c r="AX112" s="1449"/>
      <c r="AY112" s="1449"/>
      <c r="AZ112" s="1449"/>
      <c r="BA112" s="1449"/>
      <c r="BB112" s="1449"/>
      <c r="BC112" s="1449"/>
      <c r="BD112" s="1449"/>
      <c r="BE112" s="1449"/>
      <c r="BF112" s="1449"/>
      <c r="BG112" s="1449"/>
      <c r="BH112" s="1449"/>
      <c r="BI112" s="1449"/>
      <c r="BJ112" s="1449"/>
      <c r="BK112" s="1449"/>
      <c r="BL112" s="1449"/>
      <c r="BM112" s="1449"/>
      <c r="BN112" s="1449"/>
      <c r="BO112" s="1449"/>
      <c r="BP112" s="1449"/>
      <c r="BQ112" s="1449"/>
      <c r="BR112" s="1449"/>
      <c r="BS112" s="1449"/>
      <c r="BT112" s="1449"/>
      <c r="BU112" s="1449"/>
      <c r="BV112" s="1449"/>
      <c r="BW112" s="1449"/>
      <c r="BX112" s="1449"/>
      <c r="BY112" s="1449"/>
      <c r="BZ112" s="1449"/>
      <c r="CA112" s="1449"/>
      <c r="CB112" s="1449"/>
      <c r="CC112" s="1449"/>
      <c r="CD112" s="1449"/>
      <c r="CE112" s="1449"/>
      <c r="CF112" s="1449"/>
      <c r="CG112" s="1449"/>
      <c r="CH112" s="1449"/>
      <c r="CI112" s="1449"/>
      <c r="CJ112" s="1449"/>
      <c r="CK112" s="1449"/>
      <c r="CL112" s="1449"/>
      <c r="CM112" s="1449"/>
      <c r="CN112" s="1449"/>
      <c r="CO112" s="1449"/>
      <c r="CP112" s="1449"/>
      <c r="CQ112" s="1449"/>
      <c r="CR112" s="1449"/>
      <c r="CS112" s="1449"/>
      <c r="CT112" s="1449"/>
      <c r="CU112" s="1449"/>
      <c r="CV112" s="1449"/>
      <c r="CW112" s="1449"/>
      <c r="CX112" s="1449"/>
      <c r="CY112" s="1449"/>
      <c r="CZ112" s="1449"/>
      <c r="DA112" s="1449"/>
      <c r="DB112" s="1449"/>
      <c r="DC112" s="1449"/>
      <c r="DD112" s="1449"/>
      <c r="DE112" s="1449"/>
    </row>
    <row r="113" spans="1:109" s="1450" customFormat="1" ht="13.5" hidden="1" customHeight="1">
      <c r="A113" s="2381"/>
      <c r="B113" s="1455" t="s">
        <v>130</v>
      </c>
      <c r="C113" s="1456"/>
      <c r="D113" s="1456">
        <f>+D134</f>
        <v>0</v>
      </c>
      <c r="E113" s="1456">
        <f t="shared" si="80"/>
        <v>0</v>
      </c>
      <c r="F113" s="1456">
        <f t="shared" si="80"/>
        <v>0</v>
      </c>
      <c r="G113" s="1456">
        <v>0</v>
      </c>
      <c r="H113" s="1456">
        <v>0</v>
      </c>
      <c r="I113" s="1456">
        <v>0</v>
      </c>
      <c r="J113" s="1456"/>
      <c r="K113" s="1456"/>
      <c r="L113" s="1456"/>
      <c r="M113" s="3703"/>
      <c r="N113" s="3710"/>
      <c r="O113" s="2418"/>
      <c r="P113" s="1449"/>
      <c r="Q113" s="1449"/>
      <c r="R113" s="1449"/>
      <c r="S113" s="1449"/>
      <c r="T113" s="1449"/>
      <c r="U113" s="1449"/>
      <c r="V113" s="1449"/>
      <c r="W113" s="1449"/>
      <c r="X113" s="1449"/>
      <c r="Y113" s="1449"/>
      <c r="Z113" s="1449"/>
      <c r="AA113" s="1449"/>
      <c r="AB113" s="1449"/>
      <c r="AC113" s="1449"/>
      <c r="AD113" s="1449"/>
      <c r="AE113" s="1449"/>
      <c r="AF113" s="1449"/>
      <c r="AG113" s="1449"/>
      <c r="AH113" s="1449"/>
      <c r="AI113" s="1449"/>
      <c r="AJ113" s="1449"/>
      <c r="AK113" s="1449"/>
      <c r="AL113" s="1449"/>
      <c r="AM113" s="1449"/>
      <c r="AN113" s="1449"/>
      <c r="AO113" s="1449"/>
      <c r="AP113" s="1449"/>
      <c r="AQ113" s="1449"/>
      <c r="AR113" s="1449"/>
      <c r="AS113" s="1449"/>
      <c r="AT113" s="1449"/>
      <c r="AU113" s="1449"/>
      <c r="AV113" s="1449"/>
      <c r="AW113" s="1449"/>
      <c r="AX113" s="1449"/>
      <c r="AY113" s="1449"/>
      <c r="AZ113" s="1449"/>
      <c r="BA113" s="1449"/>
      <c r="BB113" s="1449"/>
      <c r="BC113" s="1449"/>
      <c r="BD113" s="1449"/>
      <c r="BE113" s="1449"/>
      <c r="BF113" s="1449"/>
      <c r="BG113" s="1449"/>
      <c r="BH113" s="1449"/>
      <c r="BI113" s="1449"/>
      <c r="BJ113" s="1449"/>
      <c r="BK113" s="1449"/>
      <c r="BL113" s="1449"/>
      <c r="BM113" s="1449"/>
      <c r="BN113" s="1449"/>
      <c r="BO113" s="1449"/>
      <c r="BP113" s="1449"/>
      <c r="BQ113" s="1449"/>
      <c r="BR113" s="1449"/>
      <c r="BS113" s="1449"/>
      <c r="BT113" s="1449"/>
      <c r="BU113" s="1449"/>
      <c r="BV113" s="1449"/>
      <c r="BW113" s="1449"/>
      <c r="BX113" s="1449"/>
      <c r="BY113" s="1449"/>
      <c r="BZ113" s="1449"/>
      <c r="CA113" s="1449"/>
      <c r="CB113" s="1449"/>
      <c r="CC113" s="1449"/>
      <c r="CD113" s="1449"/>
      <c r="CE113" s="1449"/>
      <c r="CF113" s="1449"/>
      <c r="CG113" s="1449"/>
      <c r="CH113" s="1449"/>
      <c r="CI113" s="1449"/>
      <c r="CJ113" s="1449"/>
      <c r="CK113" s="1449"/>
      <c r="CL113" s="1449"/>
      <c r="CM113" s="1449"/>
      <c r="CN113" s="1449"/>
      <c r="CO113" s="1449"/>
      <c r="CP113" s="1449"/>
      <c r="CQ113" s="1449"/>
      <c r="CR113" s="1449"/>
      <c r="CS113" s="1449"/>
      <c r="CT113" s="1449"/>
      <c r="CU113" s="1449"/>
      <c r="CV113" s="1449"/>
      <c r="CW113" s="1449"/>
      <c r="CX113" s="1449"/>
      <c r="CY113" s="1449"/>
      <c r="CZ113" s="1449"/>
      <c r="DA113" s="1449"/>
      <c r="DB113" s="1449"/>
      <c r="DC113" s="1449"/>
      <c r="DD113" s="1449"/>
      <c r="DE113" s="1449"/>
    </row>
    <row r="114" spans="1:109" s="1475" customFormat="1" ht="13.5" hidden="1" customHeight="1">
      <c r="A114" s="2383"/>
      <c r="B114" s="1470" t="s">
        <v>18</v>
      </c>
      <c r="C114" s="1473"/>
      <c r="D114" s="1473">
        <f>+D115</f>
        <v>0</v>
      </c>
      <c r="E114" s="1473">
        <f t="shared" ref="E114:L114" si="81">+E115</f>
        <v>0</v>
      </c>
      <c r="F114" s="1473">
        <f t="shared" si="81"/>
        <v>0</v>
      </c>
      <c r="G114" s="1473">
        <f t="shared" si="81"/>
        <v>0</v>
      </c>
      <c r="H114" s="1473">
        <f t="shared" si="81"/>
        <v>0</v>
      </c>
      <c r="I114" s="1473">
        <f t="shared" si="81"/>
        <v>0</v>
      </c>
      <c r="J114" s="1473">
        <f t="shared" si="81"/>
        <v>0</v>
      </c>
      <c r="K114" s="1473">
        <f t="shared" si="81"/>
        <v>0</v>
      </c>
      <c r="L114" s="1473">
        <f t="shared" si="81"/>
        <v>0</v>
      </c>
      <c r="M114" s="3703"/>
      <c r="N114" s="3710"/>
      <c r="O114" s="2419"/>
      <c r="P114" s="1474"/>
      <c r="Q114" s="1474"/>
      <c r="R114" s="1474"/>
      <c r="S114" s="1474"/>
      <c r="T114" s="1474"/>
      <c r="U114" s="1474"/>
      <c r="V114" s="1474"/>
      <c r="W114" s="1474"/>
      <c r="X114" s="1474"/>
      <c r="Y114" s="1474"/>
      <c r="Z114" s="1474"/>
      <c r="AA114" s="1474"/>
      <c r="AB114" s="1474"/>
      <c r="AC114" s="1474"/>
      <c r="AD114" s="1474"/>
      <c r="AE114" s="1474"/>
      <c r="AF114" s="1474"/>
      <c r="AG114" s="1474"/>
      <c r="AH114" s="1474"/>
      <c r="AI114" s="1474"/>
      <c r="AJ114" s="1474"/>
      <c r="AK114" s="1474"/>
      <c r="AL114" s="1474"/>
      <c r="AM114" s="1474"/>
      <c r="AN114" s="1474"/>
      <c r="AO114" s="1474"/>
      <c r="AP114" s="1474"/>
      <c r="AQ114" s="1474"/>
      <c r="AR114" s="1474"/>
      <c r="AS114" s="1474"/>
      <c r="AT114" s="1474"/>
      <c r="AU114" s="1474"/>
      <c r="AV114" s="1474"/>
      <c r="AW114" s="1474"/>
      <c r="AX114" s="1474"/>
      <c r="AY114" s="1474"/>
      <c r="AZ114" s="1474"/>
      <c r="BA114" s="1474"/>
      <c r="BB114" s="1474"/>
      <c r="BC114" s="1474"/>
      <c r="BD114" s="1474"/>
      <c r="BE114" s="1474"/>
      <c r="BF114" s="1474"/>
      <c r="BG114" s="1474"/>
      <c r="BH114" s="1474"/>
      <c r="BI114" s="1474"/>
      <c r="BJ114" s="1474"/>
      <c r="BK114" s="1474"/>
      <c r="BL114" s="1474"/>
      <c r="BM114" s="1474"/>
      <c r="BN114" s="1474"/>
      <c r="BO114" s="1474"/>
      <c r="BP114" s="1474"/>
      <c r="BQ114" s="1474"/>
      <c r="BR114" s="1474"/>
      <c r="BS114" s="1474"/>
      <c r="BT114" s="1474"/>
      <c r="BU114" s="1474"/>
      <c r="BV114" s="1474"/>
      <c r="BW114" s="1474"/>
      <c r="BX114" s="1474"/>
      <c r="BY114" s="1474"/>
      <c r="BZ114" s="1474"/>
      <c r="CA114" s="1474"/>
      <c r="CB114" s="1474"/>
      <c r="CC114" s="1474"/>
      <c r="CD114" s="1474"/>
      <c r="CE114" s="1474"/>
      <c r="CF114" s="1474"/>
      <c r="CG114" s="1474"/>
      <c r="CH114" s="1474"/>
      <c r="CI114" s="1474"/>
      <c r="CJ114" s="1474"/>
      <c r="CK114" s="1474"/>
      <c r="CL114" s="1474"/>
      <c r="CM114" s="1474"/>
      <c r="CN114" s="1474"/>
      <c r="CO114" s="1474"/>
      <c r="CP114" s="1474"/>
      <c r="CQ114" s="1474"/>
      <c r="CR114" s="1474"/>
      <c r="CS114" s="1474"/>
      <c r="CT114" s="1474"/>
      <c r="CU114" s="1474"/>
      <c r="CV114" s="1474"/>
      <c r="CW114" s="1474"/>
      <c r="CX114" s="1474"/>
      <c r="CY114" s="1474"/>
      <c r="CZ114" s="1474"/>
      <c r="DA114" s="1474"/>
      <c r="DB114" s="1474"/>
      <c r="DC114" s="1474"/>
      <c r="DD114" s="1474"/>
      <c r="DE114" s="1474"/>
    </row>
    <row r="115" spans="1:109" s="1450" customFormat="1" ht="13.5" hidden="1" customHeight="1" thickBot="1">
      <c r="A115" s="1412"/>
      <c r="B115" s="1455" t="s">
        <v>34</v>
      </c>
      <c r="C115" s="1456"/>
      <c r="D115" s="1456">
        <f>+D136</f>
        <v>0</v>
      </c>
      <c r="E115" s="1456">
        <f t="shared" ref="E115:F115" si="82">+E136</f>
        <v>0</v>
      </c>
      <c r="F115" s="1456">
        <f t="shared" si="82"/>
        <v>0</v>
      </c>
      <c r="G115" s="1456">
        <v>0</v>
      </c>
      <c r="H115" s="1456">
        <v>0</v>
      </c>
      <c r="I115" s="1456">
        <v>0</v>
      </c>
      <c r="J115" s="1456">
        <v>0</v>
      </c>
      <c r="K115" s="1456">
        <v>0</v>
      </c>
      <c r="L115" s="1456">
        <v>0</v>
      </c>
      <c r="M115" s="3704"/>
      <c r="N115" s="3704"/>
      <c r="O115" s="1463"/>
      <c r="P115" s="1449"/>
      <c r="Q115" s="1449"/>
      <c r="R115" s="1449"/>
      <c r="S115" s="1449"/>
      <c r="T115" s="1449"/>
      <c r="U115" s="1449"/>
      <c r="V115" s="1449"/>
      <c r="W115" s="1449"/>
      <c r="X115" s="1449"/>
      <c r="Y115" s="1449"/>
      <c r="Z115" s="1449"/>
      <c r="AA115" s="1449"/>
      <c r="AB115" s="1449"/>
      <c r="AC115" s="1449"/>
      <c r="AD115" s="1449"/>
      <c r="AE115" s="1449"/>
      <c r="AF115" s="1449"/>
      <c r="AG115" s="1449"/>
      <c r="AH115" s="1449"/>
      <c r="AI115" s="1449"/>
      <c r="AJ115" s="1449"/>
      <c r="AK115" s="1449"/>
      <c r="AL115" s="1449"/>
      <c r="AM115" s="1449"/>
      <c r="AN115" s="1449"/>
      <c r="AO115" s="1449"/>
      <c r="AP115" s="1449"/>
      <c r="AQ115" s="1449"/>
      <c r="AR115" s="1449"/>
      <c r="AS115" s="1449"/>
      <c r="AT115" s="1449"/>
      <c r="AU115" s="1449"/>
      <c r="AV115" s="1449"/>
      <c r="AW115" s="1449"/>
      <c r="AX115" s="1449"/>
      <c r="AY115" s="1449"/>
      <c r="AZ115" s="1449"/>
      <c r="BA115" s="1449"/>
      <c r="BB115" s="1449"/>
      <c r="BC115" s="1449"/>
      <c r="BD115" s="1449"/>
      <c r="BE115" s="1449"/>
      <c r="BF115" s="1449"/>
      <c r="BG115" s="1449"/>
      <c r="BH115" s="1449"/>
      <c r="BI115" s="1449"/>
      <c r="BJ115" s="1449"/>
      <c r="BK115" s="1449"/>
      <c r="BL115" s="1449"/>
      <c r="BM115" s="1449"/>
      <c r="BN115" s="1449"/>
      <c r="BO115" s="1449"/>
      <c r="BP115" s="1449"/>
      <c r="BQ115" s="1449"/>
      <c r="BR115" s="1449"/>
      <c r="BS115" s="1449"/>
      <c r="BT115" s="1449"/>
      <c r="BU115" s="1449"/>
      <c r="BV115" s="1449"/>
      <c r="BW115" s="1449"/>
      <c r="BX115" s="1449"/>
      <c r="BY115" s="1449"/>
      <c r="BZ115" s="1449"/>
      <c r="CA115" s="1449"/>
      <c r="CB115" s="1449"/>
      <c r="CC115" s="1449"/>
      <c r="CD115" s="1449"/>
      <c r="CE115" s="1449"/>
      <c r="CF115" s="1449"/>
      <c r="CG115" s="1449"/>
      <c r="CH115" s="1449"/>
      <c r="CI115" s="1449"/>
      <c r="CJ115" s="1449"/>
      <c r="CK115" s="1449"/>
      <c r="CL115" s="1449"/>
      <c r="CM115" s="1449"/>
      <c r="CN115" s="1449"/>
      <c r="CO115" s="1449"/>
      <c r="CP115" s="1449"/>
      <c r="CQ115" s="1449"/>
      <c r="CR115" s="1449"/>
      <c r="CS115" s="1449"/>
      <c r="CT115" s="1449"/>
      <c r="CU115" s="1449"/>
      <c r="CV115" s="1449"/>
      <c r="CW115" s="1449"/>
      <c r="CX115" s="1449"/>
      <c r="CY115" s="1449"/>
      <c r="CZ115" s="1449"/>
      <c r="DA115" s="1449"/>
      <c r="DB115" s="1449"/>
      <c r="DC115" s="1449"/>
      <c r="DD115" s="1449"/>
      <c r="DE115" s="1449"/>
    </row>
    <row r="116" spans="1:109" s="1450" customFormat="1" ht="39.75" hidden="1" customHeight="1">
      <c r="A116" s="3706" t="s">
        <v>55</v>
      </c>
      <c r="B116" s="1476" t="s">
        <v>131</v>
      </c>
      <c r="C116" s="1477" t="s">
        <v>74</v>
      </c>
      <c r="D116" s="1478"/>
      <c r="E116" s="1479"/>
      <c r="F116" s="1479"/>
      <c r="G116" s="1479"/>
      <c r="H116" s="1479"/>
      <c r="I116" s="1479"/>
      <c r="J116" s="1479"/>
      <c r="K116" s="1479"/>
      <c r="L116" s="1479"/>
      <c r="M116" s="1480"/>
      <c r="N116" s="1480"/>
      <c r="O116" s="3724" t="s">
        <v>132</v>
      </c>
      <c r="P116" s="1449"/>
      <c r="Q116" s="1449"/>
      <c r="R116" s="1449"/>
      <c r="S116" s="1449"/>
      <c r="T116" s="1449"/>
      <c r="U116" s="1449"/>
      <c r="V116" s="1449"/>
      <c r="W116" s="1449"/>
      <c r="X116" s="1449"/>
      <c r="Y116" s="1449"/>
      <c r="Z116" s="1449"/>
      <c r="AA116" s="1449"/>
      <c r="AB116" s="1449"/>
      <c r="AC116" s="1449"/>
      <c r="AD116" s="1449"/>
      <c r="AE116" s="1449"/>
      <c r="AF116" s="1449"/>
      <c r="AG116" s="1449"/>
      <c r="AH116" s="1449"/>
      <c r="AI116" s="1449"/>
      <c r="AJ116" s="1449"/>
      <c r="AK116" s="1449"/>
      <c r="AL116" s="1449"/>
      <c r="AM116" s="1449"/>
      <c r="AN116" s="1449"/>
      <c r="AO116" s="1449"/>
      <c r="AP116" s="1449"/>
      <c r="AQ116" s="1449"/>
      <c r="AR116" s="1449"/>
      <c r="AS116" s="1449"/>
      <c r="AT116" s="1449"/>
      <c r="AU116" s="1449"/>
      <c r="AV116" s="1449"/>
      <c r="AW116" s="1449"/>
      <c r="AX116" s="1449"/>
      <c r="AY116" s="1449"/>
      <c r="AZ116" s="1449"/>
      <c r="BA116" s="1449"/>
      <c r="BB116" s="1449"/>
      <c r="BC116" s="1449"/>
      <c r="BD116" s="1449"/>
      <c r="BE116" s="1449"/>
      <c r="BF116" s="1449"/>
      <c r="BG116" s="1449"/>
      <c r="BH116" s="1449"/>
      <c r="BI116" s="1449"/>
      <c r="BJ116" s="1449"/>
      <c r="BK116" s="1449"/>
      <c r="BL116" s="1449"/>
      <c r="BM116" s="1449"/>
      <c r="BN116" s="1449"/>
      <c r="BO116" s="1449"/>
      <c r="BP116" s="1449"/>
      <c r="BQ116" s="1449"/>
      <c r="BR116" s="1449"/>
      <c r="BS116" s="1449"/>
      <c r="BT116" s="1449"/>
      <c r="BU116" s="1449"/>
      <c r="BV116" s="1449"/>
      <c r="BW116" s="1449"/>
      <c r="BX116" s="1449"/>
      <c r="BY116" s="1449"/>
      <c r="BZ116" s="1449"/>
      <c r="CA116" s="1449"/>
      <c r="CB116" s="1449"/>
      <c r="CC116" s="1449"/>
      <c r="CD116" s="1449"/>
      <c r="CE116" s="1449"/>
      <c r="CF116" s="1449"/>
      <c r="CG116" s="1449"/>
      <c r="CH116" s="1449"/>
      <c r="CI116" s="1449"/>
      <c r="CJ116" s="1449"/>
      <c r="CK116" s="1449"/>
      <c r="CL116" s="1449"/>
      <c r="CM116" s="1449"/>
      <c r="CN116" s="1449"/>
      <c r="CO116" s="1449"/>
      <c r="CP116" s="1449"/>
      <c r="CQ116" s="1449"/>
      <c r="CR116" s="1449"/>
      <c r="CS116" s="1449"/>
      <c r="CT116" s="1449"/>
      <c r="CU116" s="1449"/>
      <c r="CV116" s="1449"/>
      <c r="CW116" s="1449"/>
      <c r="CX116" s="1449"/>
      <c r="CY116" s="1449"/>
      <c r="CZ116" s="1449"/>
      <c r="DA116" s="1449"/>
      <c r="DB116" s="1449"/>
      <c r="DC116" s="1449"/>
      <c r="DD116" s="1449"/>
      <c r="DE116" s="1449"/>
    </row>
    <row r="117" spans="1:109" s="1450" customFormat="1" ht="18.75" hidden="1" customHeight="1">
      <c r="A117" s="3707"/>
      <c r="B117" s="1481" t="s">
        <v>10</v>
      </c>
      <c r="C117" s="1482"/>
      <c r="D117" s="1441"/>
      <c r="E117" s="1441"/>
      <c r="F117" s="1441">
        <f t="shared" ref="F117:G118" si="83">F118</f>
        <v>0</v>
      </c>
      <c r="G117" s="1441">
        <f t="shared" si="83"/>
        <v>0</v>
      </c>
      <c r="H117" s="1441"/>
      <c r="I117" s="1441"/>
      <c r="J117" s="1441"/>
      <c r="K117" s="1441"/>
      <c r="L117" s="1441"/>
      <c r="M117" s="1469">
        <f>+M118</f>
        <v>0</v>
      </c>
      <c r="N117" s="1469">
        <f>+N118</f>
        <v>0</v>
      </c>
      <c r="O117" s="3725"/>
      <c r="P117" s="1449"/>
      <c r="Q117" s="1449"/>
      <c r="R117" s="1449"/>
      <c r="S117" s="1449"/>
      <c r="T117" s="1449"/>
      <c r="U117" s="1449"/>
      <c r="V117" s="1449"/>
      <c r="W117" s="1449"/>
      <c r="X117" s="1449"/>
      <c r="Y117" s="1449"/>
      <c r="Z117" s="1449"/>
      <c r="AA117" s="1449"/>
      <c r="AB117" s="1449"/>
      <c r="AC117" s="1449"/>
      <c r="AD117" s="1449"/>
      <c r="AE117" s="1449"/>
      <c r="AF117" s="1449"/>
      <c r="AG117" s="1449"/>
      <c r="AH117" s="1449"/>
      <c r="AI117" s="1449"/>
      <c r="AJ117" s="1449"/>
      <c r="AK117" s="1449"/>
      <c r="AL117" s="1449"/>
      <c r="AM117" s="1449"/>
      <c r="AN117" s="1449"/>
      <c r="AO117" s="1449"/>
      <c r="AP117" s="1449"/>
      <c r="AQ117" s="1449"/>
      <c r="AR117" s="1449"/>
      <c r="AS117" s="1449"/>
      <c r="AT117" s="1449"/>
      <c r="AU117" s="1449"/>
      <c r="AV117" s="1449"/>
      <c r="AW117" s="1449"/>
      <c r="AX117" s="1449"/>
      <c r="AY117" s="1449"/>
      <c r="AZ117" s="1449"/>
      <c r="BA117" s="1449"/>
      <c r="BB117" s="1449"/>
      <c r="BC117" s="1449"/>
      <c r="BD117" s="1449"/>
      <c r="BE117" s="1449"/>
      <c r="BF117" s="1449"/>
      <c r="BG117" s="1449"/>
      <c r="BH117" s="1449"/>
      <c r="BI117" s="1449"/>
      <c r="BJ117" s="1449"/>
      <c r="BK117" s="1449"/>
      <c r="BL117" s="1449"/>
      <c r="BM117" s="1449"/>
      <c r="BN117" s="1449"/>
      <c r="BO117" s="1449"/>
      <c r="BP117" s="1449"/>
      <c r="BQ117" s="1449"/>
      <c r="BR117" s="1449"/>
      <c r="BS117" s="1449"/>
      <c r="BT117" s="1449"/>
      <c r="BU117" s="1449"/>
      <c r="BV117" s="1449"/>
      <c r="BW117" s="1449"/>
      <c r="BX117" s="1449"/>
      <c r="BY117" s="1449"/>
      <c r="BZ117" s="1449"/>
      <c r="CA117" s="1449"/>
      <c r="CB117" s="1449"/>
      <c r="CC117" s="1449"/>
      <c r="CD117" s="1449"/>
      <c r="CE117" s="1449"/>
      <c r="CF117" s="1449"/>
      <c r="CG117" s="1449"/>
      <c r="CH117" s="1449"/>
      <c r="CI117" s="1449"/>
      <c r="CJ117" s="1449"/>
      <c r="CK117" s="1449"/>
      <c r="CL117" s="1449"/>
      <c r="CM117" s="1449"/>
      <c r="CN117" s="1449"/>
      <c r="CO117" s="1449"/>
      <c r="CP117" s="1449"/>
      <c r="CQ117" s="1449"/>
      <c r="CR117" s="1449"/>
      <c r="CS117" s="1449"/>
      <c r="CT117" s="1449"/>
      <c r="CU117" s="1449"/>
      <c r="CV117" s="1449"/>
      <c r="CW117" s="1449"/>
      <c r="CX117" s="1449"/>
      <c r="CY117" s="1449"/>
      <c r="CZ117" s="1449"/>
      <c r="DA117" s="1449"/>
      <c r="DB117" s="1449"/>
      <c r="DC117" s="1449"/>
      <c r="DD117" s="1449"/>
      <c r="DE117" s="1449"/>
    </row>
    <row r="118" spans="1:109" s="1458" customFormat="1" ht="18.75" hidden="1" customHeight="1">
      <c r="A118" s="3707"/>
      <c r="B118" s="1483" t="s">
        <v>23</v>
      </c>
      <c r="C118" s="3669" t="s">
        <v>133</v>
      </c>
      <c r="D118" s="1484"/>
      <c r="E118" s="1484"/>
      <c r="F118" s="1484">
        <f t="shared" si="83"/>
        <v>0</v>
      </c>
      <c r="G118" s="1484">
        <f t="shared" si="83"/>
        <v>0</v>
      </c>
      <c r="H118" s="1484"/>
      <c r="I118" s="1484"/>
      <c r="J118" s="1484"/>
      <c r="K118" s="1484"/>
      <c r="L118" s="1484"/>
      <c r="M118" s="1485">
        <f>+M119</f>
        <v>0</v>
      </c>
      <c r="N118" s="1485">
        <f>+N119</f>
        <v>0</v>
      </c>
      <c r="O118" s="3725"/>
    </row>
    <row r="119" spans="1:109" s="1450" customFormat="1" ht="18.75" hidden="1" customHeight="1" thickBot="1">
      <c r="A119" s="3708"/>
      <c r="B119" s="1486" t="s">
        <v>12</v>
      </c>
      <c r="C119" s="3671"/>
      <c r="D119" s="1487"/>
      <c r="E119" s="1487"/>
      <c r="F119" s="1487">
        <v>0</v>
      </c>
      <c r="G119" s="1487">
        <v>0</v>
      </c>
      <c r="H119" s="1487"/>
      <c r="I119" s="1487"/>
      <c r="J119" s="1487"/>
      <c r="K119" s="1487"/>
      <c r="L119" s="1487"/>
      <c r="M119" s="1457">
        <f>SUM(E119:G119)</f>
        <v>0</v>
      </c>
      <c r="N119" s="1457">
        <f>SUM(F119:H119)</f>
        <v>0</v>
      </c>
      <c r="O119" s="3726"/>
      <c r="P119" s="1449"/>
      <c r="Q119" s="1449"/>
      <c r="R119" s="1449"/>
      <c r="S119" s="1449"/>
      <c r="T119" s="1449"/>
      <c r="U119" s="1449"/>
      <c r="V119" s="1449"/>
      <c r="W119" s="1449"/>
      <c r="X119" s="1449"/>
      <c r="Y119" s="1449"/>
      <c r="Z119" s="1449"/>
      <c r="AA119" s="1449"/>
      <c r="AB119" s="1449"/>
      <c r="AC119" s="1449"/>
      <c r="AD119" s="1449"/>
      <c r="AE119" s="1449"/>
      <c r="AF119" s="1449"/>
      <c r="AG119" s="1449"/>
      <c r="AH119" s="1449"/>
      <c r="AI119" s="1449"/>
      <c r="AJ119" s="1449"/>
      <c r="AK119" s="1449"/>
      <c r="AL119" s="1449"/>
      <c r="AM119" s="1449"/>
      <c r="AN119" s="1449"/>
      <c r="AO119" s="1449"/>
      <c r="AP119" s="1449"/>
      <c r="AQ119" s="1449"/>
      <c r="AR119" s="1449"/>
      <c r="AS119" s="1449"/>
      <c r="AT119" s="1449"/>
      <c r="AU119" s="1449"/>
      <c r="AV119" s="1449"/>
      <c r="AW119" s="1449"/>
      <c r="AX119" s="1449"/>
      <c r="AY119" s="1449"/>
      <c r="AZ119" s="1449"/>
      <c r="BA119" s="1449"/>
      <c r="BB119" s="1449"/>
      <c r="BC119" s="1449"/>
      <c r="BD119" s="1449"/>
      <c r="BE119" s="1449"/>
      <c r="BF119" s="1449"/>
      <c r="BG119" s="1449"/>
      <c r="BH119" s="1449"/>
      <c r="BI119" s="1449"/>
      <c r="BJ119" s="1449"/>
      <c r="BK119" s="1449"/>
      <c r="BL119" s="1449"/>
      <c r="BM119" s="1449"/>
      <c r="BN119" s="1449"/>
      <c r="BO119" s="1449"/>
      <c r="BP119" s="1449"/>
      <c r="BQ119" s="1449"/>
      <c r="BR119" s="1449"/>
      <c r="BS119" s="1449"/>
      <c r="BT119" s="1449"/>
      <c r="BU119" s="1449"/>
      <c r="BV119" s="1449"/>
      <c r="BW119" s="1449"/>
      <c r="BX119" s="1449"/>
      <c r="BY119" s="1449"/>
      <c r="BZ119" s="1449"/>
      <c r="CA119" s="1449"/>
      <c r="CB119" s="1449"/>
      <c r="CC119" s="1449"/>
      <c r="CD119" s="1449"/>
      <c r="CE119" s="1449"/>
      <c r="CF119" s="1449"/>
      <c r="CG119" s="1449"/>
      <c r="CH119" s="1449"/>
      <c r="CI119" s="1449"/>
      <c r="CJ119" s="1449"/>
      <c r="CK119" s="1449"/>
      <c r="CL119" s="1449"/>
      <c r="CM119" s="1449"/>
      <c r="CN119" s="1449"/>
      <c r="CO119" s="1449"/>
      <c r="CP119" s="1449"/>
      <c r="CQ119" s="1449"/>
      <c r="CR119" s="1449"/>
      <c r="CS119" s="1449"/>
      <c r="CT119" s="1449"/>
      <c r="CU119" s="1449"/>
      <c r="CV119" s="1449"/>
      <c r="CW119" s="1449"/>
      <c r="CX119" s="1449"/>
      <c r="CY119" s="1449"/>
      <c r="CZ119" s="1449"/>
      <c r="DA119" s="1449"/>
      <c r="DB119" s="1449"/>
      <c r="DC119" s="1449"/>
      <c r="DD119" s="1449"/>
      <c r="DE119" s="1449"/>
    </row>
    <row r="120" spans="1:109" ht="12.75" hidden="1" customHeight="1">
      <c r="A120" s="3718" t="s">
        <v>56</v>
      </c>
      <c r="B120" s="2816" t="s">
        <v>134</v>
      </c>
      <c r="C120" s="2960" t="s">
        <v>74</v>
      </c>
      <c r="D120" s="2960"/>
      <c r="E120" s="2960"/>
      <c r="F120" s="2960"/>
      <c r="G120" s="2960"/>
      <c r="H120" s="2960"/>
      <c r="I120" s="2960"/>
      <c r="J120" s="2960"/>
      <c r="K120" s="2960"/>
      <c r="L120" s="2960"/>
      <c r="M120" s="1488"/>
      <c r="N120" s="1488"/>
      <c r="O120" s="3719" t="s">
        <v>135</v>
      </c>
    </row>
    <row r="121" spans="1:109" ht="13.5" hidden="1" customHeight="1">
      <c r="A121" s="3714"/>
      <c r="B121" s="1423" t="s">
        <v>10</v>
      </c>
      <c r="C121" s="1489"/>
      <c r="D121" s="2960"/>
      <c r="E121" s="2960"/>
      <c r="F121" s="2960">
        <v>0</v>
      </c>
      <c r="G121" s="2960">
        <v>0</v>
      </c>
      <c r="H121" s="2960"/>
      <c r="I121" s="2960"/>
      <c r="J121" s="2960"/>
      <c r="K121" s="2960"/>
      <c r="L121" s="2960"/>
      <c r="M121" s="1488"/>
      <c r="N121" s="1488"/>
      <c r="O121" s="3719"/>
    </row>
    <row r="122" spans="1:109" ht="14.25" hidden="1" customHeight="1">
      <c r="A122" s="3714"/>
      <c r="B122" s="2816" t="s">
        <v>23</v>
      </c>
      <c r="C122" s="3721" t="s">
        <v>136</v>
      </c>
      <c r="D122" s="2960"/>
      <c r="E122" s="2960"/>
      <c r="F122" s="2960">
        <v>0</v>
      </c>
      <c r="G122" s="2960">
        <v>0</v>
      </c>
      <c r="H122" s="2960"/>
      <c r="I122" s="2960"/>
      <c r="J122" s="2960"/>
      <c r="K122" s="2960"/>
      <c r="L122" s="2960"/>
      <c r="M122" s="1488"/>
      <c r="N122" s="1488"/>
      <c r="O122" s="3720"/>
    </row>
    <row r="123" spans="1:109" ht="15" hidden="1" customHeight="1" thickBot="1">
      <c r="A123" s="3714"/>
      <c r="B123" s="2816" t="s">
        <v>12</v>
      </c>
      <c r="C123" s="3721"/>
      <c r="D123" s="2960"/>
      <c r="E123" s="2960"/>
      <c r="F123" s="2960">
        <v>0</v>
      </c>
      <c r="G123" s="2960">
        <v>0</v>
      </c>
      <c r="H123" s="2960"/>
      <c r="I123" s="2960"/>
      <c r="J123" s="2960"/>
      <c r="K123" s="2960"/>
      <c r="L123" s="2960"/>
      <c r="M123" s="1488"/>
      <c r="N123" s="1488"/>
      <c r="O123" s="3720"/>
    </row>
    <row r="124" spans="1:109" ht="36.75" hidden="1" customHeight="1">
      <c r="A124" s="3713" t="s">
        <v>55</v>
      </c>
      <c r="B124" s="1476" t="s">
        <v>229</v>
      </c>
      <c r="C124" s="1490" t="s">
        <v>74</v>
      </c>
      <c r="D124" s="1491"/>
      <c r="E124" s="1479"/>
      <c r="F124" s="1479"/>
      <c r="G124" s="1479"/>
      <c r="H124" s="1479"/>
      <c r="I124" s="1479"/>
      <c r="J124" s="1479"/>
      <c r="K124" s="1479"/>
      <c r="L124" s="1479"/>
      <c r="M124" s="1492"/>
      <c r="N124" s="1492"/>
      <c r="O124" s="3722" t="s">
        <v>198</v>
      </c>
    </row>
    <row r="125" spans="1:109" ht="14.25" hidden="1" customHeight="1">
      <c r="A125" s="3718"/>
      <c r="B125" s="1416" t="s">
        <v>10</v>
      </c>
      <c r="C125" s="1489"/>
      <c r="D125" s="1493"/>
      <c r="E125" s="1493">
        <f>+E126+E129</f>
        <v>0</v>
      </c>
      <c r="F125" s="1493">
        <v>0</v>
      </c>
      <c r="G125" s="1493">
        <v>0</v>
      </c>
      <c r="H125" s="1493">
        <v>0</v>
      </c>
      <c r="I125" s="1493">
        <v>0</v>
      </c>
      <c r="J125" s="1493">
        <v>0</v>
      </c>
      <c r="K125" s="1493">
        <v>0</v>
      </c>
      <c r="L125" s="1493">
        <v>0</v>
      </c>
      <c r="M125" s="1469">
        <f>+M126</f>
        <v>0</v>
      </c>
      <c r="N125" s="1469">
        <f>+N126</f>
        <v>0</v>
      </c>
      <c r="O125" s="3722"/>
    </row>
    <row r="126" spans="1:109" ht="15.75" hidden="1" customHeight="1">
      <c r="A126" s="3718"/>
      <c r="B126" s="1494" t="s">
        <v>23</v>
      </c>
      <c r="C126" s="3669" t="s">
        <v>137</v>
      </c>
      <c r="D126" s="1495"/>
      <c r="E126" s="1495">
        <f t="shared" ref="E126" si="84">E127+E128</f>
        <v>0</v>
      </c>
      <c r="F126" s="1495">
        <f t="shared" ref="F126:L126" si="85">F127+F128</f>
        <v>0</v>
      </c>
      <c r="G126" s="1495">
        <f t="shared" si="85"/>
        <v>0</v>
      </c>
      <c r="H126" s="1495">
        <f t="shared" si="85"/>
        <v>0</v>
      </c>
      <c r="I126" s="1495">
        <f t="shared" si="85"/>
        <v>0</v>
      </c>
      <c r="J126" s="1495">
        <f t="shared" si="85"/>
        <v>0</v>
      </c>
      <c r="K126" s="1495">
        <f t="shared" si="85"/>
        <v>0</v>
      </c>
      <c r="L126" s="1495">
        <f t="shared" si="85"/>
        <v>0</v>
      </c>
      <c r="M126" s="1454">
        <f>+M128</f>
        <v>0</v>
      </c>
      <c r="N126" s="1454">
        <f>+N128</f>
        <v>0</v>
      </c>
      <c r="O126" s="3722"/>
    </row>
    <row r="127" spans="1:109" ht="13.5" hidden="1" customHeight="1">
      <c r="A127" s="3718"/>
      <c r="B127" s="1496" t="s">
        <v>128</v>
      </c>
      <c r="C127" s="3705"/>
      <c r="D127" s="1427"/>
      <c r="E127" s="1427"/>
      <c r="F127" s="1433">
        <v>0</v>
      </c>
      <c r="G127" s="1433">
        <v>0</v>
      </c>
      <c r="H127" s="1433">
        <v>0</v>
      </c>
      <c r="I127" s="1433">
        <v>0</v>
      </c>
      <c r="J127" s="1433">
        <v>0</v>
      </c>
      <c r="K127" s="1433">
        <v>0</v>
      </c>
      <c r="L127" s="1433">
        <v>0</v>
      </c>
      <c r="M127" s="1462" t="s">
        <v>53</v>
      </c>
      <c r="N127" s="1462" t="s">
        <v>53</v>
      </c>
      <c r="O127" s="3722"/>
    </row>
    <row r="128" spans="1:109" ht="13.5" hidden="1" customHeight="1">
      <c r="A128" s="3718"/>
      <c r="B128" s="1497" t="s">
        <v>129</v>
      </c>
      <c r="C128" s="3705"/>
      <c r="D128" s="1427"/>
      <c r="E128" s="1427"/>
      <c r="F128" s="1498">
        <v>0</v>
      </c>
      <c r="G128" s="1498">
        <v>0</v>
      </c>
      <c r="H128" s="1498">
        <v>0</v>
      </c>
      <c r="I128" s="1498">
        <v>0</v>
      </c>
      <c r="J128" s="1498">
        <v>0</v>
      </c>
      <c r="K128" s="1498">
        <v>0</v>
      </c>
      <c r="L128" s="1498">
        <v>0</v>
      </c>
      <c r="M128" s="1454"/>
      <c r="N128" s="1454"/>
      <c r="O128" s="3722"/>
    </row>
    <row r="129" spans="1:15" ht="12" hidden="1" customHeight="1">
      <c r="A129" s="3718"/>
      <c r="B129" s="1494" t="s">
        <v>18</v>
      </c>
      <c r="C129" s="3705"/>
      <c r="D129" s="1495"/>
      <c r="E129" s="1495">
        <f t="shared" ref="E129" si="86">+E130</f>
        <v>0</v>
      </c>
      <c r="F129" s="1495">
        <v>0</v>
      </c>
      <c r="G129" s="1495">
        <v>0</v>
      </c>
      <c r="H129" s="1495">
        <v>0</v>
      </c>
      <c r="I129" s="1495">
        <v>0</v>
      </c>
      <c r="J129" s="1495">
        <v>0</v>
      </c>
      <c r="K129" s="1495">
        <v>0</v>
      </c>
      <c r="L129" s="1495">
        <v>0</v>
      </c>
      <c r="M129" s="1462" t="str">
        <f>+M130</f>
        <v>x</v>
      </c>
      <c r="N129" s="1462" t="str">
        <f>+N130</f>
        <v>x</v>
      </c>
      <c r="O129" s="3722"/>
    </row>
    <row r="130" spans="1:15" ht="14.25" hidden="1" customHeight="1">
      <c r="A130" s="3718"/>
      <c r="B130" s="1499" t="s">
        <v>34</v>
      </c>
      <c r="C130" s="3670"/>
      <c r="D130" s="1427"/>
      <c r="E130" s="1427"/>
      <c r="F130" s="2817">
        <v>0</v>
      </c>
      <c r="G130" s="2817">
        <v>0</v>
      </c>
      <c r="H130" s="2817">
        <v>0</v>
      </c>
      <c r="I130" s="2817">
        <v>0</v>
      </c>
      <c r="J130" s="2817">
        <v>0</v>
      </c>
      <c r="K130" s="2817">
        <v>0</v>
      </c>
      <c r="L130" s="2817">
        <v>0</v>
      </c>
      <c r="M130" s="1500" t="s">
        <v>53</v>
      </c>
      <c r="N130" s="1500" t="s">
        <v>53</v>
      </c>
      <c r="O130" s="3722"/>
    </row>
    <row r="131" spans="1:15" ht="13.5" hidden="1" customHeight="1">
      <c r="A131" s="3718"/>
      <c r="B131" s="1423" t="s">
        <v>21</v>
      </c>
      <c r="C131" s="1489"/>
      <c r="D131" s="1493"/>
      <c r="E131" s="1493">
        <f>E135+E132</f>
        <v>0</v>
      </c>
      <c r="F131" s="1493">
        <v>0</v>
      </c>
      <c r="G131" s="1493">
        <v>0</v>
      </c>
      <c r="H131" s="1493">
        <v>0</v>
      </c>
      <c r="I131" s="1493">
        <v>0</v>
      </c>
      <c r="J131" s="1493">
        <v>0</v>
      </c>
      <c r="K131" s="1493">
        <v>0</v>
      </c>
      <c r="L131" s="1493">
        <v>0</v>
      </c>
      <c r="M131" s="1469"/>
      <c r="N131" s="1469"/>
      <c r="O131" s="3722"/>
    </row>
    <row r="132" spans="1:15" ht="14.25" hidden="1" customHeight="1">
      <c r="A132" s="3718"/>
      <c r="B132" s="1425" t="s">
        <v>23</v>
      </c>
      <c r="C132" s="3699" t="s">
        <v>22</v>
      </c>
      <c r="D132" s="1501"/>
      <c r="E132" s="1501">
        <f t="shared" ref="E132" si="87">+E134+E133</f>
        <v>0</v>
      </c>
      <c r="F132" s="1495">
        <f t="shared" ref="F132:L132" si="88">+F134+F133</f>
        <v>0</v>
      </c>
      <c r="G132" s="1495">
        <f t="shared" si="88"/>
        <v>0</v>
      </c>
      <c r="H132" s="1495">
        <f t="shared" si="88"/>
        <v>0</v>
      </c>
      <c r="I132" s="1495">
        <f t="shared" si="88"/>
        <v>0</v>
      </c>
      <c r="J132" s="1495">
        <f t="shared" si="88"/>
        <v>0</v>
      </c>
      <c r="K132" s="1495">
        <f t="shared" si="88"/>
        <v>0</v>
      </c>
      <c r="L132" s="1495">
        <f t="shared" si="88"/>
        <v>0</v>
      </c>
      <c r="M132" s="3702" t="s">
        <v>53</v>
      </c>
      <c r="N132" s="3702" t="s">
        <v>53</v>
      </c>
      <c r="O132" s="3722"/>
    </row>
    <row r="133" spans="1:15" ht="13.5" hidden="1" customHeight="1">
      <c r="A133" s="3718"/>
      <c r="B133" s="1496" t="s">
        <v>128</v>
      </c>
      <c r="C133" s="3700"/>
      <c r="D133" s="1427"/>
      <c r="E133" s="1427"/>
      <c r="F133" s="1502">
        <v>0</v>
      </c>
      <c r="G133" s="1502">
        <v>0</v>
      </c>
      <c r="H133" s="1502">
        <v>0</v>
      </c>
      <c r="I133" s="1502">
        <v>0</v>
      </c>
      <c r="J133" s="1502">
        <v>0</v>
      </c>
      <c r="K133" s="1502">
        <v>0</v>
      </c>
      <c r="L133" s="1502">
        <v>0</v>
      </c>
      <c r="M133" s="3703"/>
      <c r="N133" s="3703"/>
      <c r="O133" s="3722"/>
    </row>
    <row r="134" spans="1:15" ht="13.5" hidden="1" customHeight="1">
      <c r="A134" s="3718"/>
      <c r="B134" s="1497" t="s">
        <v>138</v>
      </c>
      <c r="C134" s="3700"/>
      <c r="D134" s="1427"/>
      <c r="E134" s="1503"/>
      <c r="F134" s="1498">
        <v>0</v>
      </c>
      <c r="G134" s="1498">
        <v>0</v>
      </c>
      <c r="H134" s="1498">
        <v>0</v>
      </c>
      <c r="I134" s="1498">
        <v>0</v>
      </c>
      <c r="J134" s="1498">
        <v>0</v>
      </c>
      <c r="K134" s="1498">
        <v>0</v>
      </c>
      <c r="L134" s="1498">
        <v>0</v>
      </c>
      <c r="M134" s="3703"/>
      <c r="N134" s="3703"/>
      <c r="O134" s="3722"/>
    </row>
    <row r="135" spans="1:15" ht="12.75" hidden="1" customHeight="1">
      <c r="A135" s="3718"/>
      <c r="B135" s="1494" t="s">
        <v>18</v>
      </c>
      <c r="C135" s="3700"/>
      <c r="D135" s="1501"/>
      <c r="E135" s="1501">
        <f t="shared" ref="E135" si="89">+E136</f>
        <v>0</v>
      </c>
      <c r="F135" s="1495">
        <v>0</v>
      </c>
      <c r="G135" s="1495">
        <v>0</v>
      </c>
      <c r="H135" s="1495">
        <v>0</v>
      </c>
      <c r="I135" s="1495">
        <v>0</v>
      </c>
      <c r="J135" s="1495"/>
      <c r="K135" s="1495"/>
      <c r="L135" s="1495"/>
      <c r="M135" s="3703"/>
      <c r="N135" s="3703"/>
      <c r="O135" s="3722"/>
    </row>
    <row r="136" spans="1:15" ht="13.5" hidden="1" customHeight="1" thickBot="1">
      <c r="A136" s="3718"/>
      <c r="B136" s="1504" t="s">
        <v>34</v>
      </c>
      <c r="C136" s="3701"/>
      <c r="D136" s="1427"/>
      <c r="E136" s="1427">
        <v>0</v>
      </c>
      <c r="F136" s="1502">
        <v>0</v>
      </c>
      <c r="G136" s="1502">
        <v>0</v>
      </c>
      <c r="H136" s="1502">
        <v>0</v>
      </c>
      <c r="I136" s="1502">
        <v>0</v>
      </c>
      <c r="J136" s="1502">
        <v>0</v>
      </c>
      <c r="K136" s="1502">
        <v>0</v>
      </c>
      <c r="L136" s="1502">
        <v>0</v>
      </c>
      <c r="M136" s="3704"/>
      <c r="N136" s="3704"/>
      <c r="O136" s="3723"/>
    </row>
    <row r="137" spans="1:15" ht="26.25" hidden="1" customHeight="1">
      <c r="A137" s="3713" t="s">
        <v>55</v>
      </c>
      <c r="B137" s="1505" t="s">
        <v>200</v>
      </c>
      <c r="C137" s="1506" t="s">
        <v>74</v>
      </c>
      <c r="D137" s="1507"/>
      <c r="E137" s="1479"/>
      <c r="F137" s="1479"/>
      <c r="G137" s="1479"/>
      <c r="H137" s="1479"/>
      <c r="I137" s="1479"/>
      <c r="J137" s="1479"/>
      <c r="K137" s="1479"/>
      <c r="L137" s="1479"/>
      <c r="M137" s="1422"/>
      <c r="N137" s="1422"/>
      <c r="O137" s="3648" t="s">
        <v>205</v>
      </c>
    </row>
    <row r="138" spans="1:15" s="1419" customFormat="1" ht="17.25" hidden="1" customHeight="1">
      <c r="A138" s="3714"/>
      <c r="B138" s="1508" t="s">
        <v>10</v>
      </c>
      <c r="C138" s="1489"/>
      <c r="D138" s="1509"/>
      <c r="E138" s="1509">
        <f t="shared" ref="E138:J139" si="90">E139</f>
        <v>0</v>
      </c>
      <c r="F138" s="1509">
        <f t="shared" si="90"/>
        <v>0</v>
      </c>
      <c r="G138" s="1509">
        <f t="shared" si="90"/>
        <v>0</v>
      </c>
      <c r="H138" s="1509">
        <f t="shared" si="90"/>
        <v>0</v>
      </c>
      <c r="I138" s="1509">
        <f t="shared" si="90"/>
        <v>0</v>
      </c>
      <c r="J138" s="1509">
        <f t="shared" si="90"/>
        <v>0</v>
      </c>
      <c r="K138" s="1509">
        <f>K139</f>
        <v>0</v>
      </c>
      <c r="L138" s="1509">
        <f>L139</f>
        <v>0</v>
      </c>
      <c r="M138" s="1510">
        <f>+M139</f>
        <v>0</v>
      </c>
      <c r="N138" s="1510">
        <f>+N139</f>
        <v>0</v>
      </c>
      <c r="O138" s="3649"/>
    </row>
    <row r="139" spans="1:15" s="1513" customFormat="1" ht="15" hidden="1" customHeight="1">
      <c r="A139" s="3714"/>
      <c r="B139" s="1511" t="s">
        <v>23</v>
      </c>
      <c r="C139" s="3716" t="s">
        <v>137</v>
      </c>
      <c r="D139" s="1501"/>
      <c r="E139" s="1501">
        <f>E140</f>
        <v>0</v>
      </c>
      <c r="F139" s="1501">
        <f t="shared" si="90"/>
        <v>0</v>
      </c>
      <c r="G139" s="1501">
        <f t="shared" si="90"/>
        <v>0</v>
      </c>
      <c r="H139" s="1501">
        <f t="shared" si="90"/>
        <v>0</v>
      </c>
      <c r="I139" s="1501">
        <f t="shared" si="90"/>
        <v>0</v>
      </c>
      <c r="J139" s="1501">
        <f t="shared" si="90"/>
        <v>0</v>
      </c>
      <c r="K139" s="1501">
        <f>K140</f>
        <v>0</v>
      </c>
      <c r="L139" s="1501">
        <f>L140</f>
        <v>0</v>
      </c>
      <c r="M139" s="1512">
        <f>+M140</f>
        <v>0</v>
      </c>
      <c r="N139" s="1512">
        <f>+N140</f>
        <v>0</v>
      </c>
      <c r="O139" s="3649"/>
    </row>
    <row r="140" spans="1:15" s="1419" customFormat="1" ht="15" hidden="1" customHeight="1" thickBot="1">
      <c r="A140" s="3715"/>
      <c r="B140" s="1514" t="s">
        <v>129</v>
      </c>
      <c r="C140" s="3717"/>
      <c r="D140" s="2011"/>
      <c r="E140" s="2011">
        <v>0</v>
      </c>
      <c r="F140" s="1515">
        <v>0</v>
      </c>
      <c r="G140" s="1515">
        <v>0</v>
      </c>
      <c r="H140" s="1515">
        <v>0</v>
      </c>
      <c r="I140" s="1515">
        <v>0</v>
      </c>
      <c r="J140" s="1515">
        <v>0</v>
      </c>
      <c r="K140" s="1515">
        <v>0</v>
      </c>
      <c r="L140" s="1515">
        <v>0</v>
      </c>
      <c r="M140" s="1516"/>
      <c r="N140" s="1516"/>
      <c r="O140" s="3668"/>
    </row>
    <row r="141" spans="1:15" ht="12.75">
      <c r="A141" s="2960"/>
      <c r="B141" s="2960"/>
      <c r="C141" s="2960"/>
      <c r="D141" s="2960"/>
      <c r="E141" s="2960"/>
      <c r="F141" s="2960"/>
      <c r="G141" s="2960"/>
      <c r="H141" s="2960"/>
      <c r="I141" s="2960"/>
      <c r="J141" s="2960"/>
      <c r="K141" s="2960"/>
      <c r="L141" s="2960"/>
      <c r="M141" s="2960"/>
      <c r="N141" s="2960"/>
    </row>
    <row r="142" spans="1:15" ht="12.75">
      <c r="A142" s="2960"/>
      <c r="B142" s="2818" t="s">
        <v>448</v>
      </c>
      <c r="C142" s="2817"/>
      <c r="D142" s="2817"/>
      <c r="E142" s="2817"/>
      <c r="F142" s="2817"/>
      <c r="G142" s="2817"/>
      <c r="H142" s="2817"/>
      <c r="I142" s="2817"/>
      <c r="J142" s="2817"/>
      <c r="K142" s="2817"/>
      <c r="L142" s="2817"/>
      <c r="M142" s="2960"/>
      <c r="N142" s="2960"/>
    </row>
    <row r="143" spans="1:15" ht="12.75">
      <c r="A143" s="2960"/>
      <c r="B143" s="2818" t="s">
        <v>449</v>
      </c>
      <c r="C143" s="2817"/>
      <c r="D143" s="2751">
        <f>D73+D59+D43+D82</f>
        <v>1017920</v>
      </c>
      <c r="E143" s="2751">
        <f t="shared" ref="E143:L143" si="91">E73+E59+E43+E82</f>
        <v>292115</v>
      </c>
      <c r="F143" s="2751">
        <f t="shared" si="91"/>
        <v>107202</v>
      </c>
      <c r="G143" s="2751">
        <f t="shared" si="91"/>
        <v>342369</v>
      </c>
      <c r="H143" s="2751">
        <f t="shared" si="91"/>
        <v>146832</v>
      </c>
      <c r="I143" s="2751">
        <f t="shared" si="91"/>
        <v>99540</v>
      </c>
      <c r="J143" s="2751">
        <f t="shared" si="91"/>
        <v>29862</v>
      </c>
      <c r="K143" s="2751">
        <f t="shared" si="91"/>
        <v>0</v>
      </c>
      <c r="L143" s="2751">
        <f t="shared" si="91"/>
        <v>0</v>
      </c>
      <c r="M143" s="2960"/>
      <c r="N143" s="2960"/>
    </row>
    <row r="144" spans="1:15" ht="12.75">
      <c r="A144" s="2960"/>
      <c r="B144" s="2818" t="s">
        <v>450</v>
      </c>
      <c r="C144" s="2817"/>
      <c r="D144" s="2751">
        <v>0</v>
      </c>
      <c r="E144" s="2751">
        <v>0</v>
      </c>
      <c r="F144" s="2751">
        <v>0</v>
      </c>
      <c r="G144" s="2751">
        <v>0</v>
      </c>
      <c r="H144" s="2751">
        <v>0</v>
      </c>
      <c r="I144" s="2751">
        <v>0</v>
      </c>
      <c r="J144" s="2751">
        <v>0</v>
      </c>
      <c r="K144" s="2751">
        <v>0</v>
      </c>
      <c r="L144" s="2751">
        <v>0</v>
      </c>
      <c r="M144" s="2960"/>
      <c r="N144" s="2960"/>
    </row>
    <row r="145" spans="1:15" ht="12.75">
      <c r="A145" s="2960"/>
      <c r="B145" s="2818" t="s">
        <v>451</v>
      </c>
      <c r="C145" s="2817"/>
      <c r="D145" s="1797">
        <f>D143+D144</f>
        <v>1017920</v>
      </c>
      <c r="E145" s="1797">
        <f t="shared" ref="E145:L145" si="92">E143+E144</f>
        <v>292115</v>
      </c>
      <c r="F145" s="1797">
        <f t="shared" si="92"/>
        <v>107202</v>
      </c>
      <c r="G145" s="1797">
        <f t="shared" si="92"/>
        <v>342369</v>
      </c>
      <c r="H145" s="1797">
        <f t="shared" si="92"/>
        <v>146832</v>
      </c>
      <c r="I145" s="1797">
        <f t="shared" si="92"/>
        <v>99540</v>
      </c>
      <c r="J145" s="1797">
        <f t="shared" si="92"/>
        <v>29862</v>
      </c>
      <c r="K145" s="1797">
        <f t="shared" si="92"/>
        <v>0</v>
      </c>
      <c r="L145" s="1797">
        <f t="shared" si="92"/>
        <v>0</v>
      </c>
      <c r="M145" s="2960"/>
      <c r="N145" s="2960"/>
    </row>
    <row r="146" spans="1:15" ht="12.75">
      <c r="B146" s="1518" t="s">
        <v>41</v>
      </c>
      <c r="C146" s="1519"/>
      <c r="D146" s="1798">
        <f t="shared" ref="D146:L146" si="93">D20-D145</f>
        <v>0</v>
      </c>
      <c r="E146" s="1798">
        <f t="shared" si="93"/>
        <v>0</v>
      </c>
      <c r="F146" s="1798">
        <f t="shared" si="93"/>
        <v>0</v>
      </c>
      <c r="G146" s="1798">
        <f t="shared" si="93"/>
        <v>0</v>
      </c>
      <c r="H146" s="1798">
        <f t="shared" si="93"/>
        <v>0</v>
      </c>
      <c r="I146" s="1798">
        <f t="shared" si="93"/>
        <v>0</v>
      </c>
      <c r="J146" s="1798">
        <f t="shared" si="93"/>
        <v>0</v>
      </c>
      <c r="K146" s="1798">
        <f t="shared" si="93"/>
        <v>0</v>
      </c>
      <c r="L146" s="1798">
        <f t="shared" si="93"/>
        <v>0</v>
      </c>
    </row>
    <row r="151" spans="1:15" ht="12" thickBot="1">
      <c r="A151" s="2012"/>
      <c r="B151" s="2013"/>
      <c r="C151" s="2013"/>
      <c r="D151" s="2013"/>
      <c r="E151" s="2013"/>
      <c r="F151" s="2013"/>
      <c r="G151" s="2013"/>
      <c r="H151" s="2013"/>
      <c r="I151" s="2013"/>
      <c r="J151" s="2013"/>
      <c r="K151" s="2013"/>
      <c r="L151" s="2013"/>
      <c r="M151" s="2013"/>
      <c r="N151" s="2013"/>
      <c r="O151" s="2014"/>
    </row>
    <row r="175" spans="1:1" ht="12" thickBot="1">
      <c r="A175" s="2012"/>
    </row>
    <row r="176" spans="1:1" ht="12" thickBot="1">
      <c r="A176" s="2363"/>
    </row>
    <row r="177" spans="1:2" ht="12" thickBot="1">
      <c r="A177" s="2363"/>
    </row>
    <row r="178" spans="1:2" ht="12" thickBot="1">
      <c r="A178" s="2363"/>
    </row>
    <row r="179" spans="1:2" ht="12" thickBot="1">
      <c r="A179" s="2363"/>
    </row>
    <row r="180" spans="1:2" ht="12" thickBot="1">
      <c r="A180" s="2363"/>
    </row>
    <row r="181" spans="1:2" ht="12" thickBot="1">
      <c r="A181" s="2363"/>
    </row>
    <row r="182" spans="1:2" ht="12" thickBot="1">
      <c r="A182" s="2363"/>
    </row>
    <row r="183" spans="1:2" ht="12" thickBot="1">
      <c r="A183" s="2363"/>
    </row>
    <row r="184" spans="1:2" ht="12" thickBot="1">
      <c r="A184" s="2363"/>
    </row>
    <row r="185" spans="1:2" ht="12" thickBot="1">
      <c r="A185" s="2363"/>
    </row>
    <row r="186" spans="1:2" ht="12" thickBot="1">
      <c r="A186" s="2363"/>
      <c r="B186" s="2013"/>
    </row>
    <row r="187" spans="1:2" ht="12" thickBot="1">
      <c r="A187" s="2363"/>
      <c r="B187" s="2346"/>
    </row>
    <row r="188" spans="1:2" ht="12" thickBot="1">
      <c r="A188" s="2363"/>
    </row>
    <row r="189" spans="1:2" ht="12" thickBot="1">
      <c r="A189" s="2363"/>
    </row>
    <row r="190" spans="1:2" ht="12" thickBot="1">
      <c r="A190" s="2363"/>
    </row>
    <row r="191" spans="1:2" ht="12" thickBot="1">
      <c r="A191" s="2363"/>
    </row>
    <row r="192" spans="1:2" ht="12" thickBot="1">
      <c r="A192" s="2363"/>
    </row>
    <row r="193" spans="1:15" ht="12" thickBot="1">
      <c r="A193" s="2363"/>
    </row>
    <row r="194" spans="1:15" ht="12" thickBot="1">
      <c r="A194" s="2363"/>
    </row>
    <row r="195" spans="1:15" ht="12" thickBot="1">
      <c r="A195" s="2363"/>
    </row>
    <row r="196" spans="1:15" ht="12" thickBot="1">
      <c r="A196" s="2363"/>
    </row>
    <row r="197" spans="1:15" ht="12" thickBot="1">
      <c r="A197" s="2363"/>
    </row>
    <row r="198" spans="1:15" ht="12" thickBot="1">
      <c r="A198" s="2363"/>
    </row>
    <row r="199" spans="1:15" ht="12" thickBot="1">
      <c r="A199" s="2363"/>
    </row>
    <row r="200" spans="1:15" ht="12" thickBot="1">
      <c r="A200" s="2363"/>
      <c r="N200" s="2013"/>
      <c r="O200" s="2014"/>
    </row>
    <row r="201" spans="1:15" ht="12" thickBot="1">
      <c r="A201" s="2363"/>
      <c r="C201" s="2013"/>
      <c r="N201" s="2345"/>
      <c r="O201" s="2335"/>
    </row>
    <row r="202" spans="1:15" ht="12" thickBot="1">
      <c r="A202" s="2363"/>
      <c r="C202" s="2345"/>
      <c r="N202" s="2345"/>
      <c r="O202" s="2335"/>
    </row>
    <row r="203" spans="1:15" ht="12" thickBot="1">
      <c r="A203" s="2363"/>
      <c r="C203" s="2345"/>
      <c r="N203" s="2345"/>
      <c r="O203" s="2335"/>
    </row>
    <row r="204" spans="1:15" ht="12" thickBot="1">
      <c r="A204" s="2364"/>
      <c r="C204" s="2345"/>
      <c r="D204" s="2013"/>
      <c r="E204" s="2013"/>
      <c r="F204" s="2013"/>
      <c r="G204" s="2013"/>
      <c r="H204" s="2013"/>
      <c r="I204" s="2013"/>
      <c r="J204" s="2013"/>
      <c r="K204" s="2013"/>
      <c r="L204" s="2013"/>
      <c r="N204" s="2345"/>
      <c r="O204" s="2335"/>
    </row>
    <row r="205" spans="1:15" ht="12" thickBot="1">
      <c r="C205" s="2346"/>
      <c r="D205" s="2346"/>
      <c r="E205" s="2346"/>
      <c r="F205" s="2346"/>
      <c r="G205" s="2346"/>
      <c r="H205" s="2346"/>
      <c r="I205" s="2346"/>
      <c r="J205" s="2346"/>
      <c r="K205" s="2346"/>
      <c r="L205" s="2346"/>
      <c r="N205" s="2346"/>
      <c r="O205" s="2335"/>
    </row>
    <row r="206" spans="1:15" ht="12" thickBot="1">
      <c r="O206" s="2335"/>
    </row>
    <row r="207" spans="1:15" ht="12" thickBot="1">
      <c r="O207" s="2335"/>
    </row>
    <row r="208" spans="1:15" ht="12" thickBot="1">
      <c r="O208" s="2335"/>
    </row>
    <row r="209" spans="1:15" ht="12" thickBot="1">
      <c r="O209" s="2335"/>
    </row>
    <row r="210" spans="1:15" ht="13.5" thickBot="1">
      <c r="A210" s="2960"/>
      <c r="B210" s="2960" t="s">
        <v>61</v>
      </c>
      <c r="C210" s="2960"/>
      <c r="D210" s="2960"/>
      <c r="E210" s="2960"/>
      <c r="F210" s="2960"/>
      <c r="G210" s="2960"/>
      <c r="H210" s="2960"/>
      <c r="I210" s="2960"/>
      <c r="J210" s="2960"/>
      <c r="K210" s="2960"/>
      <c r="L210" s="2960"/>
      <c r="M210" s="2960"/>
      <c r="N210" s="2960"/>
      <c r="O210" s="2819"/>
    </row>
    <row r="211" spans="1:15" ht="13.5" thickBot="1">
      <c r="A211" s="2960"/>
      <c r="O211" s="2819"/>
    </row>
    <row r="212" spans="1:15" ht="13.5" thickBot="1">
      <c r="A212" s="2960"/>
      <c r="O212" s="2819"/>
    </row>
    <row r="213" spans="1:15" ht="13.5" thickBot="1">
      <c r="A213" s="2960"/>
      <c r="O213" s="2819"/>
    </row>
    <row r="214" spans="1:15" ht="12.75">
      <c r="A214" s="2960"/>
      <c r="O214" s="2820"/>
    </row>
    <row r="215" spans="1:15" ht="12.75">
      <c r="A215" s="2960"/>
      <c r="O215" s="2960"/>
    </row>
    <row r="216" spans="1:15" ht="12.75">
      <c r="A216" s="2960"/>
      <c r="O216" s="2960"/>
    </row>
    <row r="217" spans="1:15" ht="12.75">
      <c r="A217" s="2960"/>
      <c r="O217" s="2960"/>
    </row>
    <row r="218" spans="1:15" ht="12.75">
      <c r="A218" s="2960"/>
      <c r="O218" s="2960"/>
    </row>
    <row r="219" spans="1:15" ht="12.75">
      <c r="A219" s="2960"/>
      <c r="O219" s="2960"/>
    </row>
    <row r="220" spans="1:15" ht="12.75">
      <c r="A220" s="2960"/>
      <c r="O220" s="2960"/>
    </row>
    <row r="221" spans="1:15" ht="12.75">
      <c r="A221" s="2960"/>
      <c r="B221" s="2960"/>
      <c r="C221" s="2960"/>
      <c r="D221" s="2960"/>
      <c r="E221" s="2960"/>
      <c r="F221" s="2960"/>
      <c r="G221" s="2960"/>
      <c r="H221" s="2960"/>
      <c r="I221" s="2960"/>
      <c r="J221" s="2960"/>
      <c r="K221" s="2960"/>
      <c r="L221" s="2960"/>
      <c r="M221" s="2960"/>
      <c r="N221" s="2960"/>
      <c r="O221" s="2960"/>
    </row>
    <row r="248" spans="15:15" ht="12" thickBot="1">
      <c r="O248" s="2014"/>
    </row>
    <row r="249" spans="15:15" ht="12" thickBot="1">
      <c r="O249" s="2335"/>
    </row>
    <row r="250" spans="15:15" ht="12" thickBot="1">
      <c r="O250" s="2335"/>
    </row>
    <row r="251" spans="15:15" ht="12" thickBot="1">
      <c r="O251" s="2335"/>
    </row>
    <row r="252" spans="15:15" ht="12" thickBot="1">
      <c r="O252" s="2335"/>
    </row>
    <row r="253" spans="15:15" ht="12" thickBot="1">
      <c r="O253" s="2335"/>
    </row>
    <row r="254" spans="15:15" ht="12" thickBot="1">
      <c r="O254" s="2335"/>
    </row>
    <row r="255" spans="15:15" ht="12" thickBot="1">
      <c r="O255" s="2335"/>
    </row>
    <row r="256" spans="15:15" ht="12" thickBot="1">
      <c r="O256" s="2335"/>
    </row>
    <row r="257" spans="15:15" ht="12" thickBot="1">
      <c r="O257" s="2335"/>
    </row>
    <row r="258" spans="15:15" ht="12" thickBot="1">
      <c r="O258" s="2335"/>
    </row>
    <row r="259" spans="15:15" ht="12" thickBot="1">
      <c r="O259" s="2335"/>
    </row>
    <row r="260" spans="15:15" ht="12" thickBot="1">
      <c r="O260" s="2335"/>
    </row>
    <row r="261" spans="15:15" ht="12" thickBot="1">
      <c r="O261" s="2335"/>
    </row>
    <row r="262" spans="15:15">
      <c r="O262" s="2336"/>
    </row>
    <row r="401" spans="1:15" ht="12" thickBot="1">
      <c r="A401" s="2012"/>
    </row>
    <row r="402" spans="1:15" ht="12" thickBot="1">
      <c r="A402" s="2363"/>
    </row>
    <row r="403" spans="1:15" ht="12" thickBot="1">
      <c r="A403" s="2363"/>
    </row>
    <row r="404" spans="1:15" ht="12" thickBot="1">
      <c r="A404" s="2363"/>
    </row>
    <row r="405" spans="1:15" ht="12" thickBot="1">
      <c r="A405" s="2363"/>
    </row>
    <row r="406" spans="1:15" ht="12" thickBot="1">
      <c r="A406" s="2363"/>
    </row>
    <row r="407" spans="1:15" ht="12" thickBot="1">
      <c r="A407" s="2363"/>
      <c r="N407" s="2013"/>
      <c r="O407" s="2014"/>
    </row>
    <row r="408" spans="1:15" ht="12" thickBot="1">
      <c r="A408" s="2363"/>
      <c r="C408" s="2013"/>
      <c r="N408" s="2345"/>
      <c r="O408" s="2335"/>
    </row>
    <row r="409" spans="1:15" ht="12" thickBot="1">
      <c r="A409" s="2363"/>
      <c r="C409" s="2345"/>
      <c r="D409" s="2013"/>
      <c r="E409" s="2013"/>
      <c r="F409" s="2013"/>
      <c r="G409" s="2013"/>
      <c r="H409" s="2013"/>
      <c r="I409" s="2013"/>
      <c r="J409" s="2013"/>
      <c r="K409" s="2013"/>
      <c r="L409" s="2013"/>
      <c r="N409" s="2345"/>
      <c r="O409" s="2335"/>
    </row>
    <row r="410" spans="1:15" ht="12" thickBot="1">
      <c r="A410" s="2363"/>
      <c r="C410" s="2346"/>
      <c r="D410" s="2346"/>
      <c r="E410" s="2346"/>
      <c r="F410" s="2346"/>
      <c r="G410" s="2346"/>
      <c r="H410" s="2346"/>
      <c r="I410" s="2346"/>
      <c r="J410" s="2346"/>
      <c r="K410" s="2346"/>
      <c r="L410" s="2346"/>
      <c r="N410" s="2346"/>
      <c r="O410" s="2335"/>
    </row>
    <row r="411" spans="1:15" ht="12" thickBot="1">
      <c r="A411" s="2363"/>
      <c r="O411" s="2335"/>
    </row>
    <row r="412" spans="1:15" ht="12" thickBot="1">
      <c r="A412" s="2363"/>
      <c r="O412" s="2335"/>
    </row>
    <row r="413" spans="1:15" ht="12" thickBot="1">
      <c r="A413" s="2363"/>
      <c r="O413" s="2335"/>
    </row>
    <row r="414" spans="1:15" ht="12" thickBot="1">
      <c r="A414" s="2363"/>
      <c r="O414" s="2335"/>
    </row>
    <row r="415" spans="1:15" ht="12" thickBot="1">
      <c r="A415" s="2363"/>
      <c r="O415" s="2336"/>
    </row>
    <row r="416" spans="1:15" ht="12" thickBot="1">
      <c r="A416" s="2363"/>
    </row>
    <row r="417" spans="1:1" ht="12" thickBot="1">
      <c r="A417" s="2363"/>
    </row>
    <row r="418" spans="1:1">
      <c r="A418" s="2364"/>
    </row>
    <row r="516" spans="1:15" ht="12" thickBot="1">
      <c r="O516" s="2014"/>
    </row>
    <row r="517" spans="1:15" ht="12" thickBot="1">
      <c r="O517" s="2335"/>
    </row>
    <row r="518" spans="1:15" ht="12" thickBot="1">
      <c r="O518" s="2335"/>
    </row>
    <row r="519" spans="1:15" ht="12" thickBot="1">
      <c r="O519" s="2335"/>
    </row>
    <row r="520" spans="1:15" ht="12" thickBot="1">
      <c r="N520" s="2013"/>
      <c r="O520" s="2335"/>
    </row>
    <row r="521" spans="1:15" ht="12" thickBot="1">
      <c r="N521" s="2345"/>
      <c r="O521" s="2335"/>
    </row>
    <row r="522" spans="1:15" ht="12" thickBot="1">
      <c r="N522" s="2345"/>
      <c r="O522" s="2335"/>
    </row>
    <row r="523" spans="1:15" ht="12" thickBot="1">
      <c r="N523" s="2345"/>
      <c r="O523" s="2335"/>
    </row>
    <row r="524" spans="1:15" ht="12" thickBot="1">
      <c r="N524" s="2345"/>
      <c r="O524" s="2335"/>
    </row>
    <row r="525" spans="1:15" ht="12" thickBot="1">
      <c r="A525" s="2012"/>
      <c r="B525" s="2013"/>
      <c r="C525" s="2013"/>
      <c r="D525" s="2013"/>
      <c r="E525" s="2013"/>
      <c r="F525" s="2013"/>
      <c r="G525" s="2013"/>
      <c r="H525" s="2013"/>
      <c r="I525" s="2013"/>
      <c r="J525" s="2013"/>
      <c r="K525" s="2013"/>
      <c r="L525" s="2013"/>
      <c r="N525" s="2345"/>
      <c r="O525" s="2335"/>
    </row>
    <row r="526" spans="1:15" ht="12" thickBot="1">
      <c r="A526" s="2363"/>
      <c r="B526" s="2346"/>
      <c r="C526" s="2346"/>
      <c r="D526" s="2346"/>
      <c r="E526" s="2346"/>
      <c r="F526" s="2346"/>
      <c r="G526" s="2346"/>
      <c r="H526" s="2346"/>
      <c r="I526" s="2346"/>
      <c r="J526" s="2346"/>
      <c r="K526" s="2346"/>
      <c r="L526" s="2346"/>
      <c r="N526" s="2346"/>
      <c r="O526" s="2335"/>
    </row>
    <row r="527" spans="1:15" ht="12" thickBot="1">
      <c r="A527" s="2363"/>
      <c r="O527" s="2335"/>
    </row>
    <row r="528" spans="1:15" ht="12" thickBot="1">
      <c r="A528" s="2363"/>
      <c r="O528" s="2335"/>
    </row>
    <row r="529" spans="1:15" ht="12" thickBot="1">
      <c r="A529" s="2363"/>
      <c r="O529" s="2335"/>
    </row>
    <row r="530" spans="1:15" ht="12" thickBot="1">
      <c r="A530" s="2363"/>
      <c r="O530" s="2335"/>
    </row>
    <row r="531" spans="1:15" ht="12" thickBot="1">
      <c r="A531" s="2363"/>
      <c r="O531" s="2335"/>
    </row>
    <row r="532" spans="1:15" ht="12" thickBot="1">
      <c r="A532" s="2363"/>
      <c r="O532" s="2335"/>
    </row>
    <row r="533" spans="1:15">
      <c r="A533" s="2364"/>
      <c r="O533" s="2336"/>
    </row>
  </sheetData>
  <mergeCells count="85">
    <mergeCell ref="A94:A97"/>
    <mergeCell ref="O94:O97"/>
    <mergeCell ref="O88:O93"/>
    <mergeCell ref="C92:C93"/>
    <mergeCell ref="C96:C97"/>
    <mergeCell ref="M20:M25"/>
    <mergeCell ref="M32:M36"/>
    <mergeCell ref="M43:M47"/>
    <mergeCell ref="M52:M54"/>
    <mergeCell ref="M59:M61"/>
    <mergeCell ref="A137:A140"/>
    <mergeCell ref="O137:O140"/>
    <mergeCell ref="C139:C140"/>
    <mergeCell ref="A55:A61"/>
    <mergeCell ref="O55:O61"/>
    <mergeCell ref="C57:C58"/>
    <mergeCell ref="C60:C61"/>
    <mergeCell ref="A120:A123"/>
    <mergeCell ref="O120:O123"/>
    <mergeCell ref="C122:C123"/>
    <mergeCell ref="A124:A136"/>
    <mergeCell ref="O124:O136"/>
    <mergeCell ref="O116:O119"/>
    <mergeCell ref="C118:C119"/>
    <mergeCell ref="O100:O102"/>
    <mergeCell ref="O103:O107"/>
    <mergeCell ref="A48:A54"/>
    <mergeCell ref="A37:A47"/>
    <mergeCell ref="C39:C42"/>
    <mergeCell ref="A26:A36"/>
    <mergeCell ref="C33:C36"/>
    <mergeCell ref="C28:C31"/>
    <mergeCell ref="C44:C47"/>
    <mergeCell ref="C50:C51"/>
    <mergeCell ref="C53:C54"/>
    <mergeCell ref="C132:C136"/>
    <mergeCell ref="A99:L99"/>
    <mergeCell ref="N132:N136"/>
    <mergeCell ref="N59:N61"/>
    <mergeCell ref="C67:C68"/>
    <mergeCell ref="N66:N68"/>
    <mergeCell ref="C126:C130"/>
    <mergeCell ref="A62:A68"/>
    <mergeCell ref="A116:A119"/>
    <mergeCell ref="N111:N115"/>
    <mergeCell ref="A69:A75"/>
    <mergeCell ref="C64:C65"/>
    <mergeCell ref="M66:M68"/>
    <mergeCell ref="M73:M75"/>
    <mergeCell ref="M111:M115"/>
    <mergeCell ref="M132:M136"/>
    <mergeCell ref="A5:O5"/>
    <mergeCell ref="B6:B8"/>
    <mergeCell ref="C6:C8"/>
    <mergeCell ref="D6:D8"/>
    <mergeCell ref="O6:O8"/>
    <mergeCell ref="N6:N8"/>
    <mergeCell ref="E6:E8"/>
    <mergeCell ref="F6:F8"/>
    <mergeCell ref="G6:L6"/>
    <mergeCell ref="G7:G8"/>
    <mergeCell ref="H7:H8"/>
    <mergeCell ref="I7:I8"/>
    <mergeCell ref="J7:J8"/>
    <mergeCell ref="K7:K8"/>
    <mergeCell ref="L7:L8"/>
    <mergeCell ref="M6:M8"/>
    <mergeCell ref="O48:O54"/>
    <mergeCell ref="N52:N54"/>
    <mergeCell ref="O69:O75"/>
    <mergeCell ref="C71:C72"/>
    <mergeCell ref="N73:N75"/>
    <mergeCell ref="C74:C75"/>
    <mergeCell ref="O62:O68"/>
    <mergeCell ref="N20:N25"/>
    <mergeCell ref="N32:N36"/>
    <mergeCell ref="O26:O36"/>
    <mergeCell ref="N43:N47"/>
    <mergeCell ref="O37:O47"/>
    <mergeCell ref="A76:A86"/>
    <mergeCell ref="O76:O86"/>
    <mergeCell ref="M82:M86"/>
    <mergeCell ref="N82:N86"/>
    <mergeCell ref="C78:C81"/>
    <mergeCell ref="C83:C86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43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__________________________________________________________________________________________________________________________________</oddHeader>
    <oddFooter>&amp;C&amp;8&amp;P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Y554"/>
  <sheetViews>
    <sheetView showGridLines="0" view="pageBreakPreview" topLeftCell="A4" zoomScaleSheetLayoutView="100" workbookViewId="0">
      <pane xSplit="2" ySplit="5" topLeftCell="C93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C148" sqref="C148:C151"/>
    </sheetView>
  </sheetViews>
  <sheetFormatPr defaultColWidth="9.140625" defaultRowHeight="12.75"/>
  <cols>
    <col min="1" max="1" width="4.7109375" style="283" customWidth="1"/>
    <col min="2" max="2" width="61" style="2798" customWidth="1"/>
    <col min="3" max="3" width="10" style="2798" customWidth="1"/>
    <col min="4" max="4" width="14.5703125" style="2798" customWidth="1"/>
    <col min="5" max="5" width="13.7109375" style="2798" customWidth="1"/>
    <col min="6" max="6" width="10.28515625" style="2798" customWidth="1"/>
    <col min="7" max="7" width="9.85546875" style="2798" customWidth="1"/>
    <col min="8" max="8" width="11.28515625" style="2798" customWidth="1"/>
    <col min="9" max="9" width="11" style="2798" customWidth="1"/>
    <col min="10" max="10" width="9.85546875" style="2798" customWidth="1"/>
    <col min="11" max="12" width="10.42578125" style="2798" bestFit="1" customWidth="1"/>
    <col min="13" max="13" width="12.5703125" style="2798" hidden="1" customWidth="1"/>
    <col min="14" max="14" width="12.5703125" style="2798" customWidth="1"/>
    <col min="15" max="15" width="13.5703125" style="2799" customWidth="1"/>
    <col min="16" max="16" width="15.140625" style="2798" customWidth="1"/>
    <col min="17" max="17" width="16.42578125" style="2798" customWidth="1"/>
    <col min="18" max="18" width="9.5703125" style="2798" bestFit="1" customWidth="1"/>
    <col min="19" max="16384" width="9.140625" style="2798"/>
  </cols>
  <sheetData>
    <row r="1" spans="1:77" ht="3.75" customHeight="1">
      <c r="M1" s="6"/>
      <c r="N1" s="6"/>
      <c r="O1" s="7"/>
    </row>
    <row r="2" spans="1:77" ht="15" customHeight="1">
      <c r="B2" s="285"/>
      <c r="E2" s="2800"/>
      <c r="F2" s="2800"/>
      <c r="I2" s="287" t="s">
        <v>772</v>
      </c>
      <c r="J2" s="287"/>
      <c r="K2" s="287"/>
      <c r="L2" s="287"/>
      <c r="M2" s="6"/>
      <c r="N2" s="6"/>
      <c r="O2" s="7"/>
    </row>
    <row r="3" spans="1:77" ht="0.75" customHeight="1">
      <c r="G3" s="288"/>
      <c r="H3" s="288"/>
      <c r="I3" s="288"/>
      <c r="J3" s="288"/>
      <c r="K3" s="288"/>
      <c r="L3" s="288"/>
      <c r="M3" s="6"/>
      <c r="N3" s="6"/>
      <c r="O3" s="7"/>
    </row>
    <row r="4" spans="1:77" ht="3" customHeight="1">
      <c r="D4" s="2800"/>
      <c r="E4" s="2800"/>
      <c r="F4" s="2800"/>
      <c r="G4" s="2800"/>
      <c r="H4" s="2800"/>
      <c r="I4" s="2800"/>
      <c r="J4" s="2800"/>
      <c r="K4" s="2800"/>
      <c r="L4" s="2800"/>
      <c r="M4" s="2800"/>
      <c r="N4" s="6"/>
      <c r="O4" s="7"/>
    </row>
    <row r="5" spans="1:77" s="289" customFormat="1" ht="40.5" customHeight="1" thickBot="1">
      <c r="A5" s="3791" t="s">
        <v>139</v>
      </c>
      <c r="B5" s="3791"/>
      <c r="C5" s="3791"/>
      <c r="D5" s="3791"/>
      <c r="E5" s="3791"/>
      <c r="F5" s="3791"/>
      <c r="G5" s="3791"/>
      <c r="H5" s="3791"/>
      <c r="I5" s="3791"/>
      <c r="J5" s="3791"/>
      <c r="K5" s="3791"/>
      <c r="L5" s="3791"/>
      <c r="M5" s="3791"/>
      <c r="N5" s="3791"/>
      <c r="O5" s="3791"/>
    </row>
    <row r="6" spans="1:77" s="291" customFormat="1" ht="55.5" customHeight="1" thickBot="1">
      <c r="A6" s="142"/>
      <c r="B6" s="3792" t="s">
        <v>67</v>
      </c>
      <c r="C6" s="3468" t="s">
        <v>63</v>
      </c>
      <c r="D6" s="3793" t="s">
        <v>109</v>
      </c>
      <c r="E6" s="3799" t="s">
        <v>517</v>
      </c>
      <c r="F6" s="3293" t="s">
        <v>573</v>
      </c>
      <c r="G6" s="3485" t="s">
        <v>513</v>
      </c>
      <c r="H6" s="3486"/>
      <c r="I6" s="3486"/>
      <c r="J6" s="3486"/>
      <c r="K6" s="3486"/>
      <c r="L6" s="3487"/>
      <c r="M6" s="3477" t="s">
        <v>528</v>
      </c>
      <c r="N6" s="3477" t="s">
        <v>514</v>
      </c>
      <c r="O6" s="3795" t="s">
        <v>65</v>
      </c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290"/>
      <c r="AH6" s="290"/>
      <c r="AI6" s="290"/>
      <c r="AJ6" s="290"/>
      <c r="AK6" s="290"/>
      <c r="AL6" s="290"/>
      <c r="AM6" s="290"/>
      <c r="AN6" s="290"/>
      <c r="AO6" s="290"/>
      <c r="AP6" s="290"/>
      <c r="AQ6" s="290"/>
      <c r="AR6" s="290"/>
      <c r="AS6" s="290"/>
      <c r="AT6" s="290"/>
      <c r="AU6" s="290"/>
      <c r="AV6" s="290"/>
      <c r="AW6" s="290"/>
      <c r="AX6" s="290"/>
      <c r="AY6" s="290"/>
      <c r="AZ6" s="290"/>
      <c r="BA6" s="290"/>
      <c r="BB6" s="290"/>
      <c r="BC6" s="290"/>
      <c r="BD6" s="290"/>
      <c r="BE6" s="290"/>
      <c r="BF6" s="290"/>
      <c r="BG6" s="290"/>
      <c r="BH6" s="290"/>
      <c r="BI6" s="290"/>
      <c r="BJ6" s="290"/>
      <c r="BK6" s="290"/>
      <c r="BL6" s="290"/>
      <c r="BM6" s="290"/>
      <c r="BN6" s="290"/>
      <c r="BO6" s="290"/>
      <c r="BP6" s="290"/>
      <c r="BQ6" s="290"/>
      <c r="BR6" s="290"/>
      <c r="BS6" s="290"/>
      <c r="BT6" s="290"/>
      <c r="BU6" s="290"/>
      <c r="BV6" s="290"/>
      <c r="BW6" s="290"/>
      <c r="BX6" s="290"/>
      <c r="BY6" s="290"/>
    </row>
    <row r="7" spans="1:77" s="291" customFormat="1" ht="14.25" customHeight="1" thickBot="1">
      <c r="A7" s="143"/>
      <c r="B7" s="3792"/>
      <c r="C7" s="3469"/>
      <c r="D7" s="3794"/>
      <c r="E7" s="3800"/>
      <c r="F7" s="3295"/>
      <c r="G7" s="2931" t="s">
        <v>6</v>
      </c>
      <c r="H7" s="292" t="s">
        <v>202</v>
      </c>
      <c r="I7" s="292" t="s">
        <v>203</v>
      </c>
      <c r="J7" s="292" t="s">
        <v>248</v>
      </c>
      <c r="K7" s="292" t="s">
        <v>249</v>
      </c>
      <c r="L7" s="292" t="s">
        <v>250</v>
      </c>
      <c r="M7" s="3797"/>
      <c r="N7" s="3797"/>
      <c r="O7" s="3796"/>
      <c r="P7" s="174"/>
      <c r="Q7" s="290"/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/>
      <c r="AF7" s="290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  <c r="AV7" s="290"/>
      <c r="AW7" s="290"/>
      <c r="AX7" s="290"/>
      <c r="AY7" s="290"/>
      <c r="AZ7" s="290"/>
      <c r="BA7" s="290"/>
      <c r="BB7" s="290"/>
      <c r="BC7" s="290"/>
      <c r="BD7" s="290"/>
      <c r="BE7" s="290"/>
      <c r="BF7" s="290"/>
      <c r="BG7" s="290"/>
      <c r="BH7" s="290"/>
      <c r="BI7" s="290"/>
      <c r="BJ7" s="290"/>
      <c r="BK7" s="290"/>
      <c r="BL7" s="290"/>
      <c r="BM7" s="290"/>
      <c r="BN7" s="290"/>
      <c r="BO7" s="290"/>
      <c r="BP7" s="290"/>
      <c r="BQ7" s="290"/>
      <c r="BR7" s="290"/>
      <c r="BS7" s="290"/>
      <c r="BT7" s="290"/>
      <c r="BU7" s="290"/>
      <c r="BV7" s="290"/>
      <c r="BW7" s="290"/>
      <c r="BX7" s="290"/>
      <c r="BY7" s="290"/>
    </row>
    <row r="8" spans="1:77" s="291" customFormat="1" ht="12.75" customHeight="1">
      <c r="A8" s="844">
        <v>1</v>
      </c>
      <c r="B8" s="845">
        <v>2</v>
      </c>
      <c r="C8" s="846" t="s">
        <v>110</v>
      </c>
      <c r="D8" s="846" t="s">
        <v>111</v>
      </c>
      <c r="E8" s="1215">
        <v>5</v>
      </c>
      <c r="F8" s="846">
        <v>6</v>
      </c>
      <c r="G8" s="846">
        <v>7</v>
      </c>
      <c r="H8" s="846">
        <v>8</v>
      </c>
      <c r="I8" s="846">
        <v>9</v>
      </c>
      <c r="J8" s="846">
        <v>10</v>
      </c>
      <c r="K8" s="846">
        <v>11</v>
      </c>
      <c r="L8" s="846">
        <v>12</v>
      </c>
      <c r="M8" s="847">
        <v>13</v>
      </c>
      <c r="N8" s="847">
        <v>13</v>
      </c>
      <c r="O8" s="848">
        <v>14</v>
      </c>
      <c r="P8" s="291" t="s">
        <v>240</v>
      </c>
    </row>
    <row r="9" spans="1:77" s="2454" customFormat="1" ht="16.5" customHeight="1">
      <c r="A9" s="184"/>
      <c r="B9" s="369" t="s">
        <v>68</v>
      </c>
      <c r="C9" s="354"/>
      <c r="D9" s="355">
        <f>+D10+D11</f>
        <v>335590850</v>
      </c>
      <c r="E9" s="355">
        <f t="shared" ref="E9" si="0">+E10+E11</f>
        <v>27647365</v>
      </c>
      <c r="F9" s="355">
        <f t="shared" ref="F9:N9" si="1">+F10+F11</f>
        <v>29945877</v>
      </c>
      <c r="G9" s="355">
        <f t="shared" si="1"/>
        <v>37937794</v>
      </c>
      <c r="H9" s="215">
        <f t="shared" si="1"/>
        <v>52028772</v>
      </c>
      <c r="I9" s="215">
        <f t="shared" si="1"/>
        <v>81241012</v>
      </c>
      <c r="J9" s="215">
        <f t="shared" si="1"/>
        <v>55133386</v>
      </c>
      <c r="K9" s="215">
        <f t="shared" si="1"/>
        <v>26203709</v>
      </c>
      <c r="L9" s="215">
        <f t="shared" si="1"/>
        <v>25452935</v>
      </c>
      <c r="M9" s="145">
        <f t="shared" ref="M9" si="2">+M10+M11</f>
        <v>307943485</v>
      </c>
      <c r="N9" s="145">
        <f t="shared" si="1"/>
        <v>277997608</v>
      </c>
      <c r="O9" s="17"/>
      <c r="P9" s="2455">
        <f>M9-M12</f>
        <v>0</v>
      </c>
      <c r="Q9" s="2455"/>
    </row>
    <row r="10" spans="1:77" s="2454" customFormat="1">
      <c r="A10" s="184"/>
      <c r="B10" s="205" t="s">
        <v>69</v>
      </c>
      <c r="C10" s="206"/>
      <c r="D10" s="207">
        <f t="shared" ref="D10:L10" si="3">+D27+D72+D94-D102+D156+D186+D213-D217+D39</f>
        <v>234637602</v>
      </c>
      <c r="E10" s="207">
        <f t="shared" si="3"/>
        <v>26885682</v>
      </c>
      <c r="F10" s="207">
        <f t="shared" si="3"/>
        <v>28488169</v>
      </c>
      <c r="G10" s="207">
        <f t="shared" si="3"/>
        <v>35520519</v>
      </c>
      <c r="H10" s="207">
        <f t="shared" si="3"/>
        <v>33411645</v>
      </c>
      <c r="I10" s="207">
        <f t="shared" si="3"/>
        <v>32145430</v>
      </c>
      <c r="J10" s="207">
        <f t="shared" si="3"/>
        <v>26874013</v>
      </c>
      <c r="K10" s="207">
        <f t="shared" si="3"/>
        <v>26003709</v>
      </c>
      <c r="L10" s="207">
        <f t="shared" si="3"/>
        <v>25308435</v>
      </c>
      <c r="M10" s="480">
        <f>+M27+M72+M94+M156+M186+M213+M39</f>
        <v>207751920</v>
      </c>
      <c r="N10" s="480">
        <f>+N27+N72+N94+N156+N186+N213+N39</f>
        <v>179263751</v>
      </c>
      <c r="O10" s="17"/>
      <c r="P10" s="2455">
        <f>F10+G10+H10+I10+J10+K10+L10-M10</f>
        <v>0</v>
      </c>
      <c r="Q10" s="2455"/>
    </row>
    <row r="11" spans="1:77" s="2454" customFormat="1" ht="13.5" thickBot="1">
      <c r="A11" s="184"/>
      <c r="B11" s="208" t="s">
        <v>9</v>
      </c>
      <c r="C11" s="209"/>
      <c r="D11" s="210">
        <f>D60+D83+D119-D121+D170+D197+D226</f>
        <v>100953248</v>
      </c>
      <c r="E11" s="210">
        <f t="shared" ref="E11:L11" si="4">E60+E83+E119-E121+E170+E197+E226</f>
        <v>761683</v>
      </c>
      <c r="F11" s="210">
        <f t="shared" si="4"/>
        <v>1457708</v>
      </c>
      <c r="G11" s="210">
        <f t="shared" si="4"/>
        <v>2417275</v>
      </c>
      <c r="H11" s="210">
        <f t="shared" si="4"/>
        <v>18617127</v>
      </c>
      <c r="I11" s="210">
        <f t="shared" si="4"/>
        <v>49095582</v>
      </c>
      <c r="J11" s="210">
        <f t="shared" si="4"/>
        <v>28259373</v>
      </c>
      <c r="K11" s="210">
        <f t="shared" si="4"/>
        <v>200000</v>
      </c>
      <c r="L11" s="210">
        <f t="shared" si="4"/>
        <v>144500</v>
      </c>
      <c r="M11" s="18">
        <f>+M60+M83+M119+M170+M197+M226</f>
        <v>100191565</v>
      </c>
      <c r="N11" s="18">
        <f>+N60+N83+N119+N170+N197+N226</f>
        <v>98733857</v>
      </c>
      <c r="O11" s="17"/>
      <c r="P11" s="2455">
        <f>F11+G11+H11+I11+J11+K11+L11-M11</f>
        <v>0</v>
      </c>
    </row>
    <row r="12" spans="1:77" s="295" customFormat="1" ht="13.5" customHeight="1">
      <c r="A12" s="148"/>
      <c r="B12" s="149" t="s">
        <v>10</v>
      </c>
      <c r="C12" s="150"/>
      <c r="D12" s="151">
        <f>+D13+D18</f>
        <v>337166574</v>
      </c>
      <c r="E12" s="151">
        <f t="shared" ref="E12" si="5">+E13+E18</f>
        <v>28038481</v>
      </c>
      <c r="F12" s="151">
        <f t="shared" ref="F12:L12" si="6">+F13+F18</f>
        <v>30335756</v>
      </c>
      <c r="G12" s="151">
        <f t="shared" si="6"/>
        <v>38368735</v>
      </c>
      <c r="H12" s="151">
        <f t="shared" si="6"/>
        <v>52123040</v>
      </c>
      <c r="I12" s="151">
        <f t="shared" si="6"/>
        <v>81318477</v>
      </c>
      <c r="J12" s="151">
        <f t="shared" si="6"/>
        <v>55197405</v>
      </c>
      <c r="K12" s="151">
        <f t="shared" si="6"/>
        <v>26267727</v>
      </c>
      <c r="L12" s="151">
        <f t="shared" si="6"/>
        <v>25516953</v>
      </c>
      <c r="M12" s="185">
        <f>+M13+M18</f>
        <v>307943485</v>
      </c>
      <c r="N12" s="185">
        <f>+N13+N18</f>
        <v>277997608</v>
      </c>
      <c r="O12" s="146"/>
      <c r="P12" s="2455"/>
      <c r="Q12" s="294"/>
    </row>
    <row r="13" spans="1:77" s="300" customFormat="1" ht="13.5" customHeight="1">
      <c r="A13" s="144"/>
      <c r="B13" s="152" t="s">
        <v>11</v>
      </c>
      <c r="C13" s="153"/>
      <c r="D13" s="296">
        <f>+D14+D15+D16+D17</f>
        <v>67637060</v>
      </c>
      <c r="E13" s="296">
        <f t="shared" ref="E13" si="7">+E14+E15+E16+E17</f>
        <v>4917396</v>
      </c>
      <c r="F13" s="296">
        <f t="shared" ref="F13:L13" si="8">+F14+F15+F16+F17</f>
        <v>5683802</v>
      </c>
      <c r="G13" s="296">
        <f t="shared" si="8"/>
        <v>6596641</v>
      </c>
      <c r="H13" s="296">
        <f t="shared" si="8"/>
        <v>10930921</v>
      </c>
      <c r="I13" s="296">
        <f t="shared" si="8"/>
        <v>17794141</v>
      </c>
      <c r="J13" s="296">
        <f t="shared" si="8"/>
        <v>15546957</v>
      </c>
      <c r="K13" s="296">
        <f t="shared" si="8"/>
        <v>3053228</v>
      </c>
      <c r="L13" s="296">
        <f t="shared" si="8"/>
        <v>3113974</v>
      </c>
      <c r="M13" s="297">
        <f>+M14+M15+M16+M17</f>
        <v>61535056</v>
      </c>
      <c r="N13" s="297">
        <f>+N14+N15+N16+N17</f>
        <v>56241133</v>
      </c>
      <c r="O13" s="298"/>
      <c r="P13" s="2455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</row>
    <row r="14" spans="1:77" s="303" customFormat="1" ht="12" customHeight="1">
      <c r="A14" s="154"/>
      <c r="B14" s="155" t="s">
        <v>12</v>
      </c>
      <c r="C14" s="156"/>
      <c r="D14" s="301">
        <f t="shared" ref="D14:L14" si="9">+D96+D140+D215+D29+D41+D62</f>
        <v>63847150</v>
      </c>
      <c r="E14" s="301">
        <f t="shared" si="9"/>
        <v>4104948</v>
      </c>
      <c r="F14" s="301">
        <f t="shared" si="9"/>
        <v>4898522</v>
      </c>
      <c r="G14" s="301">
        <f t="shared" si="9"/>
        <v>5272545</v>
      </c>
      <c r="H14" s="301">
        <f t="shared" si="9"/>
        <v>10582821</v>
      </c>
      <c r="I14" s="301">
        <f t="shared" si="9"/>
        <v>17466210</v>
      </c>
      <c r="J14" s="301">
        <f t="shared" si="9"/>
        <v>15482938</v>
      </c>
      <c r="K14" s="301">
        <f t="shared" si="9"/>
        <v>2989210</v>
      </c>
      <c r="L14" s="301">
        <f t="shared" si="9"/>
        <v>3049956</v>
      </c>
      <c r="M14" s="302">
        <f>SUM(F14:L14)</f>
        <v>59742202</v>
      </c>
      <c r="N14" s="302">
        <f t="shared" ref="M14:N16" si="10">SUM(G14:L14)</f>
        <v>54843680</v>
      </c>
      <c r="O14" s="146"/>
      <c r="P14" s="2455">
        <f t="shared" ref="P14:P19" si="11">F14+G14+H14+I14+J14+K14+L14-M14</f>
        <v>0</v>
      </c>
      <c r="Q14" s="303" t="s">
        <v>276</v>
      </c>
    </row>
    <row r="15" spans="1:77" s="303" customFormat="1" ht="11.25" customHeight="1">
      <c r="A15" s="154"/>
      <c r="B15" s="304" t="s">
        <v>13</v>
      </c>
      <c r="C15" s="305"/>
      <c r="D15" s="301">
        <f t="shared" ref="D15:L15" si="12">+D63+D74+D85+D216+D228+D45</f>
        <v>2214186</v>
      </c>
      <c r="E15" s="301">
        <f t="shared" si="12"/>
        <v>421332</v>
      </c>
      <c r="F15" s="301">
        <f t="shared" si="12"/>
        <v>395401</v>
      </c>
      <c r="G15" s="301">
        <f t="shared" si="12"/>
        <v>893155</v>
      </c>
      <c r="H15" s="301">
        <f t="shared" si="12"/>
        <v>253832</v>
      </c>
      <c r="I15" s="301">
        <f t="shared" si="12"/>
        <v>250466</v>
      </c>
      <c r="J15" s="301">
        <f t="shared" si="12"/>
        <v>0</v>
      </c>
      <c r="K15" s="301">
        <f t="shared" si="12"/>
        <v>0</v>
      </c>
      <c r="L15" s="301">
        <f t="shared" si="12"/>
        <v>0</v>
      </c>
      <c r="M15" s="302">
        <f>SUM(F15:L15)</f>
        <v>1792854</v>
      </c>
      <c r="N15" s="302">
        <f t="shared" si="10"/>
        <v>1397453</v>
      </c>
      <c r="O15" s="146"/>
      <c r="P15" s="2455">
        <f t="shared" si="11"/>
        <v>0</v>
      </c>
    </row>
    <row r="16" spans="1:77" s="303" customFormat="1" ht="15" hidden="1" customHeight="1">
      <c r="A16" s="154"/>
      <c r="B16" s="304" t="s">
        <v>16</v>
      </c>
      <c r="C16" s="305"/>
      <c r="D16" s="306">
        <f>+D141</f>
        <v>0</v>
      </c>
      <c r="E16" s="306">
        <f t="shared" ref="E16:L16" si="13">+E141</f>
        <v>0</v>
      </c>
      <c r="F16" s="306">
        <f t="shared" si="13"/>
        <v>0</v>
      </c>
      <c r="G16" s="306">
        <f t="shared" si="13"/>
        <v>0</v>
      </c>
      <c r="H16" s="306">
        <f t="shared" si="13"/>
        <v>0</v>
      </c>
      <c r="I16" s="306">
        <f t="shared" si="13"/>
        <v>0</v>
      </c>
      <c r="J16" s="306">
        <f t="shared" si="13"/>
        <v>0</v>
      </c>
      <c r="K16" s="306">
        <f t="shared" si="13"/>
        <v>0</v>
      </c>
      <c r="L16" s="306">
        <f t="shared" si="13"/>
        <v>0</v>
      </c>
      <c r="M16" s="302">
        <f t="shared" si="10"/>
        <v>0</v>
      </c>
      <c r="N16" s="302">
        <f t="shared" si="10"/>
        <v>0</v>
      </c>
      <c r="O16" s="146"/>
      <c r="P16" s="2455">
        <f t="shared" si="11"/>
        <v>0</v>
      </c>
    </row>
    <row r="17" spans="1:27" s="303" customFormat="1" ht="12" customHeight="1">
      <c r="A17" s="154"/>
      <c r="B17" s="304" t="s">
        <v>31</v>
      </c>
      <c r="C17" s="305"/>
      <c r="D17" s="306">
        <f t="shared" ref="D17:L17" si="14">D102+D121+D217</f>
        <v>1575724</v>
      </c>
      <c r="E17" s="306">
        <f t="shared" si="14"/>
        <v>391116</v>
      </c>
      <c r="F17" s="306">
        <f t="shared" si="14"/>
        <v>389879</v>
      </c>
      <c r="G17" s="306">
        <f t="shared" si="14"/>
        <v>430941</v>
      </c>
      <c r="H17" s="306">
        <f t="shared" si="14"/>
        <v>94268</v>
      </c>
      <c r="I17" s="306">
        <f t="shared" si="14"/>
        <v>77465</v>
      </c>
      <c r="J17" s="306">
        <f t="shared" si="14"/>
        <v>64019</v>
      </c>
      <c r="K17" s="306">
        <f t="shared" si="14"/>
        <v>64018</v>
      </c>
      <c r="L17" s="306">
        <f t="shared" si="14"/>
        <v>64018</v>
      </c>
      <c r="M17" s="307">
        <f>M102+M121</f>
        <v>0</v>
      </c>
      <c r="N17" s="307">
        <f>N102+N121</f>
        <v>0</v>
      </c>
      <c r="O17" s="146"/>
      <c r="P17" s="2455">
        <f>D15-D22</f>
        <v>0</v>
      </c>
    </row>
    <row r="18" spans="1:27" s="300" customFormat="1" ht="12" customHeight="1">
      <c r="A18" s="144"/>
      <c r="B18" s="157" t="s">
        <v>18</v>
      </c>
      <c r="C18" s="158"/>
      <c r="D18" s="159">
        <f>SUM(D19)</f>
        <v>269529514</v>
      </c>
      <c r="E18" s="159">
        <f t="shared" ref="E18" si="15">SUM(E19)</f>
        <v>23121085</v>
      </c>
      <c r="F18" s="159">
        <f t="shared" ref="F18:N18" si="16">SUM(F19)</f>
        <v>24651954</v>
      </c>
      <c r="G18" s="159">
        <f t="shared" si="16"/>
        <v>31772094</v>
      </c>
      <c r="H18" s="159">
        <f t="shared" si="16"/>
        <v>41192119</v>
      </c>
      <c r="I18" s="159">
        <f t="shared" si="16"/>
        <v>63524336</v>
      </c>
      <c r="J18" s="159">
        <f t="shared" si="16"/>
        <v>39650448</v>
      </c>
      <c r="K18" s="159">
        <f t="shared" si="16"/>
        <v>23214499</v>
      </c>
      <c r="L18" s="159">
        <f t="shared" si="16"/>
        <v>22402979</v>
      </c>
      <c r="M18" s="297">
        <f t="shared" si="16"/>
        <v>246408429</v>
      </c>
      <c r="N18" s="297">
        <f t="shared" si="16"/>
        <v>221756475</v>
      </c>
      <c r="O18" s="298"/>
      <c r="P18" s="2455">
        <f t="shared" si="11"/>
        <v>0</v>
      </c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</row>
    <row r="19" spans="1:27" s="312" customFormat="1" ht="12" customHeight="1">
      <c r="A19" s="160"/>
      <c r="B19" s="308" t="s">
        <v>20</v>
      </c>
      <c r="C19" s="309"/>
      <c r="D19" s="301">
        <f t="shared" ref="D19:L19" si="17">+D31+D65+D76+D87+D106+D125+D143+D219+D230+D50</f>
        <v>269529514</v>
      </c>
      <c r="E19" s="301">
        <f t="shared" si="17"/>
        <v>23121085</v>
      </c>
      <c r="F19" s="301">
        <f t="shared" si="17"/>
        <v>24651954</v>
      </c>
      <c r="G19" s="301">
        <f t="shared" si="17"/>
        <v>31772094</v>
      </c>
      <c r="H19" s="301">
        <f t="shared" si="17"/>
        <v>41192119</v>
      </c>
      <c r="I19" s="301">
        <f t="shared" si="17"/>
        <v>63524336</v>
      </c>
      <c r="J19" s="301">
        <f t="shared" si="17"/>
        <v>39650448</v>
      </c>
      <c r="K19" s="301">
        <f t="shared" si="17"/>
        <v>23214499</v>
      </c>
      <c r="L19" s="301">
        <f t="shared" si="17"/>
        <v>22402979</v>
      </c>
      <c r="M19" s="302">
        <f>SUM(F19:L19)</f>
        <v>246408429</v>
      </c>
      <c r="N19" s="302">
        <f>SUM(G19:L19)</f>
        <v>221756475</v>
      </c>
      <c r="O19" s="310"/>
      <c r="P19" s="2455">
        <f t="shared" si="11"/>
        <v>0</v>
      </c>
      <c r="Q19" s="311"/>
      <c r="R19" s="311"/>
      <c r="S19" s="311"/>
      <c r="T19" s="311"/>
      <c r="U19" s="311"/>
      <c r="V19" s="311"/>
      <c r="W19" s="311"/>
      <c r="X19" s="311"/>
      <c r="Y19" s="311"/>
      <c r="Z19" s="311"/>
      <c r="AA19" s="311"/>
    </row>
    <row r="20" spans="1:27" s="312" customFormat="1" ht="12.75" customHeight="1">
      <c r="A20" s="160"/>
      <c r="B20" s="78" t="s">
        <v>21</v>
      </c>
      <c r="C20" s="358"/>
      <c r="D20" s="359">
        <f>+D21+D24</f>
        <v>271743700</v>
      </c>
      <c r="E20" s="359">
        <f t="shared" ref="E20" si="18">+E21+E24</f>
        <v>17710330</v>
      </c>
      <c r="F20" s="359">
        <f t="shared" ref="F20:L20" si="19">+F21+F24</f>
        <v>26495814</v>
      </c>
      <c r="G20" s="359">
        <f t="shared" si="19"/>
        <v>31058560</v>
      </c>
      <c r="H20" s="359">
        <f t="shared" si="19"/>
        <v>42115448</v>
      </c>
      <c r="I20" s="359">
        <f t="shared" si="19"/>
        <v>52510997</v>
      </c>
      <c r="J20" s="359">
        <f t="shared" si="19"/>
        <v>41812431</v>
      </c>
      <c r="K20" s="359">
        <f t="shared" si="19"/>
        <v>23772239</v>
      </c>
      <c r="L20" s="359">
        <f t="shared" si="19"/>
        <v>22801167</v>
      </c>
      <c r="M20" s="3798" t="s">
        <v>53</v>
      </c>
      <c r="N20" s="3798" t="s">
        <v>53</v>
      </c>
      <c r="O20" s="146"/>
      <c r="P20" s="316">
        <f>D77+D88+D115+D134+D147+D220+D54+D35+D66+D231</f>
        <v>271743700</v>
      </c>
      <c r="Q20" s="311"/>
      <c r="R20" s="311"/>
      <c r="S20" s="311"/>
      <c r="T20" s="311"/>
      <c r="U20" s="311"/>
      <c r="V20" s="311"/>
      <c r="W20" s="311"/>
      <c r="X20" s="311"/>
      <c r="Y20" s="311"/>
      <c r="Z20" s="311"/>
      <c r="AA20" s="311"/>
    </row>
    <row r="21" spans="1:27" s="300" customFormat="1" ht="12" customHeight="1">
      <c r="A21" s="144"/>
      <c r="B21" s="152" t="s">
        <v>11</v>
      </c>
      <c r="C21" s="153"/>
      <c r="D21" s="296">
        <f>+D22+D23</f>
        <v>2214186</v>
      </c>
      <c r="E21" s="296">
        <f t="shared" ref="E21" si="20">+E22+E23</f>
        <v>413005</v>
      </c>
      <c r="F21" s="296">
        <f t="shared" ref="F21:L21" si="21">+F22+F23</f>
        <v>369575</v>
      </c>
      <c r="G21" s="296">
        <f t="shared" si="21"/>
        <v>899520</v>
      </c>
      <c r="H21" s="296">
        <f t="shared" si="21"/>
        <v>267204</v>
      </c>
      <c r="I21" s="296">
        <f t="shared" si="21"/>
        <v>244649</v>
      </c>
      <c r="J21" s="296">
        <f t="shared" si="21"/>
        <v>20233</v>
      </c>
      <c r="K21" s="296">
        <f t="shared" si="21"/>
        <v>0</v>
      </c>
      <c r="L21" s="296">
        <f t="shared" si="21"/>
        <v>0</v>
      </c>
      <c r="M21" s="3662"/>
      <c r="N21" s="3662"/>
      <c r="O21" s="298"/>
      <c r="P21" s="316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</row>
    <row r="22" spans="1:27" s="312" customFormat="1" ht="12" customHeight="1">
      <c r="A22" s="160"/>
      <c r="B22" s="304" t="s">
        <v>13</v>
      </c>
      <c r="C22" s="313"/>
      <c r="D22" s="301">
        <f t="shared" ref="D22:L22" si="22">+D68+D79+D222+D233+D90+D56</f>
        <v>2214186</v>
      </c>
      <c r="E22" s="301">
        <f t="shared" si="22"/>
        <v>413005</v>
      </c>
      <c r="F22" s="301">
        <f t="shared" si="22"/>
        <v>369575</v>
      </c>
      <c r="G22" s="301">
        <f t="shared" si="22"/>
        <v>899520</v>
      </c>
      <c r="H22" s="301">
        <f t="shared" si="22"/>
        <v>267204</v>
      </c>
      <c r="I22" s="301">
        <f t="shared" si="22"/>
        <v>244649</v>
      </c>
      <c r="J22" s="301">
        <f t="shared" si="22"/>
        <v>20233</v>
      </c>
      <c r="K22" s="301">
        <f t="shared" si="22"/>
        <v>0</v>
      </c>
      <c r="L22" s="301">
        <f t="shared" si="22"/>
        <v>0</v>
      </c>
      <c r="M22" s="3662"/>
      <c r="N22" s="3662"/>
      <c r="O22" s="310"/>
      <c r="P22" s="316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</row>
    <row r="23" spans="1:27" s="312" customFormat="1" ht="12" hidden="1" customHeight="1">
      <c r="A23" s="160"/>
      <c r="B23" s="304" t="s">
        <v>16</v>
      </c>
      <c r="C23" s="313"/>
      <c r="D23" s="306">
        <f>+D149</f>
        <v>0</v>
      </c>
      <c r="E23" s="306">
        <f>+E149</f>
        <v>0</v>
      </c>
      <c r="F23" s="306">
        <f>+F149</f>
        <v>0</v>
      </c>
      <c r="G23" s="306">
        <f t="shared" ref="G23:L23" si="23">+G149</f>
        <v>0</v>
      </c>
      <c r="H23" s="306">
        <f t="shared" si="23"/>
        <v>0</v>
      </c>
      <c r="I23" s="306">
        <f t="shared" si="23"/>
        <v>0</v>
      </c>
      <c r="J23" s="306">
        <f t="shared" si="23"/>
        <v>0</v>
      </c>
      <c r="K23" s="306">
        <f t="shared" si="23"/>
        <v>0</v>
      </c>
      <c r="L23" s="306">
        <f t="shared" si="23"/>
        <v>0</v>
      </c>
      <c r="M23" s="3662"/>
      <c r="N23" s="3662"/>
      <c r="O23" s="310"/>
      <c r="P23" s="316"/>
      <c r="Q23" s="311"/>
      <c r="R23" s="311"/>
      <c r="S23" s="311"/>
      <c r="T23" s="311"/>
      <c r="U23" s="311"/>
      <c r="V23" s="311"/>
      <c r="W23" s="311"/>
      <c r="X23" s="311"/>
      <c r="Y23" s="311"/>
      <c r="Z23" s="311"/>
      <c r="AA23" s="311"/>
    </row>
    <row r="24" spans="1:27" s="300" customFormat="1" ht="12" customHeight="1">
      <c r="A24" s="144"/>
      <c r="B24" s="157" t="s">
        <v>18</v>
      </c>
      <c r="C24" s="158"/>
      <c r="D24" s="159">
        <f>+D25</f>
        <v>269529514</v>
      </c>
      <c r="E24" s="159">
        <f t="shared" ref="E24" si="24">+E25</f>
        <v>17297325</v>
      </c>
      <c r="F24" s="159">
        <f t="shared" ref="F24:L24" si="25">+F25</f>
        <v>26126239</v>
      </c>
      <c r="G24" s="159">
        <f t="shared" si="25"/>
        <v>30159040</v>
      </c>
      <c r="H24" s="159">
        <f t="shared" si="25"/>
        <v>41848244</v>
      </c>
      <c r="I24" s="159">
        <f t="shared" si="25"/>
        <v>52266348</v>
      </c>
      <c r="J24" s="159">
        <f t="shared" si="25"/>
        <v>41792198</v>
      </c>
      <c r="K24" s="159">
        <f t="shared" si="25"/>
        <v>23772239</v>
      </c>
      <c r="L24" s="159">
        <f t="shared" si="25"/>
        <v>22801167</v>
      </c>
      <c r="M24" s="3662"/>
      <c r="N24" s="3662"/>
      <c r="O24" s="298"/>
      <c r="P24" s="316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</row>
    <row r="25" spans="1:27" s="312" customFormat="1" ht="12" customHeight="1" thickBot="1">
      <c r="A25" s="161"/>
      <c r="B25" s="314" t="s">
        <v>20</v>
      </c>
      <c r="C25" s="162"/>
      <c r="D25" s="163">
        <f t="shared" ref="D25:L25" si="26">+D37+D70+D81+D92+D117+D136+D151+D224+D235+D58</f>
        <v>269529514</v>
      </c>
      <c r="E25" s="163">
        <f t="shared" si="26"/>
        <v>17297325</v>
      </c>
      <c r="F25" s="163">
        <f t="shared" si="26"/>
        <v>26126239</v>
      </c>
      <c r="G25" s="163">
        <f t="shared" si="26"/>
        <v>30159040</v>
      </c>
      <c r="H25" s="163">
        <f t="shared" si="26"/>
        <v>41848244</v>
      </c>
      <c r="I25" s="163">
        <f t="shared" si="26"/>
        <v>52266348</v>
      </c>
      <c r="J25" s="163">
        <f t="shared" si="26"/>
        <v>41792198</v>
      </c>
      <c r="K25" s="163">
        <f t="shared" si="26"/>
        <v>23772239</v>
      </c>
      <c r="L25" s="163">
        <f t="shared" si="26"/>
        <v>22801167</v>
      </c>
      <c r="M25" s="3663"/>
      <c r="N25" s="3663"/>
      <c r="O25" s="315"/>
      <c r="P25" s="316">
        <f>D19-D25</f>
        <v>0</v>
      </c>
      <c r="Q25" s="311"/>
      <c r="R25" s="311"/>
      <c r="S25" s="311"/>
      <c r="T25" s="311"/>
      <c r="U25" s="311"/>
      <c r="V25" s="311"/>
      <c r="W25" s="311"/>
      <c r="X25" s="311"/>
      <c r="Y25" s="311"/>
      <c r="Z25" s="311"/>
      <c r="AA25" s="311"/>
    </row>
    <row r="26" spans="1:27" s="311" customFormat="1" ht="25.5" customHeight="1">
      <c r="A26" s="3772" t="s">
        <v>55</v>
      </c>
      <c r="B26" s="164" t="s">
        <v>721</v>
      </c>
      <c r="C26" s="165" t="s">
        <v>101</v>
      </c>
      <c r="D26" s="181"/>
      <c r="E26" s="180"/>
      <c r="F26" s="180"/>
      <c r="G26" s="180"/>
      <c r="H26" s="180"/>
      <c r="I26" s="180"/>
      <c r="J26" s="180"/>
      <c r="K26" s="180"/>
      <c r="L26" s="245"/>
      <c r="M26" s="317"/>
      <c r="N26" s="317"/>
      <c r="O26" s="3808" t="s">
        <v>368</v>
      </c>
      <c r="P26" s="316"/>
    </row>
    <row r="27" spans="1:27" s="311" customFormat="1" ht="14.25" customHeight="1">
      <c r="A27" s="3773"/>
      <c r="B27" s="21" t="s">
        <v>10</v>
      </c>
      <c r="C27" s="3014"/>
      <c r="D27" s="318">
        <f>+D28+D30</f>
        <v>1966760</v>
      </c>
      <c r="E27" s="318">
        <f t="shared" ref="E27" si="27">+E28+E30</f>
        <v>192432</v>
      </c>
      <c r="F27" s="318">
        <f t="shared" ref="F27:K27" si="28">+F28+F30</f>
        <v>190282</v>
      </c>
      <c r="G27" s="318">
        <f t="shared" si="28"/>
        <v>235896</v>
      </c>
      <c r="H27" s="318">
        <f t="shared" si="28"/>
        <v>281170</v>
      </c>
      <c r="I27" s="318">
        <f t="shared" si="28"/>
        <v>281170</v>
      </c>
      <c r="J27" s="318">
        <f t="shared" si="28"/>
        <v>280970</v>
      </c>
      <c r="K27" s="318">
        <f t="shared" si="28"/>
        <v>504840</v>
      </c>
      <c r="L27" s="318"/>
      <c r="M27" s="3015">
        <f>M28+M30</f>
        <v>1774328</v>
      </c>
      <c r="N27" s="3015">
        <f>N28+N30</f>
        <v>1584046</v>
      </c>
      <c r="O27" s="3809"/>
      <c r="P27" s="2455"/>
    </row>
    <row r="28" spans="1:27" s="1634" customFormat="1" ht="12" customHeight="1">
      <c r="A28" s="3773"/>
      <c r="B28" s="508" t="s">
        <v>23</v>
      </c>
      <c r="C28" s="3743" t="s">
        <v>140</v>
      </c>
      <c r="D28" s="319">
        <f>+D29</f>
        <v>2000</v>
      </c>
      <c r="E28" s="319">
        <f t="shared" ref="E28" si="29">+E29</f>
        <v>10</v>
      </c>
      <c r="F28" s="319">
        <f t="shared" ref="F28:K28" si="30">+F29</f>
        <v>0</v>
      </c>
      <c r="G28" s="319">
        <f t="shared" si="30"/>
        <v>290</v>
      </c>
      <c r="H28" s="319">
        <f t="shared" si="30"/>
        <v>400</v>
      </c>
      <c r="I28" s="319">
        <f t="shared" si="30"/>
        <v>400</v>
      </c>
      <c r="J28" s="319">
        <f t="shared" si="30"/>
        <v>200</v>
      </c>
      <c r="K28" s="319">
        <f t="shared" si="30"/>
        <v>700</v>
      </c>
      <c r="L28" s="319"/>
      <c r="M28" s="320">
        <f>+M29</f>
        <v>1990</v>
      </c>
      <c r="N28" s="320">
        <f>+N29</f>
        <v>1990</v>
      </c>
      <c r="O28" s="3809"/>
      <c r="P28" s="1633"/>
    </row>
    <row r="29" spans="1:27" s="1634" customFormat="1" ht="11.25" customHeight="1">
      <c r="A29" s="3773"/>
      <c r="B29" s="167" t="s">
        <v>12</v>
      </c>
      <c r="C29" s="3751"/>
      <c r="D29" s="235">
        <f>E29+F29+G29+H29+I29+J29+K29+L29</f>
        <v>2000</v>
      </c>
      <c r="E29" s="1137">
        <v>10</v>
      </c>
      <c r="F29" s="1137">
        <f>300-300</f>
        <v>0</v>
      </c>
      <c r="G29" s="1137">
        <f>400+90+300-500</f>
        <v>290</v>
      </c>
      <c r="H29" s="1137">
        <v>400</v>
      </c>
      <c r="I29" s="1137">
        <v>400</v>
      </c>
      <c r="J29" s="1137">
        <v>200</v>
      </c>
      <c r="K29" s="1137">
        <f>200+500</f>
        <v>700</v>
      </c>
      <c r="L29" s="3016"/>
      <c r="M29" s="561">
        <f>SUM(F29:K29)</f>
        <v>1990</v>
      </c>
      <c r="N29" s="561">
        <f>SUM(G29:L29)</f>
        <v>1990</v>
      </c>
      <c r="O29" s="3809"/>
      <c r="P29" s="1635"/>
    </row>
    <row r="30" spans="1:27" s="311" customFormat="1" ht="12" customHeight="1">
      <c r="A30" s="3773"/>
      <c r="B30" s="551" t="s">
        <v>18</v>
      </c>
      <c r="C30" s="3752"/>
      <c r="D30" s="321">
        <f>+D31</f>
        <v>1964760</v>
      </c>
      <c r="E30" s="321">
        <f t="shared" ref="E30:K30" si="31">E31</f>
        <v>192422</v>
      </c>
      <c r="F30" s="321">
        <f t="shared" si="31"/>
        <v>190282</v>
      </c>
      <c r="G30" s="321">
        <f t="shared" si="31"/>
        <v>235606</v>
      </c>
      <c r="H30" s="321">
        <f t="shared" si="31"/>
        <v>280770</v>
      </c>
      <c r="I30" s="321">
        <f t="shared" si="31"/>
        <v>280770</v>
      </c>
      <c r="J30" s="321">
        <f t="shared" si="31"/>
        <v>280770</v>
      </c>
      <c r="K30" s="321">
        <f t="shared" si="31"/>
        <v>504140</v>
      </c>
      <c r="L30" s="321"/>
      <c r="M30" s="320">
        <f>+M31</f>
        <v>1772338</v>
      </c>
      <c r="N30" s="320">
        <f>+N31</f>
        <v>1582056</v>
      </c>
      <c r="O30" s="3809"/>
      <c r="P30" s="316"/>
      <c r="Q30" s="316"/>
    </row>
    <row r="31" spans="1:27" s="2454" customFormat="1">
      <c r="A31" s="3773"/>
      <c r="B31" s="1138" t="s">
        <v>20</v>
      </c>
      <c r="C31" s="3753"/>
      <c r="D31" s="235">
        <f>E31+F31+G31+H31+I31+J31+K31+L31</f>
        <v>1964760</v>
      </c>
      <c r="E31" s="1137">
        <f>+E33+E34</f>
        <v>192422</v>
      </c>
      <c r="F31" s="235">
        <f t="shared" ref="F31:K31" si="32">SUM(F33:F34)</f>
        <v>190282</v>
      </c>
      <c r="G31" s="235">
        <f>SUM(G33:G34)</f>
        <v>235606</v>
      </c>
      <c r="H31" s="235">
        <f t="shared" si="32"/>
        <v>280770</v>
      </c>
      <c r="I31" s="235">
        <f t="shared" si="32"/>
        <v>280770</v>
      </c>
      <c r="J31" s="235">
        <f t="shared" si="32"/>
        <v>280770</v>
      </c>
      <c r="K31" s="235">
        <f t="shared" si="32"/>
        <v>504140</v>
      </c>
      <c r="L31" s="3017"/>
      <c r="M31" s="561">
        <f>SUM(F31:L31)</f>
        <v>1772338</v>
      </c>
      <c r="N31" s="561">
        <f>SUM(G31:L31)</f>
        <v>1582056</v>
      </c>
      <c r="O31" s="3809"/>
      <c r="P31" s="2455"/>
    </row>
    <row r="32" spans="1:27" s="2454" customFormat="1" hidden="1">
      <c r="A32" s="3773"/>
      <c r="B32" s="3018" t="s">
        <v>442</v>
      </c>
      <c r="C32" s="2941"/>
      <c r="D32" s="773"/>
      <c r="E32" s="3019"/>
      <c r="F32" s="3019"/>
      <c r="G32" s="3019"/>
      <c r="H32" s="3019"/>
      <c r="I32" s="3019"/>
      <c r="J32" s="3019"/>
      <c r="K32" s="3019"/>
      <c r="L32" s="3019"/>
      <c r="M32" s="3020"/>
      <c r="N32" s="3020"/>
      <c r="O32" s="3809"/>
      <c r="P32" s="2455"/>
    </row>
    <row r="33" spans="1:16" s="2454" customFormat="1" hidden="1">
      <c r="A33" s="3773"/>
      <c r="B33" s="3021" t="s">
        <v>288</v>
      </c>
      <c r="C33" s="2958"/>
      <c r="D33" s="825">
        <f>SUM(E33:K33)</f>
        <v>1881600</v>
      </c>
      <c r="E33" s="3022">
        <v>187905</v>
      </c>
      <c r="F33" s="3022">
        <f>268800-68800-19862</f>
        <v>180138</v>
      </c>
      <c r="G33" s="3022">
        <f>268800+19862-74305</f>
        <v>214357</v>
      </c>
      <c r="H33" s="3022">
        <v>268800</v>
      </c>
      <c r="I33" s="3022">
        <v>268800</v>
      </c>
      <c r="J33" s="3022">
        <v>268800</v>
      </c>
      <c r="K33" s="3022">
        <f>268800+80895+68800+74305</f>
        <v>492800</v>
      </c>
      <c r="L33" s="3022"/>
      <c r="M33" s="3023">
        <f>SUM(F33:K33)</f>
        <v>1693695</v>
      </c>
      <c r="N33" s="3023">
        <f>SUM(G33:L33)</f>
        <v>1513557</v>
      </c>
      <c r="O33" s="3809"/>
      <c r="P33" s="2455"/>
    </row>
    <row r="34" spans="1:16" s="2454" customFormat="1" hidden="1">
      <c r="A34" s="3773"/>
      <c r="B34" s="3021" t="s">
        <v>102</v>
      </c>
      <c r="C34" s="2958"/>
      <c r="D34" s="773">
        <f>+E34+F34+G34+H34+I34+J34+K34</f>
        <v>83160</v>
      </c>
      <c r="E34" s="3024">
        <v>4517</v>
      </c>
      <c r="F34" s="3024">
        <f>11970-1826</f>
        <v>10144</v>
      </c>
      <c r="G34" s="3024">
        <f>11970+7453+1826</f>
        <v>21249</v>
      </c>
      <c r="H34" s="3024">
        <v>11970</v>
      </c>
      <c r="I34" s="3024">
        <v>11970</v>
      </c>
      <c r="J34" s="3024">
        <v>11970</v>
      </c>
      <c r="K34" s="3024">
        <v>11340</v>
      </c>
      <c r="L34" s="3024"/>
      <c r="M34" s="3025">
        <f>SUM(F34:K34)</f>
        <v>78643</v>
      </c>
      <c r="N34" s="3025">
        <f>SUM(G34:L34)</f>
        <v>68499</v>
      </c>
      <c r="O34" s="3809"/>
      <c r="P34" s="2455"/>
    </row>
    <row r="35" spans="1:16" s="2454" customFormat="1" ht="12.75" customHeight="1">
      <c r="A35" s="3394"/>
      <c r="B35" s="21" t="s">
        <v>21</v>
      </c>
      <c r="C35" s="169"/>
      <c r="D35" s="318">
        <f>+D36</f>
        <v>1964760</v>
      </c>
      <c r="E35" s="318">
        <f t="shared" ref="E35:L35" si="33">+E36</f>
        <v>0</v>
      </c>
      <c r="F35" s="318">
        <f t="shared" si="33"/>
        <v>0</v>
      </c>
      <c r="G35" s="318">
        <f t="shared" si="33"/>
        <v>473192</v>
      </c>
      <c r="H35" s="318">
        <f t="shared" si="33"/>
        <v>213918</v>
      </c>
      <c r="I35" s="318">
        <f t="shared" si="33"/>
        <v>280770</v>
      </c>
      <c r="J35" s="318">
        <f t="shared" si="33"/>
        <v>280770</v>
      </c>
      <c r="K35" s="318">
        <f t="shared" si="33"/>
        <v>317922</v>
      </c>
      <c r="L35" s="318">
        <f t="shared" si="33"/>
        <v>398188</v>
      </c>
      <c r="M35" s="3754" t="s">
        <v>53</v>
      </c>
      <c r="N35" s="3754" t="s">
        <v>53</v>
      </c>
      <c r="O35" s="3809"/>
      <c r="P35" s="2455">
        <f>G35-'[1]Tab. 6E - Administracja'!$G$35</f>
        <v>0</v>
      </c>
    </row>
    <row r="36" spans="1:16" s="2454" customFormat="1" ht="12.75" customHeight="1">
      <c r="A36" s="3394"/>
      <c r="B36" s="1868" t="s">
        <v>18</v>
      </c>
      <c r="C36" s="3752" t="s">
        <v>140</v>
      </c>
      <c r="D36" s="321">
        <f>+D37</f>
        <v>1964760</v>
      </c>
      <c r="E36" s="321">
        <f t="shared" ref="E36:L36" si="34">E37</f>
        <v>0</v>
      </c>
      <c r="F36" s="321">
        <f t="shared" si="34"/>
        <v>0</v>
      </c>
      <c r="G36" s="321">
        <f t="shared" si="34"/>
        <v>473192</v>
      </c>
      <c r="H36" s="321">
        <f t="shared" si="34"/>
        <v>213918</v>
      </c>
      <c r="I36" s="321">
        <f t="shared" si="34"/>
        <v>280770</v>
      </c>
      <c r="J36" s="321">
        <f t="shared" si="34"/>
        <v>280770</v>
      </c>
      <c r="K36" s="321">
        <f t="shared" si="34"/>
        <v>317922</v>
      </c>
      <c r="L36" s="321">
        <f t="shared" si="34"/>
        <v>398188</v>
      </c>
      <c r="M36" s="3654"/>
      <c r="N36" s="3654"/>
      <c r="O36" s="3809"/>
    </row>
    <row r="37" spans="1:16" s="2454" customFormat="1" ht="12" customHeight="1" thickBot="1">
      <c r="A37" s="3395"/>
      <c r="B37" s="323" t="s">
        <v>20</v>
      </c>
      <c r="C37" s="3755"/>
      <c r="D37" s="235">
        <f>E37+F37+G37+H37+I37+J37+K37+L37</f>
        <v>1964760</v>
      </c>
      <c r="E37" s="1137">
        <v>0</v>
      </c>
      <c r="F37" s="3017">
        <f>192422-192422</f>
        <v>0</v>
      </c>
      <c r="G37" s="3017">
        <f>280770+192422</f>
        <v>473192</v>
      </c>
      <c r="H37" s="3017">
        <f>288223-74305</f>
        <v>213918</v>
      </c>
      <c r="I37" s="3017">
        <v>280770</v>
      </c>
      <c r="J37" s="3017">
        <v>280770</v>
      </c>
      <c r="K37" s="3017">
        <f>280770+37152</f>
        <v>317922</v>
      </c>
      <c r="L37" s="3017">
        <f>361035+37153</f>
        <v>398188</v>
      </c>
      <c r="M37" s="3655"/>
      <c r="N37" s="3655"/>
      <c r="O37" s="3810"/>
      <c r="P37" s="2455">
        <f>D37-D31</f>
        <v>0</v>
      </c>
    </row>
    <row r="38" spans="1:16" s="2454" customFormat="1" ht="30" customHeight="1">
      <c r="A38" s="3772" t="s">
        <v>56</v>
      </c>
      <c r="B38" s="164" t="s">
        <v>464</v>
      </c>
      <c r="C38" s="3026" t="s">
        <v>101</v>
      </c>
      <c r="D38" s="352"/>
      <c r="E38" s="352"/>
      <c r="F38" s="352"/>
      <c r="G38" s="352"/>
      <c r="H38" s="352"/>
      <c r="I38" s="352"/>
      <c r="J38" s="352"/>
      <c r="K38" s="352"/>
      <c r="L38" s="2286"/>
      <c r="M38" s="181">
        <f t="shared" ref="M38" si="35">M43+M47+M52</f>
        <v>783552</v>
      </c>
      <c r="N38" s="181"/>
      <c r="O38" s="3808" t="s">
        <v>309</v>
      </c>
      <c r="P38" s="2454" t="s">
        <v>477</v>
      </c>
    </row>
    <row r="39" spans="1:16" s="2454" customFormat="1" ht="12" customHeight="1">
      <c r="A39" s="3773"/>
      <c r="B39" s="531" t="s">
        <v>10</v>
      </c>
      <c r="C39" s="1236"/>
      <c r="D39" s="3027">
        <f t="shared" ref="D39:I39" si="36">+D40+D49</f>
        <v>1304492</v>
      </c>
      <c r="E39" s="3027">
        <f t="shared" si="36"/>
        <v>83853</v>
      </c>
      <c r="F39" s="3027">
        <f t="shared" si="36"/>
        <v>248368</v>
      </c>
      <c r="G39" s="3027">
        <f t="shared" si="36"/>
        <v>283658</v>
      </c>
      <c r="H39" s="3027">
        <f t="shared" si="36"/>
        <v>288743</v>
      </c>
      <c r="I39" s="3027">
        <f t="shared" si="36"/>
        <v>399870</v>
      </c>
      <c r="J39" s="3028">
        <v>0</v>
      </c>
      <c r="K39" s="3027"/>
      <c r="L39" s="3027"/>
      <c r="M39" s="3029">
        <f>+M40+M49</f>
        <v>1220639</v>
      </c>
      <c r="N39" s="3029">
        <f>+N40+N49</f>
        <v>972271</v>
      </c>
      <c r="O39" s="3809"/>
      <c r="P39" s="2455"/>
    </row>
    <row r="40" spans="1:16" s="2454" customFormat="1" ht="12" customHeight="1">
      <c r="A40" s="3773"/>
      <c r="B40" s="508" t="s">
        <v>23</v>
      </c>
      <c r="C40" s="3780" t="s">
        <v>140</v>
      </c>
      <c r="D40" s="1237">
        <f>+D41+D45</f>
        <v>199543</v>
      </c>
      <c r="E40" s="1237">
        <f>+E41+E45</f>
        <v>13070</v>
      </c>
      <c r="F40" s="1237">
        <f t="shared" ref="F40:I40" si="37">+F41+F45</f>
        <v>39436</v>
      </c>
      <c r="G40" s="1237">
        <f t="shared" si="37"/>
        <v>41747</v>
      </c>
      <c r="H40" s="1237">
        <f t="shared" si="37"/>
        <v>43646</v>
      </c>
      <c r="I40" s="1237">
        <f t="shared" si="37"/>
        <v>61644</v>
      </c>
      <c r="J40" s="1869">
        <v>0</v>
      </c>
      <c r="K40" s="1237"/>
      <c r="L40" s="1237"/>
      <c r="M40" s="1238">
        <f>+M41+M45</f>
        <v>186473</v>
      </c>
      <c r="N40" s="1238">
        <f>+N41+N45</f>
        <v>147037</v>
      </c>
      <c r="O40" s="3809"/>
    </row>
    <row r="41" spans="1:16" s="2454" customFormat="1" ht="12" customHeight="1">
      <c r="A41" s="3773"/>
      <c r="B41" s="167" t="s">
        <v>12</v>
      </c>
      <c r="C41" s="3751"/>
      <c r="D41" s="1216">
        <f>E41+F41+G41+H41+I41+J41+K41+L41</f>
        <v>69549</v>
      </c>
      <c r="E41" s="1239">
        <f>+E43+E44</f>
        <v>4743</v>
      </c>
      <c r="F41" s="1870">
        <f t="shared" ref="F41:I41" si="38">+F43+F44</f>
        <v>14855</v>
      </c>
      <c r="G41" s="1870">
        <f t="shared" si="38"/>
        <v>13959</v>
      </c>
      <c r="H41" s="1870">
        <f t="shared" si="38"/>
        <v>14814</v>
      </c>
      <c r="I41" s="1870">
        <f t="shared" si="38"/>
        <v>21178</v>
      </c>
      <c r="J41" s="1871">
        <v>0</v>
      </c>
      <c r="K41" s="374"/>
      <c r="L41" s="374"/>
      <c r="M41" s="561">
        <f>SUM(F41:K41)</f>
        <v>64806</v>
      </c>
      <c r="N41" s="561">
        <f>SUM(G41:L41)</f>
        <v>49951</v>
      </c>
      <c r="O41" s="3809"/>
    </row>
    <row r="42" spans="1:16" s="2454" customFormat="1" ht="12" hidden="1" customHeight="1">
      <c r="A42" s="3773"/>
      <c r="B42" s="167" t="s">
        <v>141</v>
      </c>
      <c r="C42" s="3751"/>
      <c r="D42" s="1216"/>
      <c r="E42" s="1239"/>
      <c r="F42" s="1870"/>
      <c r="G42" s="1870"/>
      <c r="H42" s="1870"/>
      <c r="I42" s="1870"/>
      <c r="J42" s="1871"/>
      <c r="K42" s="374"/>
      <c r="L42" s="374"/>
      <c r="M42" s="1238"/>
      <c r="N42" s="1238"/>
      <c r="O42" s="3809"/>
    </row>
    <row r="43" spans="1:16" s="2454" customFormat="1" ht="12" hidden="1" customHeight="1">
      <c r="A43" s="3773"/>
      <c r="B43" s="1848" t="s">
        <v>288</v>
      </c>
      <c r="C43" s="3751"/>
      <c r="D43" s="1216">
        <f>E43+F43+G43+H43+I43+J43+K43+L43</f>
        <v>43007</v>
      </c>
      <c r="E43" s="1239">
        <f>3610+217</f>
        <v>3827</v>
      </c>
      <c r="F43" s="1240">
        <f>9240+555-674+2</f>
        <v>9123</v>
      </c>
      <c r="G43" s="1240">
        <f>9240+555+674-364</f>
        <v>10105</v>
      </c>
      <c r="H43" s="168">
        <f>9240+555+362</f>
        <v>10157</v>
      </c>
      <c r="I43" s="168">
        <f>9240+555</f>
        <v>9795</v>
      </c>
      <c r="J43" s="1871">
        <v>0</v>
      </c>
      <c r="K43" s="374"/>
      <c r="L43" s="374"/>
      <c r="M43" s="561">
        <f t="shared" ref="M43:N45" si="39">SUM(F43:K43)</f>
        <v>39180</v>
      </c>
      <c r="N43" s="561">
        <f t="shared" si="39"/>
        <v>30057</v>
      </c>
      <c r="O43" s="3809"/>
    </row>
    <row r="44" spans="1:16" s="2454" customFormat="1" ht="12" hidden="1" customHeight="1">
      <c r="A44" s="3773"/>
      <c r="B44" s="802" t="s">
        <v>102</v>
      </c>
      <c r="C44" s="3751"/>
      <c r="D44" s="1216">
        <f>E44+F44+G44+H44+I44+J44+K44+L44</f>
        <v>26542</v>
      </c>
      <c r="E44" s="1239">
        <f>286+90+540</f>
        <v>916</v>
      </c>
      <c r="F44" s="1870">
        <f>13902-772-9757+2359</f>
        <v>5732</v>
      </c>
      <c r="G44" s="1870">
        <f>4474-555+9675-9740</f>
        <v>3854</v>
      </c>
      <c r="H44" s="1870">
        <f>4474-555+738</f>
        <v>4657</v>
      </c>
      <c r="I44" s="1870">
        <f>4364-555+7574</f>
        <v>11383</v>
      </c>
      <c r="J44" s="3030">
        <v>0</v>
      </c>
      <c r="K44" s="1870"/>
      <c r="L44" s="1870"/>
      <c r="M44" s="561">
        <f t="shared" si="39"/>
        <v>25626</v>
      </c>
      <c r="N44" s="561">
        <f t="shared" si="39"/>
        <v>19894</v>
      </c>
      <c r="O44" s="3809"/>
    </row>
    <row r="45" spans="1:16" s="2970" customFormat="1">
      <c r="A45" s="3773"/>
      <c r="B45" s="3031" t="s">
        <v>13</v>
      </c>
      <c r="C45" s="3751"/>
      <c r="D45" s="1216">
        <f>+E45+F45+G45+H45+I45</f>
        <v>129994</v>
      </c>
      <c r="E45" s="3032">
        <f>+E47+E48</f>
        <v>8327</v>
      </c>
      <c r="F45" s="3033">
        <f>+F47+F48</f>
        <v>24581</v>
      </c>
      <c r="G45" s="3033">
        <f>+G47+G48</f>
        <v>27788</v>
      </c>
      <c r="H45" s="3033">
        <f>+H47+H48</f>
        <v>28832</v>
      </c>
      <c r="I45" s="3033">
        <f>+I47+I48</f>
        <v>40466</v>
      </c>
      <c r="J45" s="3034">
        <v>0</v>
      </c>
      <c r="K45" s="3033"/>
      <c r="L45" s="3033"/>
      <c r="M45" s="3035">
        <f t="shared" si="39"/>
        <v>121667</v>
      </c>
      <c r="N45" s="3035">
        <f t="shared" si="39"/>
        <v>97086</v>
      </c>
      <c r="O45" s="3809"/>
    </row>
    <row r="46" spans="1:16" s="2454" customFormat="1" ht="11.25" hidden="1" customHeight="1">
      <c r="A46" s="3773"/>
      <c r="B46" s="167" t="s">
        <v>141</v>
      </c>
      <c r="C46" s="3751"/>
      <c r="D46" s="1240"/>
      <c r="E46" s="168"/>
      <c r="F46" s="168"/>
      <c r="G46" s="168"/>
      <c r="H46" s="168"/>
      <c r="I46" s="168"/>
      <c r="J46" s="1872"/>
      <c r="K46" s="168"/>
      <c r="L46" s="168"/>
      <c r="M46" s="1241"/>
      <c r="N46" s="1241"/>
      <c r="O46" s="3809"/>
    </row>
    <row r="47" spans="1:16" s="2454" customFormat="1" ht="13.5" hidden="1" customHeight="1">
      <c r="A47" s="3773"/>
      <c r="B47" s="1848" t="s">
        <v>288</v>
      </c>
      <c r="C47" s="3751"/>
      <c r="D47" s="1240">
        <f>+E47+F47+G47+H47+I47</f>
        <v>86006</v>
      </c>
      <c r="E47" s="168">
        <f>7221+433</f>
        <v>7654</v>
      </c>
      <c r="F47" s="168">
        <f>18480+1108-1345+4</f>
        <v>18247</v>
      </c>
      <c r="G47" s="168">
        <f>18480+1108+1345-733</f>
        <v>20200</v>
      </c>
      <c r="H47" s="168">
        <f>18480+1108+729</f>
        <v>20317</v>
      </c>
      <c r="I47" s="168">
        <f>18480+1108</f>
        <v>19588</v>
      </c>
      <c r="J47" s="1872">
        <v>0</v>
      </c>
      <c r="K47" s="168"/>
      <c r="L47" s="168"/>
      <c r="M47" s="561">
        <f>SUM(F47:K47)</f>
        <v>78352</v>
      </c>
      <c r="N47" s="561">
        <f>SUM(G47:L47)</f>
        <v>60105</v>
      </c>
      <c r="O47" s="3809"/>
      <c r="P47" s="2455"/>
    </row>
    <row r="48" spans="1:16" s="2454" customFormat="1" ht="10.5" hidden="1" customHeight="1">
      <c r="A48" s="3773"/>
      <c r="B48" s="3036" t="s">
        <v>102</v>
      </c>
      <c r="C48" s="3751"/>
      <c r="D48" s="1240">
        <f>+E48+F48+G48+H48+I48</f>
        <v>43988</v>
      </c>
      <c r="E48" s="168">
        <f>552+178-57</f>
        <v>673</v>
      </c>
      <c r="F48" s="168">
        <f>27004-1541-18881-248</f>
        <v>6334</v>
      </c>
      <c r="G48" s="168">
        <f>8148-1108+18718-18170</f>
        <v>7588</v>
      </c>
      <c r="H48" s="168">
        <f>8148-1108+1475</f>
        <v>8515</v>
      </c>
      <c r="I48" s="168">
        <f>8148-1108+13838</f>
        <v>20878</v>
      </c>
      <c r="J48" s="1872">
        <v>0</v>
      </c>
      <c r="K48" s="168"/>
      <c r="L48" s="168"/>
      <c r="M48" s="561">
        <f>SUM(F48:K48)</f>
        <v>43315</v>
      </c>
      <c r="N48" s="561">
        <f>SUM(G48:L48)</f>
        <v>36981</v>
      </c>
      <c r="O48" s="3809"/>
    </row>
    <row r="49" spans="1:16" s="2454" customFormat="1" ht="12.75" customHeight="1">
      <c r="A49" s="3773"/>
      <c r="B49" s="551" t="s">
        <v>18</v>
      </c>
      <c r="C49" s="3752"/>
      <c r="D49" s="1242">
        <f>+D50</f>
        <v>1104949</v>
      </c>
      <c r="E49" s="1242">
        <f>+E50</f>
        <v>70783</v>
      </c>
      <c r="F49" s="1242">
        <f t="shared" ref="F49:I49" si="40">+F50</f>
        <v>208932</v>
      </c>
      <c r="G49" s="1242">
        <f t="shared" si="40"/>
        <v>241911</v>
      </c>
      <c r="H49" s="1242">
        <f t="shared" si="40"/>
        <v>245097</v>
      </c>
      <c r="I49" s="1242">
        <f t="shared" si="40"/>
        <v>338226</v>
      </c>
      <c r="J49" s="1243">
        <v>0</v>
      </c>
      <c r="K49" s="1242"/>
      <c r="L49" s="1242"/>
      <c r="M49" s="1238">
        <f>+M50</f>
        <v>1034166</v>
      </c>
      <c r="N49" s="1238">
        <f>+N50</f>
        <v>825234</v>
      </c>
      <c r="O49" s="3809"/>
    </row>
    <row r="50" spans="1:16" s="2454" customFormat="1" ht="12" customHeight="1">
      <c r="A50" s="3773"/>
      <c r="B50" s="1138" t="s">
        <v>20</v>
      </c>
      <c r="C50" s="3753"/>
      <c r="D50" s="1815">
        <f>E50+F50+G50+H50+I50+J50+K50+L50</f>
        <v>1104949</v>
      </c>
      <c r="E50" s="1239">
        <f>+E52+E53</f>
        <v>70783</v>
      </c>
      <c r="F50" s="3037">
        <f t="shared" ref="F50:I50" si="41">+F52+F53</f>
        <v>208932</v>
      </c>
      <c r="G50" s="3037">
        <f t="shared" si="41"/>
        <v>241911</v>
      </c>
      <c r="H50" s="3037">
        <f t="shared" si="41"/>
        <v>245097</v>
      </c>
      <c r="I50" s="3037">
        <f t="shared" si="41"/>
        <v>338226</v>
      </c>
      <c r="J50" s="3038">
        <v>0</v>
      </c>
      <c r="K50" s="3037"/>
      <c r="L50" s="3037"/>
      <c r="M50" s="561">
        <f>SUM(F50:K50)</f>
        <v>1034166</v>
      </c>
      <c r="N50" s="561">
        <f>SUM(G50:L50)</f>
        <v>825234</v>
      </c>
      <c r="O50" s="3809"/>
    </row>
    <row r="51" spans="1:16" s="2454" customFormat="1" ht="12" hidden="1" customHeight="1">
      <c r="A51" s="3773"/>
      <c r="B51" s="1873" t="s">
        <v>141</v>
      </c>
      <c r="C51" s="2958"/>
      <c r="D51" s="168"/>
      <c r="E51" s="1872"/>
      <c r="F51" s="3039"/>
      <c r="G51" s="3039"/>
      <c r="H51" s="3039"/>
      <c r="I51" s="3039"/>
      <c r="J51" s="1115"/>
      <c r="K51" s="3039"/>
      <c r="L51" s="3039"/>
      <c r="M51" s="1241"/>
      <c r="N51" s="1241"/>
      <c r="O51" s="3809"/>
    </row>
    <row r="52" spans="1:16" s="2454" customFormat="1" ht="12" hidden="1" customHeight="1">
      <c r="A52" s="3773"/>
      <c r="B52" s="1848" t="s">
        <v>288</v>
      </c>
      <c r="C52" s="2958"/>
      <c r="D52" s="168">
        <f>+F52+G52+H52+I52+E52</f>
        <v>731081</v>
      </c>
      <c r="E52" s="1874">
        <f>61378+3683</f>
        <v>65061</v>
      </c>
      <c r="F52" s="1244">
        <f>157080+9425-11439+35</f>
        <v>155101</v>
      </c>
      <c r="G52" s="1244">
        <f>157080+9425+11439-6257</f>
        <v>171687</v>
      </c>
      <c r="H52" s="1244">
        <f>157080+9425+6222</f>
        <v>172727</v>
      </c>
      <c r="I52" s="1244">
        <f>157080+9425</f>
        <v>166505</v>
      </c>
      <c r="J52" s="1245">
        <v>0</v>
      </c>
      <c r="K52" s="1244"/>
      <c r="L52" s="1244"/>
      <c r="M52" s="561">
        <f>SUM(F52:K52)</f>
        <v>666020</v>
      </c>
      <c r="N52" s="561">
        <f>SUM(G52:L52)</f>
        <v>510919</v>
      </c>
      <c r="O52" s="3809"/>
    </row>
    <row r="53" spans="1:16" s="2454" customFormat="1" ht="12" hidden="1" customHeight="1">
      <c r="A53" s="3773"/>
      <c r="B53" s="3036" t="s">
        <v>102</v>
      </c>
      <c r="C53" s="2958"/>
      <c r="D53" s="1240">
        <f>+F53+G53+H53+I53+E53</f>
        <v>373868</v>
      </c>
      <c r="E53" s="108">
        <f>4689+1516-483</f>
        <v>5722</v>
      </c>
      <c r="F53" s="108">
        <f>229528-13108-160478-2111</f>
        <v>53831</v>
      </c>
      <c r="G53" s="108">
        <f>69258-9425+159091-148700</f>
        <v>70224</v>
      </c>
      <c r="H53" s="108">
        <f>69258-9425+12537</f>
        <v>72370</v>
      </c>
      <c r="I53" s="108">
        <f>69258-9425+111888</f>
        <v>171721</v>
      </c>
      <c r="J53" s="3040">
        <v>0</v>
      </c>
      <c r="K53" s="108"/>
      <c r="L53" s="108"/>
      <c r="M53" s="561">
        <f>SUM(F53:K53)</f>
        <v>368146</v>
      </c>
      <c r="N53" s="561">
        <f>SUM(G53:L53)</f>
        <v>314315</v>
      </c>
      <c r="O53" s="3809"/>
    </row>
    <row r="54" spans="1:16" s="2454" customFormat="1" ht="12" customHeight="1">
      <c r="A54" s="3773"/>
      <c r="B54" s="531" t="s">
        <v>21</v>
      </c>
      <c r="C54" s="1246"/>
      <c r="D54" s="1247">
        <f>+D55+D57</f>
        <v>1234943</v>
      </c>
      <c r="E54" s="1247">
        <f>+E55+E57</f>
        <v>0</v>
      </c>
      <c r="F54" s="1247">
        <f>+F55+F57</f>
        <v>0</v>
      </c>
      <c r="G54" s="1247">
        <f t="shared" ref="G54:J54" si="42">+G55+G57</f>
        <v>312623</v>
      </c>
      <c r="H54" s="1247">
        <f t="shared" si="42"/>
        <v>406664</v>
      </c>
      <c r="I54" s="1247">
        <f t="shared" si="42"/>
        <v>326311</v>
      </c>
      <c r="J54" s="1247">
        <f t="shared" si="42"/>
        <v>189345</v>
      </c>
      <c r="K54" s="1247"/>
      <c r="L54" s="1247"/>
      <c r="M54" s="3664"/>
      <c r="N54" s="3664"/>
      <c r="O54" s="3809"/>
      <c r="P54" s="2455">
        <f>G54-'[1]Tab. 6E - Administracja'!$G$54</f>
        <v>-319792</v>
      </c>
    </row>
    <row r="55" spans="1:16" s="2454" customFormat="1" ht="12" customHeight="1">
      <c r="A55" s="3773"/>
      <c r="B55" s="1248" t="s">
        <v>23</v>
      </c>
      <c r="C55" s="3780" t="s">
        <v>140</v>
      </c>
      <c r="D55" s="1237">
        <f>+D56</f>
        <v>129994</v>
      </c>
      <c r="E55" s="1237">
        <f>+E56</f>
        <v>0</v>
      </c>
      <c r="F55" s="1237">
        <f>+F56</f>
        <v>0</v>
      </c>
      <c r="G55" s="1237">
        <f t="shared" ref="G55:J55" si="43">+G56</f>
        <v>32908</v>
      </c>
      <c r="H55" s="1237">
        <f t="shared" si="43"/>
        <v>42204</v>
      </c>
      <c r="I55" s="1237">
        <f t="shared" si="43"/>
        <v>34649</v>
      </c>
      <c r="J55" s="1237">
        <f t="shared" si="43"/>
        <v>20233</v>
      </c>
      <c r="K55" s="1237"/>
      <c r="L55" s="1237"/>
      <c r="M55" s="3654"/>
      <c r="N55" s="3654"/>
      <c r="O55" s="3809"/>
    </row>
    <row r="56" spans="1:16" s="2454" customFormat="1" ht="12" customHeight="1">
      <c r="A56" s="3773"/>
      <c r="B56" s="171" t="s">
        <v>13</v>
      </c>
      <c r="C56" s="3751"/>
      <c r="D56" s="1216">
        <f>E56+F56+G56+H56+I56+J56+K56+L56</f>
        <v>129994</v>
      </c>
      <c r="E56" s="1239">
        <v>0</v>
      </c>
      <c r="F56" s="1249">
        <v>0</v>
      </c>
      <c r="G56" s="1249">
        <f>58798+7773-10078-23585</f>
        <v>32908</v>
      </c>
      <c r="H56" s="1249">
        <f>26628+10093+5483</f>
        <v>42204</v>
      </c>
      <c r="I56" s="1249">
        <f>26628+8021</f>
        <v>34649</v>
      </c>
      <c r="J56" s="1249">
        <f>13314+6919</f>
        <v>20233</v>
      </c>
      <c r="K56" s="1249"/>
      <c r="L56" s="1249"/>
      <c r="M56" s="3654"/>
      <c r="N56" s="3654"/>
      <c r="O56" s="3809"/>
    </row>
    <row r="57" spans="1:16" s="2454" customFormat="1" ht="12" customHeight="1">
      <c r="A57" s="3773"/>
      <c r="B57" s="1250" t="s">
        <v>18</v>
      </c>
      <c r="C57" s="3752"/>
      <c r="D57" s="1242">
        <f>+D58</f>
        <v>1104949</v>
      </c>
      <c r="E57" s="1242">
        <f>+E58</f>
        <v>0</v>
      </c>
      <c r="F57" s="1242">
        <f>+F58</f>
        <v>0</v>
      </c>
      <c r="G57" s="1242">
        <f t="shared" ref="G57:J57" si="44">+G58</f>
        <v>279715</v>
      </c>
      <c r="H57" s="1242">
        <f t="shared" si="44"/>
        <v>364460</v>
      </c>
      <c r="I57" s="1242">
        <f t="shared" si="44"/>
        <v>291662</v>
      </c>
      <c r="J57" s="1242">
        <f t="shared" si="44"/>
        <v>169112</v>
      </c>
      <c r="K57" s="1242"/>
      <c r="L57" s="1242"/>
      <c r="M57" s="3654"/>
      <c r="N57" s="3654"/>
      <c r="O57" s="3809"/>
    </row>
    <row r="58" spans="1:16" s="2454" customFormat="1" ht="12" customHeight="1" thickBot="1">
      <c r="A58" s="3774"/>
      <c r="B58" s="323" t="s">
        <v>20</v>
      </c>
      <c r="C58" s="3755"/>
      <c r="D58" s="767">
        <f>E58+F58+G58+H58+I58+J58+K58+L58</f>
        <v>1104949</v>
      </c>
      <c r="E58" s="1251">
        <v>0</v>
      </c>
      <c r="F58" s="528">
        <f>66067-66067</f>
        <v>0</v>
      </c>
      <c r="G58" s="528">
        <f>499777+66067-85652-200477</f>
        <v>279715</v>
      </c>
      <c r="H58" s="528">
        <f>226338+85781+52341</f>
        <v>364460</v>
      </c>
      <c r="I58" s="528">
        <f>226338+65324</f>
        <v>291662</v>
      </c>
      <c r="J58" s="528">
        <f>113169+55943</f>
        <v>169112</v>
      </c>
      <c r="K58" s="528"/>
      <c r="L58" s="528"/>
      <c r="M58" s="3655"/>
      <c r="N58" s="3655"/>
      <c r="O58" s="3810"/>
    </row>
    <row r="59" spans="1:16" s="2454" customFormat="1" ht="27" customHeight="1">
      <c r="A59" s="3772" t="s">
        <v>57</v>
      </c>
      <c r="B59" s="164" t="s">
        <v>488</v>
      </c>
      <c r="C59" s="165" t="s">
        <v>74</v>
      </c>
      <c r="D59" s="181"/>
      <c r="E59" s="180"/>
      <c r="F59" s="180"/>
      <c r="G59" s="180"/>
      <c r="H59" s="180"/>
      <c r="I59" s="180"/>
      <c r="J59" s="180"/>
      <c r="K59" s="180"/>
      <c r="L59" s="245"/>
      <c r="M59" s="317"/>
      <c r="N59" s="317"/>
      <c r="O59" s="3808" t="s">
        <v>102</v>
      </c>
      <c r="P59" s="2454" t="s">
        <v>477</v>
      </c>
    </row>
    <row r="60" spans="1:16" s="2454" customFormat="1" ht="12" customHeight="1">
      <c r="A60" s="3773"/>
      <c r="B60" s="531" t="s">
        <v>10</v>
      </c>
      <c r="C60" s="1236"/>
      <c r="D60" s="1247">
        <f>+D61+D64</f>
        <v>12448</v>
      </c>
      <c r="E60" s="1247">
        <f t="shared" ref="E60" si="45">+E61+E64</f>
        <v>0</v>
      </c>
      <c r="F60" s="1247">
        <f t="shared" ref="F60:I60" si="46">+F61+F64</f>
        <v>12448</v>
      </c>
      <c r="G60" s="1349">
        <f t="shared" si="46"/>
        <v>0</v>
      </c>
      <c r="H60" s="1349">
        <f t="shared" si="46"/>
        <v>0</v>
      </c>
      <c r="I60" s="1349">
        <f t="shared" si="46"/>
        <v>0</v>
      </c>
      <c r="J60" s="1247"/>
      <c r="K60" s="1247"/>
      <c r="L60" s="1247"/>
      <c r="M60" s="1350">
        <f>M61+M64</f>
        <v>12448</v>
      </c>
      <c r="N60" s="1350">
        <f>N61+N64</f>
        <v>0</v>
      </c>
      <c r="O60" s="3809"/>
      <c r="P60" s="2455"/>
    </row>
    <row r="61" spans="1:16" s="2454" customFormat="1" ht="12" customHeight="1">
      <c r="A61" s="3773"/>
      <c r="B61" s="508" t="s">
        <v>23</v>
      </c>
      <c r="C61" s="3743" t="s">
        <v>140</v>
      </c>
      <c r="D61" s="1237">
        <f>+D62+D63</f>
        <v>1867</v>
      </c>
      <c r="E61" s="1237">
        <f>+E62+E63</f>
        <v>0</v>
      </c>
      <c r="F61" s="1237">
        <f>+F62+F63</f>
        <v>1867</v>
      </c>
      <c r="G61" s="1869">
        <f t="shared" ref="G61:H61" si="47">+G63</f>
        <v>0</v>
      </c>
      <c r="H61" s="1869">
        <f t="shared" si="47"/>
        <v>0</v>
      </c>
      <c r="I61" s="1869">
        <f>+I63</f>
        <v>0</v>
      </c>
      <c r="J61" s="1237"/>
      <c r="K61" s="1237"/>
      <c r="L61" s="1237"/>
      <c r="M61" s="1238">
        <f>+M62+M63</f>
        <v>1867</v>
      </c>
      <c r="N61" s="1238">
        <f>+N62+N63</f>
        <v>0</v>
      </c>
      <c r="O61" s="3809"/>
    </row>
    <row r="62" spans="1:16" s="2454" customFormat="1" ht="12" customHeight="1">
      <c r="A62" s="3773"/>
      <c r="B62" s="167" t="s">
        <v>12</v>
      </c>
      <c r="C62" s="3751"/>
      <c r="D62" s="773">
        <f>E62+F62+G62+H62+I62+J62+K62+L62</f>
        <v>622</v>
      </c>
      <c r="E62" s="1239">
        <v>0</v>
      </c>
      <c r="F62" s="1870">
        <f>630-8</f>
        <v>622</v>
      </c>
      <c r="G62" s="1871">
        <v>0</v>
      </c>
      <c r="H62" s="1871">
        <v>0</v>
      </c>
      <c r="I62" s="1871">
        <v>0</v>
      </c>
      <c r="J62" s="374"/>
      <c r="K62" s="374"/>
      <c r="L62" s="374"/>
      <c r="M62" s="1241">
        <f>SUM(F62:K62)</f>
        <v>622</v>
      </c>
      <c r="N62" s="1241">
        <f>SUM(G62:L62)</f>
        <v>0</v>
      </c>
      <c r="O62" s="3809"/>
    </row>
    <row r="63" spans="1:16" s="2454" customFormat="1" ht="12" customHeight="1">
      <c r="A63" s="3773"/>
      <c r="B63" s="167" t="s">
        <v>13</v>
      </c>
      <c r="C63" s="3752"/>
      <c r="D63" s="773">
        <f>E63+F63+G63+H63+I63+J63+K63+L63</f>
        <v>1245</v>
      </c>
      <c r="E63" s="1239">
        <v>0</v>
      </c>
      <c r="F63" s="168">
        <f>1260-15</f>
        <v>1245</v>
      </c>
      <c r="G63" s="1872">
        <v>0</v>
      </c>
      <c r="H63" s="1872">
        <v>0</v>
      </c>
      <c r="I63" s="1872">
        <v>0</v>
      </c>
      <c r="J63" s="168"/>
      <c r="K63" s="168"/>
      <c r="L63" s="168"/>
      <c r="M63" s="1241">
        <f>SUM(F63:K63)</f>
        <v>1245</v>
      </c>
      <c r="N63" s="1241">
        <f>SUM(G63:L63)</f>
        <v>0</v>
      </c>
      <c r="O63" s="3809"/>
      <c r="P63" s="2455">
        <f>D63-D68</f>
        <v>0</v>
      </c>
    </row>
    <row r="64" spans="1:16" s="2454" customFormat="1" ht="12" customHeight="1">
      <c r="A64" s="3773"/>
      <c r="B64" s="551" t="s">
        <v>18</v>
      </c>
      <c r="C64" s="3752"/>
      <c r="D64" s="1242">
        <f t="shared" ref="D64:I64" si="48">D65</f>
        <v>10581</v>
      </c>
      <c r="E64" s="1242">
        <f t="shared" si="48"/>
        <v>0</v>
      </c>
      <c r="F64" s="1242">
        <f t="shared" si="48"/>
        <v>10581</v>
      </c>
      <c r="G64" s="1243">
        <f t="shared" si="48"/>
        <v>0</v>
      </c>
      <c r="H64" s="1243">
        <f t="shared" si="48"/>
        <v>0</v>
      </c>
      <c r="I64" s="1243">
        <f t="shared" si="48"/>
        <v>0</v>
      </c>
      <c r="J64" s="1242"/>
      <c r="K64" s="1242"/>
      <c r="L64" s="1242"/>
      <c r="M64" s="1875">
        <f>+M65</f>
        <v>10581</v>
      </c>
      <c r="N64" s="1875">
        <f>+N65</f>
        <v>0</v>
      </c>
      <c r="O64" s="3809"/>
    </row>
    <row r="65" spans="1:16" s="2454" customFormat="1">
      <c r="A65" s="3773"/>
      <c r="B65" s="552" t="s">
        <v>20</v>
      </c>
      <c r="C65" s="3753"/>
      <c r="D65" s="773">
        <f>E65+F65+G65+H65+I65+J65+K65+L65</f>
        <v>10581</v>
      </c>
      <c r="E65" s="1239">
        <v>0</v>
      </c>
      <c r="F65" s="130">
        <f>10710-129</f>
        <v>10581</v>
      </c>
      <c r="G65" s="1876">
        <v>0</v>
      </c>
      <c r="H65" s="1876">
        <v>0</v>
      </c>
      <c r="I65" s="1876">
        <v>0</v>
      </c>
      <c r="J65" s="130"/>
      <c r="K65" s="130"/>
      <c r="L65" s="130"/>
      <c r="M65" s="1241">
        <f>SUM(F65:K65)</f>
        <v>10581</v>
      </c>
      <c r="N65" s="1241">
        <f>SUM(G65:L65)</f>
        <v>0</v>
      </c>
      <c r="O65" s="3809"/>
    </row>
    <row r="66" spans="1:16" s="2454" customFormat="1" ht="12" customHeight="1">
      <c r="A66" s="3394"/>
      <c r="B66" s="531" t="s">
        <v>21</v>
      </c>
      <c r="C66" s="1877"/>
      <c r="D66" s="1247">
        <f>+D67+D69</f>
        <v>11826</v>
      </c>
      <c r="E66" s="1247">
        <f t="shared" ref="E66" si="49">E67+E69</f>
        <v>0</v>
      </c>
      <c r="F66" s="1349">
        <f t="shared" ref="F66:I66" si="50">F67+F69</f>
        <v>0</v>
      </c>
      <c r="G66" s="1247">
        <f t="shared" si="50"/>
        <v>11826</v>
      </c>
      <c r="H66" s="1349">
        <f t="shared" si="50"/>
        <v>0</v>
      </c>
      <c r="I66" s="1349">
        <f t="shared" si="50"/>
        <v>0</v>
      </c>
      <c r="J66" s="1247"/>
      <c r="K66" s="1247"/>
      <c r="L66" s="1247"/>
      <c r="M66" s="3653" t="s">
        <v>53</v>
      </c>
      <c r="N66" s="3653" t="s">
        <v>53</v>
      </c>
      <c r="O66" s="3809"/>
      <c r="P66" s="2455">
        <f>G66-'[1]Tab. 6E - Administracja'!$G$66</f>
        <v>-144</v>
      </c>
    </row>
    <row r="67" spans="1:16" s="2454" customFormat="1" ht="12" customHeight="1">
      <c r="A67" s="3394"/>
      <c r="B67" s="1351" t="s">
        <v>23</v>
      </c>
      <c r="C67" s="3743" t="s">
        <v>140</v>
      </c>
      <c r="D67" s="1237">
        <f t="shared" ref="D67:I67" si="51">D68</f>
        <v>1245</v>
      </c>
      <c r="E67" s="1237">
        <f t="shared" si="51"/>
        <v>0</v>
      </c>
      <c r="F67" s="1869">
        <f t="shared" si="51"/>
        <v>0</v>
      </c>
      <c r="G67" s="1237">
        <f t="shared" si="51"/>
        <v>1245</v>
      </c>
      <c r="H67" s="1869">
        <f t="shared" si="51"/>
        <v>0</v>
      </c>
      <c r="I67" s="1869">
        <f t="shared" si="51"/>
        <v>0</v>
      </c>
      <c r="J67" s="1237"/>
      <c r="K67" s="1237"/>
      <c r="L67" s="1237"/>
      <c r="M67" s="3654"/>
      <c r="N67" s="3654"/>
      <c r="O67" s="3809"/>
    </row>
    <row r="68" spans="1:16" s="2454" customFormat="1" ht="10.5" customHeight="1">
      <c r="A68" s="3394"/>
      <c r="B68" s="171" t="s">
        <v>13</v>
      </c>
      <c r="C68" s="3752"/>
      <c r="D68" s="773">
        <f>E68+F68+G68+H68+I68+J68+K68+L68</f>
        <v>1245</v>
      </c>
      <c r="E68" s="1239">
        <v>0</v>
      </c>
      <c r="F68" s="1878">
        <v>0</v>
      </c>
      <c r="G68" s="1249">
        <f>1260-15</f>
        <v>1245</v>
      </c>
      <c r="H68" s="1878">
        <v>0</v>
      </c>
      <c r="I68" s="1878">
        <v>0</v>
      </c>
      <c r="J68" s="1249"/>
      <c r="K68" s="1249"/>
      <c r="L68" s="1249"/>
      <c r="M68" s="3654"/>
      <c r="N68" s="3654"/>
      <c r="O68" s="3809"/>
    </row>
    <row r="69" spans="1:16" s="2454" customFormat="1" ht="12" customHeight="1">
      <c r="A69" s="3394"/>
      <c r="B69" s="1879" t="s">
        <v>18</v>
      </c>
      <c r="C69" s="3752"/>
      <c r="D69" s="1242">
        <f t="shared" ref="D69:I69" si="52">D70</f>
        <v>10581</v>
      </c>
      <c r="E69" s="1242">
        <f t="shared" si="52"/>
        <v>0</v>
      </c>
      <c r="F69" s="1243">
        <f t="shared" si="52"/>
        <v>0</v>
      </c>
      <c r="G69" s="1242">
        <f t="shared" si="52"/>
        <v>10581</v>
      </c>
      <c r="H69" s="1243">
        <f t="shared" si="52"/>
        <v>0</v>
      </c>
      <c r="I69" s="1243">
        <f t="shared" si="52"/>
        <v>0</v>
      </c>
      <c r="J69" s="1242"/>
      <c r="K69" s="1242"/>
      <c r="L69" s="1242"/>
      <c r="M69" s="3654"/>
      <c r="N69" s="3654"/>
      <c r="O69" s="3809"/>
    </row>
    <row r="70" spans="1:16" s="2454" customFormat="1" ht="12" customHeight="1" thickBot="1">
      <c r="A70" s="3395"/>
      <c r="B70" s="323" t="s">
        <v>20</v>
      </c>
      <c r="C70" s="3755"/>
      <c r="D70" s="767">
        <f>E70+F70+G70+H70+I70+J70+K70+L70</f>
        <v>10581</v>
      </c>
      <c r="E70" s="1251">
        <v>0</v>
      </c>
      <c r="F70" s="1348">
        <v>0</v>
      </c>
      <c r="G70" s="528">
        <f>10710-129</f>
        <v>10581</v>
      </c>
      <c r="H70" s="1348">
        <v>0</v>
      </c>
      <c r="I70" s="1348">
        <v>0</v>
      </c>
      <c r="J70" s="528"/>
      <c r="K70" s="528"/>
      <c r="L70" s="528"/>
      <c r="M70" s="3655"/>
      <c r="N70" s="3655"/>
      <c r="O70" s="3810"/>
    </row>
    <row r="71" spans="1:16" s="2454" customFormat="1" ht="36.75" customHeight="1">
      <c r="A71" s="3772" t="s">
        <v>58</v>
      </c>
      <c r="B71" s="164" t="s">
        <v>259</v>
      </c>
      <c r="C71" s="165" t="s">
        <v>101</v>
      </c>
      <c r="D71" s="181"/>
      <c r="E71" s="180"/>
      <c r="F71" s="352"/>
      <c r="G71" s="180"/>
      <c r="H71" s="180"/>
      <c r="I71" s="180"/>
      <c r="J71" s="180"/>
      <c r="K71" s="180"/>
      <c r="L71" s="245"/>
      <c r="M71" s="317"/>
      <c r="N71" s="317"/>
      <c r="O71" s="3782" t="s">
        <v>437</v>
      </c>
    </row>
    <row r="72" spans="1:16" s="2454" customFormat="1" ht="14.25" customHeight="1">
      <c r="A72" s="3773"/>
      <c r="B72" s="531" t="s">
        <v>10</v>
      </c>
      <c r="C72" s="557"/>
      <c r="D72" s="774">
        <f>+D73+D75</f>
        <v>8902458</v>
      </c>
      <c r="E72" s="774">
        <f t="shared" ref="E72" si="53">+E73+E75</f>
        <v>2589029</v>
      </c>
      <c r="F72" s="774">
        <f>+F73+F75</f>
        <v>1519661</v>
      </c>
      <c r="G72" s="774">
        <f>+G73+G75</f>
        <v>1893768</v>
      </c>
      <c r="H72" s="774">
        <f>+H73+H75</f>
        <v>1500000</v>
      </c>
      <c r="I72" s="774">
        <f>+I73+I75</f>
        <v>1400000</v>
      </c>
      <c r="J72" s="774"/>
      <c r="K72" s="774"/>
      <c r="L72" s="774"/>
      <c r="M72" s="775">
        <f>M73+M75</f>
        <v>6313429</v>
      </c>
      <c r="N72" s="775">
        <f>N73+N75</f>
        <v>4793768</v>
      </c>
      <c r="O72" s="3748"/>
    </row>
    <row r="73" spans="1:16" s="2454" customFormat="1">
      <c r="A73" s="3773"/>
      <c r="B73" s="508" t="s">
        <v>23</v>
      </c>
      <c r="C73" s="3743" t="s">
        <v>201</v>
      </c>
      <c r="D73" s="776">
        <f>+D74</f>
        <v>1335368</v>
      </c>
      <c r="E73" s="776">
        <f t="shared" ref="E73:I73" si="54">+E74</f>
        <v>388354</v>
      </c>
      <c r="F73" s="776">
        <f t="shared" si="54"/>
        <v>227949</v>
      </c>
      <c r="G73" s="776">
        <f t="shared" si="54"/>
        <v>284065</v>
      </c>
      <c r="H73" s="776">
        <f t="shared" si="54"/>
        <v>225000</v>
      </c>
      <c r="I73" s="776">
        <f t="shared" si="54"/>
        <v>210000</v>
      </c>
      <c r="J73" s="776"/>
      <c r="K73" s="776"/>
      <c r="L73" s="776"/>
      <c r="M73" s="550">
        <f>+M74</f>
        <v>947014</v>
      </c>
      <c r="N73" s="550">
        <f>+N74</f>
        <v>719065</v>
      </c>
      <c r="O73" s="3748"/>
    </row>
    <row r="74" spans="1:16" s="2454" customFormat="1">
      <c r="A74" s="3773"/>
      <c r="B74" s="167" t="s">
        <v>13</v>
      </c>
      <c r="C74" s="3752"/>
      <c r="D74" s="1267">
        <f>E74+F74+G74+H74+I74+J74+K74+L74</f>
        <v>1335368</v>
      </c>
      <c r="E74" s="1239">
        <v>388354</v>
      </c>
      <c r="F74" s="168">
        <f>330000-21328-80723</f>
        <v>227949</v>
      </c>
      <c r="G74" s="168">
        <f>330000-45935</f>
        <v>284065</v>
      </c>
      <c r="H74" s="168">
        <v>225000</v>
      </c>
      <c r="I74" s="168">
        <v>210000</v>
      </c>
      <c r="J74" s="168"/>
      <c r="K74" s="168"/>
      <c r="L74" s="168"/>
      <c r="M74" s="561">
        <f>SUM(F74:K74)</f>
        <v>947014</v>
      </c>
      <c r="N74" s="561">
        <f>SUM(G74:L74)</f>
        <v>719065</v>
      </c>
      <c r="O74" s="3748"/>
    </row>
    <row r="75" spans="1:16" s="2454" customFormat="1" ht="12" customHeight="1">
      <c r="A75" s="3773"/>
      <c r="B75" s="551" t="s">
        <v>18</v>
      </c>
      <c r="C75" s="3752"/>
      <c r="D75" s="777">
        <f>+D76</f>
        <v>7567090</v>
      </c>
      <c r="E75" s="777">
        <f t="shared" ref="E75:I75" si="55">E76</f>
        <v>2200675</v>
      </c>
      <c r="F75" s="777">
        <f t="shared" si="55"/>
        <v>1291712</v>
      </c>
      <c r="G75" s="777">
        <f t="shared" si="55"/>
        <v>1609703</v>
      </c>
      <c r="H75" s="777">
        <f t="shared" si="55"/>
        <v>1275000</v>
      </c>
      <c r="I75" s="777">
        <f t="shared" si="55"/>
        <v>1190000</v>
      </c>
      <c r="J75" s="777"/>
      <c r="K75" s="777"/>
      <c r="L75" s="777"/>
      <c r="M75" s="550">
        <f>+M76</f>
        <v>5366415</v>
      </c>
      <c r="N75" s="550">
        <f>+N76</f>
        <v>4074703</v>
      </c>
      <c r="O75" s="3748"/>
    </row>
    <row r="76" spans="1:16" s="2454" customFormat="1" ht="12" customHeight="1">
      <c r="A76" s="3773"/>
      <c r="B76" s="552" t="s">
        <v>20</v>
      </c>
      <c r="C76" s="3753"/>
      <c r="D76" s="235">
        <f>E76+F76+G76+H76+I76+J76+K76+L76</f>
        <v>7567090</v>
      </c>
      <c r="E76" s="1137">
        <v>2200675</v>
      </c>
      <c r="F76" s="130">
        <f>1870000-120859-457429</f>
        <v>1291712</v>
      </c>
      <c r="G76" s="130">
        <f>1870000-260297</f>
        <v>1609703</v>
      </c>
      <c r="H76" s="130">
        <v>1275000</v>
      </c>
      <c r="I76" s="130">
        <v>1190000</v>
      </c>
      <c r="J76" s="130"/>
      <c r="K76" s="130"/>
      <c r="L76" s="130"/>
      <c r="M76" s="561">
        <f>SUM(F76:K76)</f>
        <v>5366415</v>
      </c>
      <c r="N76" s="561">
        <f>SUM(G76:L76)</f>
        <v>4074703</v>
      </c>
      <c r="O76" s="3748"/>
    </row>
    <row r="77" spans="1:16" s="2454" customFormat="1" ht="14.25" customHeight="1">
      <c r="A77" s="3394"/>
      <c r="B77" s="531" t="s">
        <v>21</v>
      </c>
      <c r="C77" s="553"/>
      <c r="D77" s="774">
        <f>+D78+D80</f>
        <v>8902458</v>
      </c>
      <c r="E77" s="774">
        <f t="shared" ref="E77" si="56">E78+E80</f>
        <v>2589029</v>
      </c>
      <c r="F77" s="774">
        <f>F78+F80</f>
        <v>1519661</v>
      </c>
      <c r="G77" s="774">
        <f>G78+G80</f>
        <v>1893768</v>
      </c>
      <c r="H77" s="532">
        <f>H78+H80</f>
        <v>1500000</v>
      </c>
      <c r="I77" s="774">
        <f>I78+I80</f>
        <v>1400000</v>
      </c>
      <c r="J77" s="774"/>
      <c r="K77" s="774"/>
      <c r="L77" s="774"/>
      <c r="M77" s="3837" t="s">
        <v>53</v>
      </c>
      <c r="N77" s="3837" t="s">
        <v>53</v>
      </c>
      <c r="O77" s="3748"/>
      <c r="P77" s="2455">
        <f>G77-'[1]Tab. 6E - Administracja'!$G$77</f>
        <v>-306232</v>
      </c>
    </row>
    <row r="78" spans="1:16" s="2454" customFormat="1" ht="13.5" customHeight="1">
      <c r="A78" s="3394"/>
      <c r="B78" s="554" t="s">
        <v>23</v>
      </c>
      <c r="C78" s="3743" t="s">
        <v>201</v>
      </c>
      <c r="D78" s="776">
        <f>+D79</f>
        <v>1335368</v>
      </c>
      <c r="E78" s="776">
        <f t="shared" ref="E78:I78" si="57">E79</f>
        <v>388354</v>
      </c>
      <c r="F78" s="776">
        <f t="shared" si="57"/>
        <v>227949</v>
      </c>
      <c r="G78" s="776">
        <f t="shared" si="57"/>
        <v>284065</v>
      </c>
      <c r="H78" s="555">
        <f t="shared" si="57"/>
        <v>225000</v>
      </c>
      <c r="I78" s="776">
        <f t="shared" si="57"/>
        <v>210000</v>
      </c>
      <c r="J78" s="776"/>
      <c r="K78" s="776"/>
      <c r="L78" s="776"/>
      <c r="M78" s="3654"/>
      <c r="N78" s="3654"/>
      <c r="O78" s="3748"/>
    </row>
    <row r="79" spans="1:16" s="2454" customFormat="1" ht="13.5" customHeight="1">
      <c r="A79" s="3394"/>
      <c r="B79" s="171" t="s">
        <v>13</v>
      </c>
      <c r="C79" s="3752"/>
      <c r="D79" s="235">
        <f>E79+F79+G79+H79+I79+J79+K79+L79</f>
        <v>1335368</v>
      </c>
      <c r="E79" s="1137">
        <v>388354</v>
      </c>
      <c r="F79" s="536">
        <f>330000-21328-80723</f>
        <v>227949</v>
      </c>
      <c r="G79" s="536">
        <f>330000-45935</f>
        <v>284065</v>
      </c>
      <c r="H79" s="536">
        <v>225000</v>
      </c>
      <c r="I79" s="536">
        <v>210000</v>
      </c>
      <c r="J79" s="536"/>
      <c r="K79" s="536"/>
      <c r="L79" s="536"/>
      <c r="M79" s="3654"/>
      <c r="N79" s="3654"/>
      <c r="O79" s="3748"/>
    </row>
    <row r="80" spans="1:16" s="2454" customFormat="1">
      <c r="A80" s="3394"/>
      <c r="B80" s="556" t="s">
        <v>18</v>
      </c>
      <c r="C80" s="3752"/>
      <c r="D80" s="777">
        <f>+D81</f>
        <v>7567090</v>
      </c>
      <c r="E80" s="777">
        <f t="shared" ref="E80:I80" si="58">E81</f>
        <v>2200675</v>
      </c>
      <c r="F80" s="777">
        <f t="shared" si="58"/>
        <v>1291712</v>
      </c>
      <c r="G80" s="777">
        <f t="shared" si="58"/>
        <v>1609703</v>
      </c>
      <c r="H80" s="538">
        <f t="shared" si="58"/>
        <v>1275000</v>
      </c>
      <c r="I80" s="777">
        <f t="shared" si="58"/>
        <v>1190000</v>
      </c>
      <c r="J80" s="777"/>
      <c r="K80" s="777"/>
      <c r="L80" s="777"/>
      <c r="M80" s="3654"/>
      <c r="N80" s="3654"/>
      <c r="O80" s="3748"/>
    </row>
    <row r="81" spans="1:18" s="2454" customFormat="1" ht="12" customHeight="1" thickBot="1">
      <c r="A81" s="3395"/>
      <c r="B81" s="323" t="s">
        <v>20</v>
      </c>
      <c r="C81" s="3755"/>
      <c r="D81" s="235">
        <f>E81+F81+G81+H81+I81+J81+K81+L81</f>
        <v>7567090</v>
      </c>
      <c r="E81" s="1137">
        <v>2200675</v>
      </c>
      <c r="F81" s="528">
        <f>1870000-120859-457429</f>
        <v>1291712</v>
      </c>
      <c r="G81" s="528">
        <f>1870000-260297</f>
        <v>1609703</v>
      </c>
      <c r="H81" s="528">
        <v>1275000</v>
      </c>
      <c r="I81" s="528">
        <v>1190000</v>
      </c>
      <c r="J81" s="528"/>
      <c r="K81" s="528"/>
      <c r="L81" s="528"/>
      <c r="M81" s="3655"/>
      <c r="N81" s="3655"/>
      <c r="O81" s="3749"/>
    </row>
    <row r="82" spans="1:18" s="2454" customFormat="1" ht="43.5" customHeight="1">
      <c r="A82" s="3772" t="s">
        <v>59</v>
      </c>
      <c r="B82" s="164" t="s">
        <v>303</v>
      </c>
      <c r="C82" s="165" t="s">
        <v>74</v>
      </c>
      <c r="D82" s="181"/>
      <c r="E82" s="352"/>
      <c r="F82" s="180"/>
      <c r="G82" s="180"/>
      <c r="H82" s="180"/>
      <c r="I82" s="180"/>
      <c r="J82" s="180"/>
      <c r="K82" s="180"/>
      <c r="L82" s="245"/>
      <c r="M82" s="317"/>
      <c r="N82" s="317"/>
      <c r="O82" s="3782" t="s">
        <v>437</v>
      </c>
    </row>
    <row r="83" spans="1:18" s="2454" customFormat="1" ht="12" customHeight="1">
      <c r="A83" s="3773"/>
      <c r="B83" s="21" t="s">
        <v>10</v>
      </c>
      <c r="C83" s="1180"/>
      <c r="D83" s="361">
        <f>+D84+D86</f>
        <v>41857</v>
      </c>
      <c r="E83" s="361">
        <f t="shared" ref="E83" si="59">+E84+E86</f>
        <v>38038</v>
      </c>
      <c r="F83" s="361">
        <f>+F84+F86</f>
        <v>3819</v>
      </c>
      <c r="G83" s="361">
        <f>+G84+G86</f>
        <v>0</v>
      </c>
      <c r="H83" s="361">
        <f>+H84+H86</f>
        <v>0</v>
      </c>
      <c r="I83" s="361">
        <f>+I84+I86</f>
        <v>0</v>
      </c>
      <c r="J83" s="361"/>
      <c r="K83" s="361"/>
      <c r="L83" s="361"/>
      <c r="M83" s="1139">
        <f>M84+M86</f>
        <v>3819</v>
      </c>
      <c r="N83" s="2551">
        <f>N84+N86</f>
        <v>0</v>
      </c>
      <c r="O83" s="3801"/>
    </row>
    <row r="84" spans="1:18" s="2454" customFormat="1" ht="12" customHeight="1">
      <c r="A84" s="3773"/>
      <c r="B84" s="166" t="s">
        <v>23</v>
      </c>
      <c r="C84" s="3803" t="s">
        <v>201</v>
      </c>
      <c r="D84" s="362">
        <f>+D85</f>
        <v>6279</v>
      </c>
      <c r="E84" s="362">
        <f t="shared" ref="E84:I84" si="60">+E85</f>
        <v>5706</v>
      </c>
      <c r="F84" s="362">
        <f t="shared" si="60"/>
        <v>573</v>
      </c>
      <c r="G84" s="362">
        <f t="shared" si="60"/>
        <v>0</v>
      </c>
      <c r="H84" s="362">
        <f t="shared" si="60"/>
        <v>0</v>
      </c>
      <c r="I84" s="362">
        <f t="shared" si="60"/>
        <v>0</v>
      </c>
      <c r="J84" s="362"/>
      <c r="K84" s="362"/>
      <c r="L84" s="362"/>
      <c r="M84" s="1140">
        <f>+M85</f>
        <v>573</v>
      </c>
      <c r="N84" s="2550">
        <f>+N85</f>
        <v>0</v>
      </c>
      <c r="O84" s="3748"/>
    </row>
    <row r="85" spans="1:18" s="2454" customFormat="1" ht="12" customHeight="1">
      <c r="A85" s="3773"/>
      <c r="B85" s="167" t="s">
        <v>13</v>
      </c>
      <c r="C85" s="3752"/>
      <c r="D85" s="235">
        <f>E85+F85+G85+H85+I85+J85+K85+L85</f>
        <v>6279</v>
      </c>
      <c r="E85" s="1137">
        <v>5706</v>
      </c>
      <c r="F85" s="168">
        <f>960-387</f>
        <v>573</v>
      </c>
      <c r="G85" s="168">
        <v>0</v>
      </c>
      <c r="H85" s="168">
        <v>0</v>
      </c>
      <c r="I85" s="168">
        <v>0</v>
      </c>
      <c r="J85" s="168"/>
      <c r="K85" s="168"/>
      <c r="L85" s="168"/>
      <c r="M85" s="561">
        <f>SUM(F85:K85)</f>
        <v>573</v>
      </c>
      <c r="N85" s="2552">
        <f>SUM(G85:L85)</f>
        <v>0</v>
      </c>
      <c r="O85" s="3748"/>
    </row>
    <row r="86" spans="1:18" s="2454" customFormat="1" ht="12" customHeight="1">
      <c r="A86" s="3773"/>
      <c r="B86" s="81" t="s">
        <v>18</v>
      </c>
      <c r="C86" s="3752"/>
      <c r="D86" s="363">
        <f>D87</f>
        <v>35578</v>
      </c>
      <c r="E86" s="363">
        <f t="shared" ref="E86:I86" si="61">E87</f>
        <v>32332</v>
      </c>
      <c r="F86" s="363">
        <f t="shared" si="61"/>
        <v>3246</v>
      </c>
      <c r="G86" s="363">
        <f t="shared" si="61"/>
        <v>0</v>
      </c>
      <c r="H86" s="363">
        <f t="shared" si="61"/>
        <v>0</v>
      </c>
      <c r="I86" s="363">
        <f t="shared" si="61"/>
        <v>0</v>
      </c>
      <c r="J86" s="363"/>
      <c r="K86" s="363"/>
      <c r="L86" s="363"/>
      <c r="M86" s="1140">
        <f>+M87</f>
        <v>3246</v>
      </c>
      <c r="N86" s="2550">
        <f>+N87</f>
        <v>0</v>
      </c>
      <c r="O86" s="3748"/>
    </row>
    <row r="87" spans="1:18" s="2454" customFormat="1" ht="12" customHeight="1">
      <c r="A87" s="3773"/>
      <c r="B87" s="1181" t="s">
        <v>20</v>
      </c>
      <c r="C87" s="3753"/>
      <c r="D87" s="235">
        <f>E87+F87+G87+H87+I87+J87+K87+L87</f>
        <v>35578</v>
      </c>
      <c r="E87" s="1137">
        <v>32332</v>
      </c>
      <c r="F87" s="130">
        <f>5440-2194</f>
        <v>3246</v>
      </c>
      <c r="G87" s="130">
        <v>0</v>
      </c>
      <c r="H87" s="130">
        <v>0</v>
      </c>
      <c r="I87" s="130">
        <v>0</v>
      </c>
      <c r="J87" s="130"/>
      <c r="K87" s="130"/>
      <c r="L87" s="130"/>
      <c r="M87" s="561">
        <f>SUM(F87:K87)</f>
        <v>3246</v>
      </c>
      <c r="N87" s="2552">
        <f>SUM(G87:L87)</f>
        <v>0</v>
      </c>
      <c r="O87" s="3748"/>
    </row>
    <row r="88" spans="1:18" s="2454" customFormat="1" ht="12" customHeight="1">
      <c r="A88" s="3394"/>
      <c r="B88" s="21" t="s">
        <v>21</v>
      </c>
      <c r="C88" s="1182"/>
      <c r="D88" s="361">
        <f>D89+D91</f>
        <v>41857</v>
      </c>
      <c r="E88" s="361">
        <f t="shared" ref="E88" si="62">E89+E91</f>
        <v>38038</v>
      </c>
      <c r="F88" s="361">
        <f>F89+F91</f>
        <v>3819</v>
      </c>
      <c r="G88" s="361">
        <f>G89+G91</f>
        <v>0</v>
      </c>
      <c r="H88" s="361">
        <f>H89+H91</f>
        <v>0</v>
      </c>
      <c r="I88" s="361">
        <f>I89+I91</f>
        <v>0</v>
      </c>
      <c r="J88" s="361"/>
      <c r="K88" s="361"/>
      <c r="L88" s="361"/>
      <c r="M88" s="3761" t="s">
        <v>53</v>
      </c>
      <c r="N88" s="3838" t="s">
        <v>53</v>
      </c>
      <c r="O88" s="3748"/>
      <c r="P88" s="2455">
        <f>G88-'[1]Tab. 6E - Administracja'!$G$88</f>
        <v>0</v>
      </c>
    </row>
    <row r="89" spans="1:18" s="2454" customFormat="1" ht="12" customHeight="1" thickBot="1">
      <c r="A89" s="3394"/>
      <c r="B89" s="1183" t="s">
        <v>23</v>
      </c>
      <c r="C89" s="3803" t="s">
        <v>201</v>
      </c>
      <c r="D89" s="362">
        <f>D90</f>
        <v>6279</v>
      </c>
      <c r="E89" s="362">
        <f t="shared" ref="E89:I89" si="63">E90</f>
        <v>5706</v>
      </c>
      <c r="F89" s="362">
        <f t="shared" si="63"/>
        <v>573</v>
      </c>
      <c r="G89" s="362">
        <f t="shared" si="63"/>
        <v>0</v>
      </c>
      <c r="H89" s="362">
        <f t="shared" si="63"/>
        <v>0</v>
      </c>
      <c r="I89" s="362">
        <f t="shared" si="63"/>
        <v>0</v>
      </c>
      <c r="J89" s="362"/>
      <c r="K89" s="362"/>
      <c r="L89" s="362"/>
      <c r="M89" s="3654"/>
      <c r="N89" s="3656"/>
      <c r="O89" s="3749"/>
    </row>
    <row r="90" spans="1:18" s="2454" customFormat="1" ht="12" customHeight="1" thickBot="1">
      <c r="A90" s="3394"/>
      <c r="B90" s="171" t="s">
        <v>13</v>
      </c>
      <c r="C90" s="3752"/>
      <c r="D90" s="235">
        <f>E90+F90+G90+H90+I90+J90+K90+L90</f>
        <v>6279</v>
      </c>
      <c r="E90" s="1137">
        <v>5706</v>
      </c>
      <c r="F90" s="356">
        <f>960-387</f>
        <v>573</v>
      </c>
      <c r="G90" s="356">
        <v>0</v>
      </c>
      <c r="H90" s="221">
        <v>0</v>
      </c>
      <c r="I90" s="221">
        <v>0</v>
      </c>
      <c r="J90" s="221"/>
      <c r="K90" s="221"/>
      <c r="L90" s="221"/>
      <c r="M90" s="3654"/>
      <c r="N90" s="3656"/>
      <c r="O90" s="3746"/>
    </row>
    <row r="91" spans="1:18" s="2454" customFormat="1" ht="12" customHeight="1" thickBot="1">
      <c r="A91" s="3394"/>
      <c r="B91" s="1184" t="s">
        <v>18</v>
      </c>
      <c r="C91" s="3752"/>
      <c r="D91" s="363">
        <f>D92</f>
        <v>35578</v>
      </c>
      <c r="E91" s="363">
        <f t="shared" ref="E91:I91" si="64">E92</f>
        <v>32332</v>
      </c>
      <c r="F91" s="363">
        <f t="shared" si="64"/>
        <v>3246</v>
      </c>
      <c r="G91" s="363">
        <f t="shared" si="64"/>
        <v>0</v>
      </c>
      <c r="H91" s="363">
        <f t="shared" si="64"/>
        <v>0</v>
      </c>
      <c r="I91" s="363">
        <f t="shared" si="64"/>
        <v>0</v>
      </c>
      <c r="J91" s="363"/>
      <c r="K91" s="363"/>
      <c r="L91" s="363"/>
      <c r="M91" s="3654"/>
      <c r="N91" s="3656"/>
      <c r="O91" s="3746"/>
    </row>
    <row r="92" spans="1:18" s="2454" customFormat="1" ht="12" customHeight="1" thickBot="1">
      <c r="A92" s="3394"/>
      <c r="B92" s="323" t="s">
        <v>20</v>
      </c>
      <c r="C92" s="3755"/>
      <c r="D92" s="235">
        <f>E92+F92+G92+H92+I92+J92+K92+L92</f>
        <v>35578</v>
      </c>
      <c r="E92" s="1137">
        <v>32332</v>
      </c>
      <c r="F92" s="172">
        <f>5440-2194</f>
        <v>3246</v>
      </c>
      <c r="G92" s="172">
        <v>0</v>
      </c>
      <c r="H92" s="109">
        <v>0</v>
      </c>
      <c r="I92" s="109">
        <v>0</v>
      </c>
      <c r="J92" s="109"/>
      <c r="K92" s="109"/>
      <c r="L92" s="109"/>
      <c r="M92" s="3655"/>
      <c r="N92" s="3657"/>
      <c r="O92" s="3802"/>
    </row>
    <row r="93" spans="1:18" s="311" customFormat="1" ht="17.25" customHeight="1" thickBot="1">
      <c r="A93" s="3774" t="s">
        <v>107</v>
      </c>
      <c r="B93" s="164" t="s">
        <v>251</v>
      </c>
      <c r="C93" s="165" t="s">
        <v>101</v>
      </c>
      <c r="D93" s="352"/>
      <c r="E93" s="352"/>
      <c r="F93" s="352"/>
      <c r="G93" s="352"/>
      <c r="H93" s="352"/>
      <c r="I93" s="352"/>
      <c r="J93" s="352"/>
      <c r="K93" s="352"/>
      <c r="L93" s="352"/>
      <c r="M93" s="352"/>
      <c r="N93" s="352"/>
      <c r="O93" s="3830" t="s">
        <v>426</v>
      </c>
      <c r="P93" s="1116" t="s">
        <v>430</v>
      </c>
      <c r="Q93" s="1116" t="s">
        <v>431</v>
      </c>
      <c r="R93" s="316"/>
    </row>
    <row r="94" spans="1:18" s="311" customFormat="1" ht="15.75" customHeight="1" thickBot="1">
      <c r="A94" s="3732"/>
      <c r="B94" s="531" t="s">
        <v>10</v>
      </c>
      <c r="C94" s="1252"/>
      <c r="D94" s="1253">
        <f>+D105+D95</f>
        <v>218512517</v>
      </c>
      <c r="E94" s="1253">
        <f t="shared" ref="E94" si="65">+E105+E95</f>
        <v>24245221</v>
      </c>
      <c r="F94" s="1253">
        <f t="shared" ref="F94:I94" si="66">+F105+F95</f>
        <v>25866928</v>
      </c>
      <c r="G94" s="1253">
        <f t="shared" si="66"/>
        <v>29230111</v>
      </c>
      <c r="H94" s="1253">
        <f t="shared" si="66"/>
        <v>31436000</v>
      </c>
      <c r="I94" s="1253">
        <f t="shared" si="66"/>
        <v>30141855</v>
      </c>
      <c r="J94" s="1253">
        <f>+J105+J95</f>
        <v>26657062</v>
      </c>
      <c r="K94" s="1253">
        <f>+K105+K95</f>
        <v>25562887</v>
      </c>
      <c r="L94" s="1253">
        <f>+L105+L95</f>
        <v>25372453</v>
      </c>
      <c r="M94" s="1254">
        <f>+M105+M95</f>
        <v>193538438</v>
      </c>
      <c r="N94" s="1254">
        <f>+N105+N95</f>
        <v>167974462</v>
      </c>
      <c r="O94" s="3831"/>
      <c r="P94" s="1118">
        <f>+P95+P105</f>
        <v>24456849</v>
      </c>
      <c r="Q94" s="1117"/>
    </row>
    <row r="95" spans="1:18" s="299" customFormat="1" ht="15.75" customHeight="1" thickBot="1">
      <c r="A95" s="3732"/>
      <c r="B95" s="508" t="s">
        <v>23</v>
      </c>
      <c r="C95" s="3820" t="s">
        <v>424</v>
      </c>
      <c r="D95" s="1255">
        <f>D96+D102</f>
        <v>35857730</v>
      </c>
      <c r="E95" s="1255">
        <f t="shared" ref="E95" si="67">E96+E102</f>
        <v>4438802</v>
      </c>
      <c r="F95" s="1255">
        <f t="shared" ref="F95:I95" si="68">F96+F102</f>
        <v>5127532</v>
      </c>
      <c r="G95" s="1255">
        <f t="shared" si="68"/>
        <v>5221314</v>
      </c>
      <c r="H95" s="1255">
        <f t="shared" si="68"/>
        <v>5236646</v>
      </c>
      <c r="I95" s="1255">
        <f t="shared" si="68"/>
        <v>5179550</v>
      </c>
      <c r="J95" s="1255">
        <f>J96+J102</f>
        <v>4487384</v>
      </c>
      <c r="K95" s="1255">
        <f>K96+K102</f>
        <v>3052528</v>
      </c>
      <c r="L95" s="1255">
        <f>L96+L102</f>
        <v>3113974</v>
      </c>
      <c r="M95" s="1256">
        <f>M96+M102</f>
        <v>30690070</v>
      </c>
      <c r="N95" s="1256">
        <f>N96+N102</f>
        <v>25865490</v>
      </c>
      <c r="O95" s="3831"/>
      <c r="P95" s="1120">
        <f>+P96+P102</f>
        <v>2983757</v>
      </c>
      <c r="Q95" s="1119"/>
    </row>
    <row r="96" spans="1:18" s="311" customFormat="1" ht="12.75" customHeight="1" thickBot="1">
      <c r="A96" s="3732"/>
      <c r="B96" s="2594" t="s">
        <v>12</v>
      </c>
      <c r="C96" s="3752"/>
      <c r="D96" s="2589">
        <f t="shared" ref="D96:D104" si="69">E96+F96+G96+H96+I96+J96+K96+L96</f>
        <v>34772869</v>
      </c>
      <c r="E96" s="1948">
        <f t="shared" ref="E96:L96" si="70">+E98+E99+E100+E101</f>
        <v>4082799</v>
      </c>
      <c r="F96" s="1257">
        <f t="shared" si="70"/>
        <v>4824580</v>
      </c>
      <c r="G96" s="1257">
        <f t="shared" si="70"/>
        <v>5159196</v>
      </c>
      <c r="H96" s="1257">
        <f t="shared" si="70"/>
        <v>5142378</v>
      </c>
      <c r="I96" s="1257">
        <f t="shared" si="70"/>
        <v>5102085</v>
      </c>
      <c r="J96" s="1257">
        <f t="shared" si="70"/>
        <v>4423365</v>
      </c>
      <c r="K96" s="1257">
        <f t="shared" si="70"/>
        <v>2988510</v>
      </c>
      <c r="L96" s="1257">
        <f t="shared" si="70"/>
        <v>3049956</v>
      </c>
      <c r="M96" s="561">
        <f>SUM(F96:L96)</f>
        <v>30690070</v>
      </c>
      <c r="N96" s="1241">
        <f>SUM(G96:L96)</f>
        <v>25865490</v>
      </c>
      <c r="O96" s="3832"/>
      <c r="P96" s="3041">
        <v>2627754</v>
      </c>
      <c r="Q96" s="3042"/>
    </row>
    <row r="97" spans="1:20" s="311" customFormat="1" ht="12.75" hidden="1" customHeight="1" thickBot="1">
      <c r="A97" s="3732"/>
      <c r="B97" s="2595" t="s">
        <v>141</v>
      </c>
      <c r="C97" s="3752"/>
      <c r="D97" s="2589">
        <f t="shared" si="69"/>
        <v>0</v>
      </c>
      <c r="E97" s="2604"/>
      <c r="F97" s="1258"/>
      <c r="G97" s="1258"/>
      <c r="H97" s="1258"/>
      <c r="I97" s="1258"/>
      <c r="J97" s="1258"/>
      <c r="K97" s="1258"/>
      <c r="L97" s="1258"/>
      <c r="M97" s="1259"/>
      <c r="N97" s="1259"/>
      <c r="O97" s="3833"/>
      <c r="P97" s="3041"/>
      <c r="Q97" s="3042"/>
    </row>
    <row r="98" spans="1:20" s="311" customFormat="1" ht="12.75" hidden="1" customHeight="1">
      <c r="A98" s="3772"/>
      <c r="B98" s="2596" t="s">
        <v>142</v>
      </c>
      <c r="C98" s="3752"/>
      <c r="D98" s="2589">
        <f t="shared" si="69"/>
        <v>10377743</v>
      </c>
      <c r="E98" s="2605">
        <v>2627754</v>
      </c>
      <c r="F98" s="1260">
        <f>9433+186725+10304+744248+897699+783429+5728+241266+25883+352396+742812-2</f>
        <v>3999921</v>
      </c>
      <c r="G98" s="1260">
        <f>2649563+743210+23964+12346+216379+104606</f>
        <v>3750068</v>
      </c>
      <c r="H98" s="1260"/>
      <c r="I98" s="1260">
        <f>152659-152659</f>
        <v>0</v>
      </c>
      <c r="J98" s="1260"/>
      <c r="K98" s="1260"/>
      <c r="L98" s="1260"/>
      <c r="M98" s="2405">
        <f t="shared" ref="M98:N101" si="71">+F98+G98+H98+I98+J98+K98</f>
        <v>7749989</v>
      </c>
      <c r="N98" s="2599">
        <f t="shared" si="71"/>
        <v>3750068</v>
      </c>
      <c r="O98" s="3834"/>
      <c r="P98" s="3041"/>
      <c r="Q98" s="3042"/>
    </row>
    <row r="99" spans="1:20" s="311" customFormat="1" ht="12.75" hidden="1" customHeight="1" thickBot="1">
      <c r="A99" s="3774"/>
      <c r="B99" s="2492" t="s">
        <v>143</v>
      </c>
      <c r="C99" s="3752"/>
      <c r="D99" s="2589">
        <f t="shared" si="69"/>
        <v>0</v>
      </c>
      <c r="E99" s="2606"/>
      <c r="F99" s="1261"/>
      <c r="G99" s="1261"/>
      <c r="H99" s="1261"/>
      <c r="I99" s="1261"/>
      <c r="J99" s="1261"/>
      <c r="K99" s="1261"/>
      <c r="L99" s="1261"/>
      <c r="M99" s="1093">
        <f t="shared" si="71"/>
        <v>0</v>
      </c>
      <c r="N99" s="2600">
        <f t="shared" si="71"/>
        <v>0</v>
      </c>
      <c r="O99" s="3835"/>
      <c r="P99" s="3041"/>
      <c r="Q99" s="3042"/>
    </row>
    <row r="100" spans="1:20" s="311" customFormat="1" ht="12.75" hidden="1" customHeight="1" thickBot="1">
      <c r="A100" s="3732"/>
      <c r="B100" s="2502" t="s">
        <v>144</v>
      </c>
      <c r="C100" s="3755"/>
      <c r="D100" s="1267">
        <f t="shared" si="69"/>
        <v>24395126</v>
      </c>
      <c r="E100" s="1267">
        <f>12575+1455753-13283</f>
        <v>1455045</v>
      </c>
      <c r="F100" s="2776">
        <f>868747+1301922+95728+2022114+18844+588448-9433-186725-10304-744248-897699-783429-5728-241266-25883-352396-742812+77979-149200</f>
        <v>824659</v>
      </c>
      <c r="G100" s="2512">
        <f>2845477-121293-214551-743210-23964-12346-216379-104606</f>
        <v>1409128</v>
      </c>
      <c r="H100" s="2512">
        <f>903845+1354520+99595+2103807+347372+333239</f>
        <v>5142378</v>
      </c>
      <c r="I100" s="2512">
        <f>921922+1381610+101587+2145884+357793+162483+30806</f>
        <v>5102085</v>
      </c>
      <c r="J100" s="2512">
        <f>4642023+192558-411216</f>
        <v>4423365</v>
      </c>
      <c r="K100" s="2512">
        <f>2551196+450141-14983+2156</f>
        <v>2988510</v>
      </c>
      <c r="L100" s="2512">
        <f>2645893+416877-14984+2157+13</f>
        <v>3049956</v>
      </c>
      <c r="M100" s="1093">
        <f t="shared" si="71"/>
        <v>19890125</v>
      </c>
      <c r="N100" s="2600">
        <f t="shared" si="71"/>
        <v>22115422</v>
      </c>
      <c r="O100" s="3832"/>
      <c r="P100" s="3041"/>
      <c r="Q100" s="3042"/>
    </row>
    <row r="101" spans="1:20" s="311" customFormat="1" ht="12.75" hidden="1" customHeight="1" thickBot="1">
      <c r="A101" s="3732"/>
      <c r="B101" s="2597" t="s">
        <v>145</v>
      </c>
      <c r="C101" s="3821"/>
      <c r="D101" s="2590">
        <f t="shared" si="69"/>
        <v>0</v>
      </c>
      <c r="E101" s="2607"/>
      <c r="F101" s="2507"/>
      <c r="G101" s="2507"/>
      <c r="H101" s="2507"/>
      <c r="I101" s="2507"/>
      <c r="J101" s="2507"/>
      <c r="K101" s="2507"/>
      <c r="L101" s="2507"/>
      <c r="M101" s="2493">
        <f t="shared" si="71"/>
        <v>0</v>
      </c>
      <c r="N101" s="2600">
        <f t="shared" si="71"/>
        <v>0</v>
      </c>
      <c r="O101" s="3835"/>
      <c r="P101" s="3041"/>
      <c r="Q101" s="3042"/>
    </row>
    <row r="102" spans="1:20" s="311" customFormat="1">
      <c r="A102" s="3773"/>
      <c r="B102" s="2598" t="s">
        <v>31</v>
      </c>
      <c r="C102" s="3752"/>
      <c r="D102" s="2602">
        <f t="shared" si="69"/>
        <v>1084861</v>
      </c>
      <c r="E102" s="1948">
        <f t="shared" ref="E102:L102" si="72">SUM(E103:E104)</f>
        <v>356003</v>
      </c>
      <c r="F102" s="1870">
        <f t="shared" si="72"/>
        <v>302952</v>
      </c>
      <c r="G102" s="1870">
        <f t="shared" si="72"/>
        <v>62118</v>
      </c>
      <c r="H102" s="1870">
        <f t="shared" si="72"/>
        <v>94268</v>
      </c>
      <c r="I102" s="1870">
        <f t="shared" si="72"/>
        <v>77465</v>
      </c>
      <c r="J102" s="1870">
        <f t="shared" si="72"/>
        <v>64019</v>
      </c>
      <c r="K102" s="1870">
        <f t="shared" si="72"/>
        <v>64018</v>
      </c>
      <c r="L102" s="1870">
        <f t="shared" si="72"/>
        <v>64018</v>
      </c>
      <c r="M102" s="2438">
        <f>M103+M104</f>
        <v>0</v>
      </c>
      <c r="N102" s="2601">
        <f>N103+N104</f>
        <v>0</v>
      </c>
      <c r="O102" s="3836"/>
      <c r="P102" s="3041">
        <v>356003</v>
      </c>
      <c r="Q102" s="3042"/>
    </row>
    <row r="103" spans="1:20" s="311" customFormat="1" ht="12.75" hidden="1" customHeight="1">
      <c r="A103" s="3819"/>
      <c r="B103" s="2463" t="s">
        <v>238</v>
      </c>
      <c r="C103" s="3640"/>
      <c r="D103" s="2457">
        <f t="shared" si="69"/>
        <v>546207</v>
      </c>
      <c r="E103" s="2603">
        <v>51728</v>
      </c>
      <c r="F103" s="2464">
        <f>70632+15201+19134+6435-3544-34119-5166</f>
        <v>68573</v>
      </c>
      <c r="G103" s="2464">
        <f>70167+14504+8153-30706</f>
        <v>62118</v>
      </c>
      <c r="H103" s="2464">
        <f>64019+3544+20673+6032</f>
        <v>94268</v>
      </c>
      <c r="I103" s="2464">
        <f>64019+13446</f>
        <v>77465</v>
      </c>
      <c r="J103" s="2464">
        <v>64019</v>
      </c>
      <c r="K103" s="2464">
        <v>64018</v>
      </c>
      <c r="L103" s="2464">
        <v>64018</v>
      </c>
      <c r="M103" s="2465">
        <v>0</v>
      </c>
      <c r="N103" s="2593">
        <v>0</v>
      </c>
      <c r="O103" s="3836"/>
      <c r="P103" s="3041"/>
      <c r="Q103" s="3042"/>
    </row>
    <row r="104" spans="1:20" s="311" customFormat="1" ht="12.75" hidden="1" customHeight="1">
      <c r="A104" s="3819"/>
      <c r="B104" s="2463" t="s">
        <v>239</v>
      </c>
      <c r="C104" s="3640"/>
      <c r="D104" s="2457">
        <f t="shared" si="69"/>
        <v>538654</v>
      </c>
      <c r="E104" s="2603">
        <v>304275</v>
      </c>
      <c r="F104" s="2464">
        <f>390656-525+1+195845-377239+29967-4313-13</f>
        <v>234379</v>
      </c>
      <c r="G104" s="2464">
        <f>441506+300-2-441804</f>
        <v>0</v>
      </c>
      <c r="H104" s="2464">
        <f>406479-406479</f>
        <v>0</v>
      </c>
      <c r="I104" s="2464">
        <f>406478-406478</f>
        <v>0</v>
      </c>
      <c r="J104" s="2464">
        <f>406478-406478</f>
        <v>0</v>
      </c>
      <c r="K104" s="2464">
        <f>406479-406479</f>
        <v>0</v>
      </c>
      <c r="L104" s="2464">
        <f>406479-406479</f>
        <v>0</v>
      </c>
      <c r="M104" s="2465">
        <v>0</v>
      </c>
      <c r="N104" s="2593">
        <v>0</v>
      </c>
      <c r="O104" s="3836"/>
      <c r="P104" s="3041"/>
      <c r="Q104" s="3042"/>
    </row>
    <row r="105" spans="1:20" s="311" customFormat="1" ht="12.75" customHeight="1">
      <c r="A105" s="3819"/>
      <c r="B105" s="2635" t="s">
        <v>18</v>
      </c>
      <c r="C105" s="3640"/>
      <c r="D105" s="2591">
        <f>+D106</f>
        <v>182654787</v>
      </c>
      <c r="E105" s="450">
        <f>+E106</f>
        <v>19806419</v>
      </c>
      <c r="F105" s="450">
        <f>+F106</f>
        <v>20739396</v>
      </c>
      <c r="G105" s="450">
        <f t="shared" ref="G105:N105" si="73">+G106</f>
        <v>24008797</v>
      </c>
      <c r="H105" s="450">
        <f t="shared" si="73"/>
        <v>26199354</v>
      </c>
      <c r="I105" s="450">
        <f t="shared" si="73"/>
        <v>24962305</v>
      </c>
      <c r="J105" s="450">
        <f t="shared" si="73"/>
        <v>22169678</v>
      </c>
      <c r="K105" s="450">
        <f t="shared" si="73"/>
        <v>22510359</v>
      </c>
      <c r="L105" s="2591">
        <f t="shared" si="73"/>
        <v>22258479</v>
      </c>
      <c r="M105" s="2531">
        <f t="shared" si="73"/>
        <v>162848368</v>
      </c>
      <c r="N105" s="2592">
        <f t="shared" si="73"/>
        <v>142108972</v>
      </c>
      <c r="O105" s="3836"/>
      <c r="P105" s="1120">
        <f>+P106</f>
        <v>21473092</v>
      </c>
      <c r="Q105" s="1119"/>
    </row>
    <row r="106" spans="1:20" s="2454" customFormat="1" ht="13.5" thickBot="1">
      <c r="A106" s="3774"/>
      <c r="B106" s="1873" t="s">
        <v>20</v>
      </c>
      <c r="C106" s="3753"/>
      <c r="D106" s="2518">
        <f>E106+F106+G106+H106+I106+J106+K106+L106</f>
        <v>182654787</v>
      </c>
      <c r="E106" s="1870">
        <f>+E108+E109+E110+E111+E112+E113+E114</f>
        <v>19806419</v>
      </c>
      <c r="F106" s="1870">
        <f t="shared" ref="F106:L106" si="74">+F108+F109+F110+F111+F112+F113+F114</f>
        <v>20739396</v>
      </c>
      <c r="G106" s="1870">
        <f t="shared" si="74"/>
        <v>24008797</v>
      </c>
      <c r="H106" s="1870">
        <f t="shared" si="74"/>
        <v>26199354</v>
      </c>
      <c r="I106" s="1870">
        <f t="shared" si="74"/>
        <v>24962305</v>
      </c>
      <c r="J106" s="1870">
        <f t="shared" si="74"/>
        <v>22169678</v>
      </c>
      <c r="K106" s="1870">
        <f t="shared" si="74"/>
        <v>22510359</v>
      </c>
      <c r="L106" s="1870">
        <f t="shared" si="74"/>
        <v>22258479</v>
      </c>
      <c r="M106" s="1526">
        <f>SUM(F106:L106)</f>
        <v>162848368</v>
      </c>
      <c r="N106" s="1526">
        <f>SUM(G106:L106)</f>
        <v>142108972</v>
      </c>
      <c r="O106" s="3835"/>
      <c r="P106" s="3041">
        <v>21473092</v>
      </c>
      <c r="Q106" s="3042">
        <f>G115-'[1]Tab. 6E - Administracja'!$G$115</f>
        <v>-4024670</v>
      </c>
      <c r="T106" s="328"/>
    </row>
    <row r="107" spans="1:20" s="2454" customFormat="1" ht="15.75" hidden="1" customHeight="1" thickBot="1">
      <c r="A107" s="3732"/>
      <c r="B107" s="1138" t="s">
        <v>141</v>
      </c>
      <c r="C107" s="2295"/>
      <c r="D107" s="2296"/>
      <c r="E107" s="2297"/>
      <c r="F107" s="2297"/>
      <c r="G107" s="2297"/>
      <c r="H107" s="2297"/>
      <c r="I107" s="2297"/>
      <c r="J107" s="2297"/>
      <c r="K107" s="2297"/>
      <c r="L107" s="2297"/>
      <c r="M107" s="1268"/>
      <c r="N107" s="1268"/>
      <c r="O107" s="3831"/>
      <c r="P107" s="3041"/>
      <c r="Q107" s="1118"/>
      <c r="T107" s="175"/>
    </row>
    <row r="108" spans="1:20" s="2454" customFormat="1" ht="12.75" hidden="1" customHeight="1" thickBot="1">
      <c r="A108" s="3732"/>
      <c r="B108" s="371" t="s">
        <v>142</v>
      </c>
      <c r="C108" s="332"/>
      <c r="D108" s="773">
        <f t="shared" ref="D108:D114" si="75">E108+F108+G108+H108+I108+J108+K108+L108</f>
        <v>47370429</v>
      </c>
      <c r="E108" s="1092">
        <f>6418+10696707-5063</f>
        <v>10698062</v>
      </c>
      <c r="F108" s="1083">
        <f>2407721+10000000-9866168-241553+53444+1058102+58380+2400014-50000+1938307+1976201-349079+32463+337289+146679+936304+2150284-222394</f>
        <v>12765994</v>
      </c>
      <c r="G108" s="1083">
        <f>11149912-250000+2639699-890000+135797+69956+438395+592761</f>
        <v>13886520</v>
      </c>
      <c r="H108" s="1083">
        <f>1820395+620000-140395+15000+227456</f>
        <v>2542456</v>
      </c>
      <c r="I108" s="1083">
        <f>1820395+865067-985462+326000+516456</f>
        <v>2542456</v>
      </c>
      <c r="J108" s="1083">
        <f>1820395-120395</f>
        <v>1700000</v>
      </c>
      <c r="K108" s="1083">
        <f>1820395-120395</f>
        <v>1700000</v>
      </c>
      <c r="L108" s="1083">
        <f>1820391-285524+74</f>
        <v>1534941</v>
      </c>
      <c r="M108" s="1093">
        <f t="shared" ref="M108:N114" si="76">+F108+G108+H108+I108+J108+K108</f>
        <v>35137426</v>
      </c>
      <c r="N108" s="1093">
        <f t="shared" si="76"/>
        <v>23906373</v>
      </c>
      <c r="O108" s="3831"/>
      <c r="P108" s="3041"/>
      <c r="Q108" s="1120"/>
      <c r="T108" s="175"/>
    </row>
    <row r="109" spans="1:20" s="2454" customFormat="1" ht="12.75" hidden="1" customHeight="1" thickBot="1">
      <c r="A109" s="3732"/>
      <c r="B109" s="1166" t="s">
        <v>143</v>
      </c>
      <c r="C109" s="1269"/>
      <c r="D109" s="773">
        <f t="shared" si="75"/>
        <v>17756179</v>
      </c>
      <c r="E109" s="1261">
        <f>5406+2022679</f>
        <v>2028085</v>
      </c>
      <c r="F109" s="1261">
        <f>2618000+177406-295406+300000-133900-241869-103680</f>
        <v>2320551</v>
      </c>
      <c r="G109" s="1261">
        <f>2618000-118000+599987+19922-763500</f>
        <v>2356409</v>
      </c>
      <c r="H109" s="1261">
        <f>1813339+841315-154654+596852</f>
        <v>3096852</v>
      </c>
      <c r="I109" s="1261">
        <f>1813339-113339+446000+17000+805414</f>
        <v>2968414</v>
      </c>
      <c r="J109" s="1261">
        <f>1813339-113339+17000</f>
        <v>1717000</v>
      </c>
      <c r="K109" s="1261">
        <f>1813339-113339+17000</f>
        <v>1717000</v>
      </c>
      <c r="L109" s="1261">
        <f>1813335-278467+17000</f>
        <v>1551868</v>
      </c>
      <c r="M109" s="1093">
        <f t="shared" si="76"/>
        <v>14176226</v>
      </c>
      <c r="N109" s="1093">
        <f t="shared" si="76"/>
        <v>13407543</v>
      </c>
      <c r="O109" s="3831"/>
      <c r="P109" s="3041"/>
      <c r="Q109" s="3041"/>
      <c r="T109" s="175"/>
    </row>
    <row r="110" spans="1:20" s="329" customFormat="1" ht="12.75" hidden="1" customHeight="1" thickBot="1">
      <c r="A110" s="3732"/>
      <c r="B110" s="1169" t="s">
        <v>144</v>
      </c>
      <c r="C110" s="1270"/>
      <c r="D110" s="773">
        <f t="shared" si="75"/>
        <v>93599187</v>
      </c>
      <c r="E110" s="1271">
        <f>71254+3533980-75275</f>
        <v>3529959</v>
      </c>
      <c r="F110" s="1094">
        <f>4922901+7377557+542459+106789+2990770-53444-1058102-58380-2500014-1938307-1976201-32463-337289-146679-936304-2150284-2006238-416721</f>
        <v>2330050</v>
      </c>
      <c r="G110" s="1094">
        <f>10062170-687329-417765-2639699-135797-69956-438395-592761</f>
        <v>5080468</v>
      </c>
      <c r="H110" s="1094">
        <f>5121786+7675610+564375+1968441+2006240</f>
        <v>17336452</v>
      </c>
      <c r="I110" s="1094">
        <f>5224221+7829122+575662+2027494+491996+174564</f>
        <v>16323059</v>
      </c>
      <c r="J110" s="1094">
        <f>13901587+2088319</f>
        <v>15989906</v>
      </c>
      <c r="K110" s="1094">
        <f>14179618+2150968</f>
        <v>16330586</v>
      </c>
      <c r="L110" s="1094">
        <f>14463209+2215498</f>
        <v>16678707</v>
      </c>
      <c r="M110" s="1093">
        <f t="shared" si="76"/>
        <v>73390521</v>
      </c>
      <c r="N110" s="1093">
        <f t="shared" si="76"/>
        <v>87739178</v>
      </c>
      <c r="O110" s="3831"/>
      <c r="P110" s="3041"/>
      <c r="Q110" s="3041"/>
      <c r="T110" s="330"/>
    </row>
    <row r="111" spans="1:20" s="329" customFormat="1" ht="12.75" hidden="1" customHeight="1" thickBot="1">
      <c r="A111" s="3732"/>
      <c r="B111" s="1357" t="s">
        <v>145</v>
      </c>
      <c r="C111" s="1272"/>
      <c r="D111" s="773">
        <f t="shared" si="75"/>
        <v>14452447</v>
      </c>
      <c r="E111" s="1263">
        <v>1532968</v>
      </c>
      <c r="F111" s="1263">
        <f>2190000-99000-10000-304021-331490</f>
        <v>1445489</v>
      </c>
      <c r="G111" s="1263">
        <f>2190000-190000-256200</f>
        <v>1743800</v>
      </c>
      <c r="H111" s="1263">
        <f>2048339-48339</f>
        <v>2000000</v>
      </c>
      <c r="I111" s="1263">
        <f>2048339-48339</f>
        <v>2000000</v>
      </c>
      <c r="J111" s="1263">
        <f>2048339-48339</f>
        <v>2000000</v>
      </c>
      <c r="K111" s="1263">
        <f>2048339-48339</f>
        <v>2000000</v>
      </c>
      <c r="L111" s="1263">
        <f>2048336-148336-169810</f>
        <v>1730190</v>
      </c>
      <c r="M111" s="1093">
        <f t="shared" si="76"/>
        <v>11189289</v>
      </c>
      <c r="N111" s="1093">
        <f t="shared" si="76"/>
        <v>11473990</v>
      </c>
      <c r="O111" s="3831"/>
      <c r="P111" s="3041"/>
      <c r="Q111" s="3041"/>
      <c r="T111" s="330"/>
    </row>
    <row r="112" spans="1:20" s="329" customFormat="1" ht="12.75" hidden="1" customHeight="1" thickBot="1">
      <c r="A112" s="3732"/>
      <c r="B112" s="1357" t="s">
        <v>409</v>
      </c>
      <c r="C112" s="1273"/>
      <c r="D112" s="773">
        <f t="shared" si="75"/>
        <v>3329010</v>
      </c>
      <c r="E112" s="1263"/>
      <c r="F112" s="1095">
        <f>330000+100000-88900-180510</f>
        <v>160590</v>
      </c>
      <c r="G112" s="1095">
        <f>420000+309000-139400</f>
        <v>589600</v>
      </c>
      <c r="H112" s="1095">
        <f>420000+88900+180510</f>
        <v>689410</v>
      </c>
      <c r="I112" s="1095">
        <f>405000+284410</f>
        <v>689410</v>
      </c>
      <c r="J112" s="1095">
        <v>400000</v>
      </c>
      <c r="K112" s="1095">
        <v>400000</v>
      </c>
      <c r="L112" s="1095">
        <v>400000</v>
      </c>
      <c r="M112" s="1093">
        <f t="shared" si="76"/>
        <v>2929010</v>
      </c>
      <c r="N112" s="1093">
        <f t="shared" si="76"/>
        <v>3168420</v>
      </c>
      <c r="O112" s="3831"/>
      <c r="P112" s="3041"/>
      <c r="Q112" s="3041"/>
      <c r="T112" s="330"/>
    </row>
    <row r="113" spans="1:20" s="329" customFormat="1" ht="12.75" hidden="1" customHeight="1" thickBot="1">
      <c r="A113" s="3732"/>
      <c r="B113" s="1168" t="s">
        <v>257</v>
      </c>
      <c r="C113" s="1274"/>
      <c r="D113" s="773">
        <f t="shared" si="75"/>
        <v>3095172</v>
      </c>
      <c r="E113" s="1264">
        <v>293127</v>
      </c>
      <c r="F113" s="1880">
        <f>400248+86140-1+108427+36462-20083-193339-29277</f>
        <v>388577</v>
      </c>
      <c r="G113" s="1096">
        <f>397613+82194+46193-174000</f>
        <v>352000</v>
      </c>
      <c r="H113" s="1096">
        <f>362772+20083+117145+34184</f>
        <v>534184</v>
      </c>
      <c r="I113" s="1096">
        <f>362772+76194</f>
        <v>438966</v>
      </c>
      <c r="J113" s="1096">
        <v>362772</v>
      </c>
      <c r="K113" s="1096">
        <v>362773</v>
      </c>
      <c r="L113" s="1096">
        <v>362773</v>
      </c>
      <c r="M113" s="1093">
        <f t="shared" si="76"/>
        <v>2439272</v>
      </c>
      <c r="N113" s="1093">
        <f t="shared" si="76"/>
        <v>2413468</v>
      </c>
      <c r="O113" s="3831"/>
      <c r="P113" s="3041"/>
      <c r="Q113" s="3041"/>
      <c r="T113" s="330"/>
    </row>
    <row r="114" spans="1:20" s="329" customFormat="1" ht="12.75" hidden="1" customHeight="1">
      <c r="A114" s="3772"/>
      <c r="B114" s="1168" t="s">
        <v>258</v>
      </c>
      <c r="C114" s="1275"/>
      <c r="D114" s="773">
        <f t="shared" si="75"/>
        <v>3052363</v>
      </c>
      <c r="E114" s="1264">
        <v>1724218</v>
      </c>
      <c r="F114" s="1880">
        <f>2213719-2975+1109794-2137692+169810-24436-74-1</f>
        <v>1328145</v>
      </c>
      <c r="G114" s="1096">
        <f>2501869+1700-1-2503568</f>
        <v>0</v>
      </c>
      <c r="H114" s="1096">
        <f>2303378-2303378</f>
        <v>0</v>
      </c>
      <c r="I114" s="1096">
        <f>2303378-2303378</f>
        <v>0</v>
      </c>
      <c r="J114" s="1096">
        <f>2303378-2303378</f>
        <v>0</v>
      </c>
      <c r="K114" s="1096">
        <f>2303377-2303377</f>
        <v>0</v>
      </c>
      <c r="L114" s="1096">
        <f>2303377-2303377</f>
        <v>0</v>
      </c>
      <c r="M114" s="1093">
        <f t="shared" si="76"/>
        <v>1328145</v>
      </c>
      <c r="N114" s="1093">
        <f t="shared" si="76"/>
        <v>0</v>
      </c>
      <c r="O114" s="3834"/>
      <c r="P114" s="3041"/>
      <c r="Q114" s="3041"/>
      <c r="T114" s="330"/>
    </row>
    <row r="115" spans="1:20" s="2454" customFormat="1" ht="16.5" customHeight="1">
      <c r="A115" s="3394"/>
      <c r="B115" s="80" t="s">
        <v>21</v>
      </c>
      <c r="C115" s="173"/>
      <c r="D115" s="333">
        <f>+D116</f>
        <v>182654787</v>
      </c>
      <c r="E115" s="333">
        <f t="shared" ref="E115:L115" si="77">+E116</f>
        <v>14500997</v>
      </c>
      <c r="F115" s="333">
        <f t="shared" si="77"/>
        <v>22777460</v>
      </c>
      <c r="G115" s="333">
        <f t="shared" si="77"/>
        <v>22437305</v>
      </c>
      <c r="H115" s="1276">
        <f t="shared" si="77"/>
        <v>27116318</v>
      </c>
      <c r="I115" s="1276">
        <f t="shared" si="77"/>
        <v>14250881</v>
      </c>
      <c r="J115" s="1276">
        <f t="shared" si="77"/>
        <v>22642316</v>
      </c>
      <c r="K115" s="1276">
        <f t="shared" si="77"/>
        <v>23254317</v>
      </c>
      <c r="L115" s="1276">
        <f t="shared" si="77"/>
        <v>22258479</v>
      </c>
      <c r="M115" s="3664" t="s">
        <v>53</v>
      </c>
      <c r="N115" s="3664" t="s">
        <v>53</v>
      </c>
      <c r="O115" s="3836"/>
      <c r="P115" s="3828" t="s">
        <v>773</v>
      </c>
      <c r="Q115" s="3828"/>
      <c r="R115" s="3828"/>
      <c r="S115" s="3828"/>
    </row>
    <row r="116" spans="1:20" s="2454" customFormat="1">
      <c r="A116" s="3394"/>
      <c r="B116" s="1277" t="s">
        <v>18</v>
      </c>
      <c r="C116" s="3820" t="s">
        <v>237</v>
      </c>
      <c r="D116" s="1242">
        <f t="shared" ref="D116:L116" si="78">+D117</f>
        <v>182654787</v>
      </c>
      <c r="E116" s="1242">
        <f t="shared" si="78"/>
        <v>14500997</v>
      </c>
      <c r="F116" s="1266">
        <f t="shared" si="78"/>
        <v>22777460</v>
      </c>
      <c r="G116" s="1266">
        <f t="shared" si="78"/>
        <v>22437305</v>
      </c>
      <c r="H116" s="1266">
        <f t="shared" si="78"/>
        <v>27116318</v>
      </c>
      <c r="I116" s="1266">
        <f t="shared" si="78"/>
        <v>14250881</v>
      </c>
      <c r="J116" s="1266">
        <f t="shared" si="78"/>
        <v>22642316</v>
      </c>
      <c r="K116" s="1266">
        <f t="shared" si="78"/>
        <v>23254317</v>
      </c>
      <c r="L116" s="1266">
        <f t="shared" si="78"/>
        <v>22258479</v>
      </c>
      <c r="M116" s="3654"/>
      <c r="N116" s="3654"/>
      <c r="O116" s="3836"/>
      <c r="P116" s="3828"/>
      <c r="Q116" s="3828"/>
      <c r="R116" s="3828"/>
      <c r="S116" s="3828"/>
    </row>
    <row r="117" spans="1:20" s="2454" customFormat="1" ht="13.5" thickBot="1">
      <c r="A117" s="3395"/>
      <c r="B117" s="323" t="s">
        <v>493</v>
      </c>
      <c r="C117" s="3755"/>
      <c r="D117" s="1955">
        <f>E117+F117+G117+H117+I117+J117+K117+L117+2029435+2998719+2055406+3812897+2520257</f>
        <v>182654787</v>
      </c>
      <c r="E117" s="2777">
        <f>14581335-5063-75275</f>
        <v>14500997</v>
      </c>
      <c r="F117" s="1532">
        <f>51433208-8318334-17866393+1853416+1574979-50000-10000-74-4067958-1667704-103680</f>
        <v>22777460</v>
      </c>
      <c r="G117" s="1532">
        <f>30885930-8318334+1316270-584995-2464989+5628093+19922-250000-3794592</f>
        <v>22437305</v>
      </c>
      <c r="H117" s="1532">
        <f>29939078-8229084+354097+1107218+5454925-5693167+221045-354239+3399481+916964</f>
        <v>27116318</v>
      </c>
      <c r="I117" s="1532">
        <f>30223312-8246084-386089+82192+1168964-1018024+848194+17000-7137103-1301481</f>
        <v>14250881</v>
      </c>
      <c r="J117" s="1532">
        <f>30407494-8157684-97132+17000+472638</f>
        <v>22642316</v>
      </c>
      <c r="K117" s="1532">
        <f>30073524-7545683-34482+17000+743958</f>
        <v>23254317</v>
      </c>
      <c r="L117" s="1532">
        <f>30175721-7364300-400206-169810+74+17000</f>
        <v>22258479</v>
      </c>
      <c r="M117" s="3655"/>
      <c r="N117" s="3655"/>
      <c r="O117" s="3835"/>
      <c r="P117" s="3828"/>
      <c r="Q117" s="3828"/>
      <c r="R117" s="3828"/>
      <c r="S117" s="3828"/>
    </row>
    <row r="118" spans="1:20" s="2454" customFormat="1" ht="23.25" customHeight="1">
      <c r="A118" s="3772" t="s">
        <v>80</v>
      </c>
      <c r="B118" s="164" t="s">
        <v>252</v>
      </c>
      <c r="C118" s="165" t="s">
        <v>74</v>
      </c>
      <c r="D118" s="351"/>
      <c r="E118" s="350"/>
      <c r="F118" s="350"/>
      <c r="G118" s="350"/>
      <c r="H118" s="350"/>
      <c r="I118" s="350"/>
      <c r="J118" s="350"/>
      <c r="K118" s="350"/>
      <c r="L118" s="1201"/>
      <c r="M118" s="351">
        <f t="shared" ref="M118" si="79">M119-M121</f>
        <v>2383565</v>
      </c>
      <c r="N118" s="351"/>
      <c r="O118" s="3822" t="s">
        <v>432</v>
      </c>
      <c r="P118" s="3829"/>
      <c r="Q118" s="3828"/>
      <c r="R118" s="3828"/>
      <c r="S118" s="3828"/>
    </row>
    <row r="119" spans="1:20" s="2454" customFormat="1" ht="14.25" customHeight="1">
      <c r="A119" s="3773"/>
      <c r="B119" s="531" t="s">
        <v>10</v>
      </c>
      <c r="C119" s="1252"/>
      <c r="D119" s="1253">
        <f t="shared" ref="D119:I119" si="80">+D124+D120</f>
        <v>2776726</v>
      </c>
      <c r="E119" s="1253">
        <f t="shared" ref="E119" si="81">+E124+E120</f>
        <v>392617</v>
      </c>
      <c r="F119" s="1253">
        <f t="shared" si="80"/>
        <v>422482</v>
      </c>
      <c r="G119" s="1253">
        <f t="shared" si="80"/>
        <v>600000</v>
      </c>
      <c r="H119" s="1253">
        <f t="shared" si="80"/>
        <v>617127</v>
      </c>
      <c r="I119" s="1253">
        <f t="shared" si="80"/>
        <v>200000</v>
      </c>
      <c r="J119" s="1253">
        <f>+J124+J120</f>
        <v>200000</v>
      </c>
      <c r="K119" s="1253">
        <f>+K124+K120</f>
        <v>200000</v>
      </c>
      <c r="L119" s="1253">
        <f>+L124+L120</f>
        <v>144500</v>
      </c>
      <c r="M119" s="1254">
        <f>+M124</f>
        <v>2383565</v>
      </c>
      <c r="N119" s="1254">
        <f>+N124</f>
        <v>1961627</v>
      </c>
      <c r="O119" s="3823"/>
      <c r="P119" s="3829"/>
      <c r="Q119" s="3828"/>
      <c r="R119" s="3828"/>
      <c r="S119" s="3828"/>
    </row>
    <row r="120" spans="1:20" s="2454" customFormat="1" ht="13.5" customHeight="1">
      <c r="A120" s="3773"/>
      <c r="B120" s="508" t="s">
        <v>23</v>
      </c>
      <c r="C120" s="3820" t="s">
        <v>424</v>
      </c>
      <c r="D120" s="1255">
        <f>+D121</f>
        <v>35657</v>
      </c>
      <c r="E120" s="1255">
        <f t="shared" ref="E120:L120" si="82">+E121</f>
        <v>35113</v>
      </c>
      <c r="F120" s="1255">
        <f t="shared" si="82"/>
        <v>544</v>
      </c>
      <c r="G120" s="1255">
        <f t="shared" si="82"/>
        <v>0</v>
      </c>
      <c r="H120" s="1255">
        <f t="shared" si="82"/>
        <v>0</v>
      </c>
      <c r="I120" s="1255">
        <f t="shared" si="82"/>
        <v>0</v>
      </c>
      <c r="J120" s="1255">
        <f t="shared" si="82"/>
        <v>0</v>
      </c>
      <c r="K120" s="1255">
        <f t="shared" si="82"/>
        <v>0</v>
      </c>
      <c r="L120" s="1255">
        <f t="shared" si="82"/>
        <v>0</v>
      </c>
      <c r="M120" s="1352">
        <f>+M121</f>
        <v>0</v>
      </c>
      <c r="N120" s="1352">
        <f>+N121</f>
        <v>0</v>
      </c>
      <c r="O120" s="3823"/>
      <c r="P120" s="3829"/>
      <c r="Q120" s="3828"/>
      <c r="R120" s="3828"/>
      <c r="S120" s="3828"/>
    </row>
    <row r="121" spans="1:20" s="2454" customFormat="1" ht="13.5" customHeight="1">
      <c r="A121" s="3773"/>
      <c r="B121" s="2039" t="s">
        <v>31</v>
      </c>
      <c r="C121" s="3752"/>
      <c r="D121" s="1257">
        <f>E121+F121+G121+H121+I121+J121+K121+L121</f>
        <v>35657</v>
      </c>
      <c r="E121" s="1257">
        <f t="shared" ref="E121:L121" si="83">SUM(E122:E123)</f>
        <v>35113</v>
      </c>
      <c r="F121" s="1257">
        <f t="shared" si="83"/>
        <v>544</v>
      </c>
      <c r="G121" s="1257">
        <f t="shared" si="83"/>
        <v>0</v>
      </c>
      <c r="H121" s="1257">
        <f t="shared" si="83"/>
        <v>0</v>
      </c>
      <c r="I121" s="1257">
        <f t="shared" si="83"/>
        <v>0</v>
      </c>
      <c r="J121" s="1257">
        <f t="shared" si="83"/>
        <v>0</v>
      </c>
      <c r="K121" s="1257">
        <f t="shared" si="83"/>
        <v>0</v>
      </c>
      <c r="L121" s="1257">
        <f t="shared" si="83"/>
        <v>0</v>
      </c>
      <c r="M121" s="1353">
        <v>0</v>
      </c>
      <c r="N121" s="1353">
        <v>0</v>
      </c>
      <c r="O121" s="3823"/>
      <c r="P121" s="3829"/>
      <c r="Q121" s="3828"/>
      <c r="R121" s="3828"/>
      <c r="S121" s="3828"/>
    </row>
    <row r="122" spans="1:20" s="2454" customFormat="1" ht="13.5" hidden="1" customHeight="1">
      <c r="A122" s="3773"/>
      <c r="B122" s="2040" t="s">
        <v>238</v>
      </c>
      <c r="C122" s="3752"/>
      <c r="D122" s="1264">
        <f>E122+F122+G122+H122+I122+J122+K122+L122</f>
        <v>7180</v>
      </c>
      <c r="E122" s="1264">
        <v>6636</v>
      </c>
      <c r="F122" s="1090">
        <f>1410-865-1</f>
        <v>544</v>
      </c>
      <c r="G122" s="1091">
        <f>865-865</f>
        <v>0</v>
      </c>
      <c r="H122" s="1091">
        <f>865-865</f>
        <v>0</v>
      </c>
      <c r="I122" s="1091"/>
      <c r="J122" s="1091"/>
      <c r="K122" s="1091"/>
      <c r="L122" s="1091"/>
      <c r="M122" s="1265">
        <v>0</v>
      </c>
      <c r="N122" s="1265">
        <v>0</v>
      </c>
      <c r="O122" s="3823"/>
      <c r="P122" s="3829"/>
      <c r="Q122" s="3828"/>
      <c r="R122" s="3828"/>
      <c r="S122" s="3828"/>
    </row>
    <row r="123" spans="1:20" s="2454" customFormat="1" ht="13.5" hidden="1" customHeight="1">
      <c r="A123" s="3773"/>
      <c r="B123" s="2040" t="s">
        <v>239</v>
      </c>
      <c r="C123" s="3752"/>
      <c r="D123" s="1264">
        <f>E123+F123+G123+H123+I123+J123+K123+L123</f>
        <v>28477</v>
      </c>
      <c r="E123" s="1264">
        <v>28477</v>
      </c>
      <c r="F123" s="1090">
        <f>975+525+5215-6715</f>
        <v>0</v>
      </c>
      <c r="G123" s="1091">
        <f>1800-300-1500</f>
        <v>0</v>
      </c>
      <c r="H123" s="1091">
        <f>975-975</f>
        <v>0</v>
      </c>
      <c r="I123" s="1091">
        <f>975-975</f>
        <v>0</v>
      </c>
      <c r="J123" s="1091">
        <f>975-975</f>
        <v>0</v>
      </c>
      <c r="K123" s="1091">
        <f>975-975</f>
        <v>0</v>
      </c>
      <c r="L123" s="1091">
        <f>975-975</f>
        <v>0</v>
      </c>
      <c r="M123" s="1265">
        <v>0</v>
      </c>
      <c r="N123" s="1265">
        <v>0</v>
      </c>
      <c r="O123" s="3823"/>
      <c r="P123" s="3829"/>
      <c r="Q123" s="3828"/>
      <c r="R123" s="3828"/>
      <c r="S123" s="3828"/>
    </row>
    <row r="124" spans="1:20" s="2454" customFormat="1" ht="13.5" customHeight="1" thickBot="1">
      <c r="A124" s="3774"/>
      <c r="B124" s="2041" t="s">
        <v>18</v>
      </c>
      <c r="C124" s="3755"/>
      <c r="D124" s="1922">
        <f>+D125</f>
        <v>2741069</v>
      </c>
      <c r="E124" s="2042">
        <f>+E125</f>
        <v>357504</v>
      </c>
      <c r="F124" s="2042">
        <f>+F125</f>
        <v>421938</v>
      </c>
      <c r="G124" s="1922">
        <f t="shared" ref="G124:N124" si="84">+G125</f>
        <v>600000</v>
      </c>
      <c r="H124" s="1922">
        <f t="shared" si="84"/>
        <v>617127</v>
      </c>
      <c r="I124" s="1922">
        <f t="shared" si="84"/>
        <v>200000</v>
      </c>
      <c r="J124" s="1922">
        <f t="shared" si="84"/>
        <v>200000</v>
      </c>
      <c r="K124" s="1922">
        <f t="shared" si="84"/>
        <v>200000</v>
      </c>
      <c r="L124" s="1922">
        <f t="shared" si="84"/>
        <v>144500</v>
      </c>
      <c r="M124" s="2043">
        <f t="shared" si="84"/>
        <v>2383565</v>
      </c>
      <c r="N124" s="2043">
        <f t="shared" si="84"/>
        <v>1961627</v>
      </c>
      <c r="O124" s="3824"/>
      <c r="P124" s="3829"/>
      <c r="Q124" s="3828"/>
      <c r="R124" s="3828"/>
      <c r="S124" s="3828"/>
    </row>
    <row r="125" spans="1:20" s="2454" customFormat="1">
      <c r="A125" s="3773"/>
      <c r="B125" s="1873" t="s">
        <v>20</v>
      </c>
      <c r="C125" s="3753"/>
      <c r="D125" s="1870">
        <f>E125+F125+G125+H125+I125+J125+K125+L125</f>
        <v>2741069</v>
      </c>
      <c r="E125" s="1870">
        <f>+E127+E128+E129+E130+E131+E132+E133</f>
        <v>357504</v>
      </c>
      <c r="F125" s="1870">
        <f t="shared" ref="F125:L125" si="85">+F127+F128+F129+F130+F131+F132+F133</f>
        <v>421938</v>
      </c>
      <c r="G125" s="1870">
        <f t="shared" si="85"/>
        <v>600000</v>
      </c>
      <c r="H125" s="1870">
        <f t="shared" si="85"/>
        <v>617127</v>
      </c>
      <c r="I125" s="1870">
        <f t="shared" si="85"/>
        <v>200000</v>
      </c>
      <c r="J125" s="1870">
        <f t="shared" si="85"/>
        <v>200000</v>
      </c>
      <c r="K125" s="1870">
        <f t="shared" si="85"/>
        <v>200000</v>
      </c>
      <c r="L125" s="1870">
        <f t="shared" si="85"/>
        <v>144500</v>
      </c>
      <c r="M125" s="1526">
        <f>SUM(F125:L125)</f>
        <v>2383565</v>
      </c>
      <c r="N125" s="1526">
        <f>SUM(G125:L125)</f>
        <v>1961627</v>
      </c>
      <c r="O125" s="3823"/>
      <c r="P125" s="3829"/>
      <c r="Q125" s="3828"/>
      <c r="R125" s="3828"/>
      <c r="S125" s="3828"/>
    </row>
    <row r="126" spans="1:20" s="2454" customFormat="1" ht="12.75" hidden="1" customHeight="1">
      <c r="A126" s="3773"/>
      <c r="B126" s="1138" t="s">
        <v>141</v>
      </c>
      <c r="C126" s="1354"/>
      <c r="D126" s="1240"/>
      <c r="E126" s="1240"/>
      <c r="F126" s="1244"/>
      <c r="G126" s="1244"/>
      <c r="H126" s="1244"/>
      <c r="I126" s="1244"/>
      <c r="J126" s="1244"/>
      <c r="K126" s="1244"/>
      <c r="L126" s="1244"/>
      <c r="M126" s="1268"/>
      <c r="N126" s="1268"/>
      <c r="O126" s="3823"/>
      <c r="P126" s="3829"/>
      <c r="Q126" s="3828"/>
      <c r="R126" s="3828"/>
      <c r="S126" s="3828"/>
    </row>
    <row r="127" spans="1:20" s="2454" customFormat="1" ht="12.75" hidden="1" customHeight="1">
      <c r="A127" s="3773"/>
      <c r="B127" s="371" t="s">
        <v>142</v>
      </c>
      <c r="C127" s="332"/>
      <c r="D127" s="1092">
        <f t="shared" ref="D127:D133" si="86">E127+F127+G127+H127+I127+J127+K127+L127</f>
        <v>2107424</v>
      </c>
      <c r="E127" s="1092">
        <v>144449</v>
      </c>
      <c r="F127" s="1083">
        <f>144500+224475+25000+50000-50000-42627</f>
        <v>351348</v>
      </c>
      <c r="G127" s="1083">
        <f>144500+51+205449+250000</f>
        <v>600000</v>
      </c>
      <c r="H127" s="1083">
        <f>144500+50000+42627+30000</f>
        <v>267127</v>
      </c>
      <c r="I127" s="1083">
        <f>144500+55500</f>
        <v>200000</v>
      </c>
      <c r="J127" s="1083">
        <f>144500+55500</f>
        <v>200000</v>
      </c>
      <c r="K127" s="1083">
        <f>144500+55500</f>
        <v>200000</v>
      </c>
      <c r="L127" s="1083">
        <v>144500</v>
      </c>
      <c r="M127" s="1241">
        <f>SUM(F127:L127)</f>
        <v>1962975</v>
      </c>
      <c r="N127" s="1241">
        <f t="shared" ref="M127:N133" si="87">SUM(G127:L127)</f>
        <v>1611627</v>
      </c>
      <c r="O127" s="3823"/>
      <c r="P127" s="3829"/>
      <c r="Q127" s="3828"/>
      <c r="R127" s="3828"/>
      <c r="S127" s="3828"/>
    </row>
    <row r="128" spans="1:20" s="2454" customFormat="1" ht="12.75" hidden="1" customHeight="1">
      <c r="A128" s="3773"/>
      <c r="B128" s="1166" t="s">
        <v>143</v>
      </c>
      <c r="C128" s="1355"/>
      <c r="D128" s="1261">
        <f t="shared" si="86"/>
        <v>409673</v>
      </c>
      <c r="E128" s="1261">
        <v>14078</v>
      </c>
      <c r="F128" s="1261">
        <f>17000+32000-3405</f>
        <v>45595</v>
      </c>
      <c r="G128" s="1261">
        <f>17000+2922-19922</f>
        <v>0</v>
      </c>
      <c r="H128" s="1261">
        <v>350000</v>
      </c>
      <c r="I128" s="1261">
        <f>17000-17000</f>
        <v>0</v>
      </c>
      <c r="J128" s="1261">
        <f>17000-17000</f>
        <v>0</v>
      </c>
      <c r="K128" s="1261">
        <f>17000-17000</f>
        <v>0</v>
      </c>
      <c r="L128" s="1261">
        <f>17000-17000</f>
        <v>0</v>
      </c>
      <c r="M128" s="1241">
        <f>SUM(F128:L128)</f>
        <v>395595</v>
      </c>
      <c r="N128" s="1241">
        <f t="shared" si="87"/>
        <v>350000</v>
      </c>
      <c r="O128" s="3823"/>
      <c r="P128" s="3829"/>
      <c r="Q128" s="3828"/>
      <c r="R128" s="3828"/>
      <c r="S128" s="3828"/>
    </row>
    <row r="129" spans="1:19" s="2454" customFormat="1" ht="12.75" hidden="1" customHeight="1">
      <c r="A129" s="3773"/>
      <c r="B129" s="1169" t="s">
        <v>144</v>
      </c>
      <c r="C129" s="1356"/>
      <c r="D129" s="1271">
        <f t="shared" si="86"/>
        <v>0</v>
      </c>
      <c r="E129" s="1271"/>
      <c r="F129" s="1094"/>
      <c r="G129" s="1094"/>
      <c r="H129" s="1094"/>
      <c r="I129" s="1094"/>
      <c r="J129" s="1094"/>
      <c r="K129" s="1094"/>
      <c r="L129" s="1094"/>
      <c r="M129" s="1241">
        <f t="shared" si="87"/>
        <v>0</v>
      </c>
      <c r="N129" s="1241">
        <f t="shared" si="87"/>
        <v>0</v>
      </c>
      <c r="O129" s="3823"/>
      <c r="P129" s="3829"/>
      <c r="Q129" s="3828"/>
      <c r="R129" s="3828"/>
      <c r="S129" s="3828"/>
    </row>
    <row r="130" spans="1:19" s="2454" customFormat="1" ht="12.75" hidden="1" customHeight="1">
      <c r="A130" s="3773"/>
      <c r="B130" s="1357" t="s">
        <v>145</v>
      </c>
      <c r="C130" s="1358"/>
      <c r="D130" s="1263">
        <f t="shared" si="86"/>
        <v>21912</v>
      </c>
      <c r="E130" s="1263">
        <v>0</v>
      </c>
      <c r="F130" s="1263">
        <f>6000+9000+10000-3088</f>
        <v>21912</v>
      </c>
      <c r="G130" s="1263"/>
      <c r="H130" s="1263"/>
      <c r="I130" s="1263"/>
      <c r="J130" s="1263"/>
      <c r="K130" s="1263"/>
      <c r="L130" s="1263"/>
      <c r="M130" s="1241">
        <f>SUM(F130:L130)</f>
        <v>21912</v>
      </c>
      <c r="N130" s="1241">
        <f t="shared" si="87"/>
        <v>0</v>
      </c>
      <c r="O130" s="3823"/>
      <c r="P130" s="3829"/>
      <c r="Q130" s="3828"/>
      <c r="R130" s="3828"/>
      <c r="S130" s="3828"/>
    </row>
    <row r="131" spans="1:19" s="2454" customFormat="1" ht="12.75" hidden="1" customHeight="1">
      <c r="A131" s="3773"/>
      <c r="B131" s="1357" t="s">
        <v>410</v>
      </c>
      <c r="C131" s="1082"/>
      <c r="D131" s="1263">
        <f t="shared" si="86"/>
        <v>0</v>
      </c>
      <c r="E131" s="1263"/>
      <c r="F131" s="1263">
        <f>25000-25000</f>
        <v>0</v>
      </c>
      <c r="G131" s="1263"/>
      <c r="H131" s="1263"/>
      <c r="I131" s="1263"/>
      <c r="J131" s="1263"/>
      <c r="K131" s="1263"/>
      <c r="L131" s="1263"/>
      <c r="M131" s="1241">
        <f t="shared" si="87"/>
        <v>0</v>
      </c>
      <c r="N131" s="1241">
        <f t="shared" si="87"/>
        <v>0</v>
      </c>
      <c r="O131" s="3823"/>
      <c r="P131" s="3829"/>
      <c r="Q131" s="3828"/>
      <c r="R131" s="3828"/>
      <c r="S131" s="3828"/>
    </row>
    <row r="132" spans="1:19" s="2454" customFormat="1" ht="12.75" hidden="1" customHeight="1">
      <c r="A132" s="3773"/>
      <c r="B132" s="1168" t="s">
        <v>375</v>
      </c>
      <c r="C132" s="1359"/>
      <c r="D132" s="1264">
        <f t="shared" si="86"/>
        <v>40690</v>
      </c>
      <c r="E132" s="1264">
        <v>37607</v>
      </c>
      <c r="F132" s="1264">
        <f>7990-4907</f>
        <v>3083</v>
      </c>
      <c r="G132" s="1264">
        <f>4907-4907</f>
        <v>0</v>
      </c>
      <c r="H132" s="1264">
        <f>4907-4907</f>
        <v>0</v>
      </c>
      <c r="I132" s="1264"/>
      <c r="J132" s="1264"/>
      <c r="K132" s="1264"/>
      <c r="L132" s="1264"/>
      <c r="M132" s="1241">
        <f>SUM(F132:L132)</f>
        <v>3083</v>
      </c>
      <c r="N132" s="1241">
        <f t="shared" si="87"/>
        <v>0</v>
      </c>
      <c r="O132" s="3823"/>
      <c r="P132" s="3829"/>
      <c r="Q132" s="3828"/>
      <c r="R132" s="3828"/>
      <c r="S132" s="3828"/>
    </row>
    <row r="133" spans="1:19" s="2454" customFormat="1" ht="12.75" hidden="1" customHeight="1">
      <c r="A133" s="3773"/>
      <c r="B133" s="1168" t="s">
        <v>258</v>
      </c>
      <c r="C133" s="1360"/>
      <c r="D133" s="1264">
        <f t="shared" si="86"/>
        <v>161370</v>
      </c>
      <c r="E133" s="1264">
        <v>161370</v>
      </c>
      <c r="F133" s="1264">
        <f>5525+2975+29556-38056</f>
        <v>0</v>
      </c>
      <c r="G133" s="1264">
        <f>10200-1700-8500</f>
        <v>0</v>
      </c>
      <c r="H133" s="1264">
        <f>5525-5525</f>
        <v>0</v>
      </c>
      <c r="I133" s="1264">
        <f>5525-5525</f>
        <v>0</v>
      </c>
      <c r="J133" s="1264">
        <f>5525-5525</f>
        <v>0</v>
      </c>
      <c r="K133" s="1264">
        <f>5525-5525</f>
        <v>0</v>
      </c>
      <c r="L133" s="1264">
        <f>5525-5525</f>
        <v>0</v>
      </c>
      <c r="M133" s="1241">
        <f t="shared" si="87"/>
        <v>0</v>
      </c>
      <c r="N133" s="1241">
        <f t="shared" si="87"/>
        <v>0</v>
      </c>
      <c r="O133" s="3823"/>
      <c r="P133" s="3829"/>
      <c r="Q133" s="3828"/>
      <c r="R133" s="3828"/>
      <c r="S133" s="3828"/>
    </row>
    <row r="134" spans="1:19" s="2454" customFormat="1" ht="14.25" customHeight="1">
      <c r="A134" s="3773"/>
      <c r="B134" s="80" t="s">
        <v>21</v>
      </c>
      <c r="C134" s="173"/>
      <c r="D134" s="333">
        <f>+D135</f>
        <v>2741069</v>
      </c>
      <c r="E134" s="333">
        <f t="shared" ref="E134:L134" si="88">+E135</f>
        <v>236568</v>
      </c>
      <c r="F134" s="333">
        <f t="shared" si="88"/>
        <v>231803</v>
      </c>
      <c r="G134" s="333">
        <f t="shared" si="88"/>
        <v>420176</v>
      </c>
      <c r="H134" s="333">
        <f t="shared" si="88"/>
        <v>1058022</v>
      </c>
      <c r="I134" s="333">
        <f t="shared" si="88"/>
        <v>200000</v>
      </c>
      <c r="J134" s="333">
        <f t="shared" si="88"/>
        <v>200000</v>
      </c>
      <c r="K134" s="333">
        <f t="shared" si="88"/>
        <v>200000</v>
      </c>
      <c r="L134" s="333">
        <f t="shared" si="88"/>
        <v>144500</v>
      </c>
      <c r="M134" s="3653" t="s">
        <v>53</v>
      </c>
      <c r="N134" s="3653" t="s">
        <v>53</v>
      </c>
      <c r="O134" s="3823"/>
      <c r="P134" s="3829"/>
      <c r="Q134" s="3828"/>
      <c r="R134" s="3828"/>
      <c r="S134" s="3828"/>
    </row>
    <row r="135" spans="1:19" s="2454" customFormat="1" ht="15.75" customHeight="1">
      <c r="A135" s="3773"/>
      <c r="B135" s="1322" t="s">
        <v>18</v>
      </c>
      <c r="C135" s="3510" t="s">
        <v>237</v>
      </c>
      <c r="D135" s="1361">
        <f t="shared" ref="D135:L135" si="89">+D136</f>
        <v>2741069</v>
      </c>
      <c r="E135" s="1361">
        <f t="shared" si="89"/>
        <v>236568</v>
      </c>
      <c r="F135" s="1361">
        <f t="shared" si="89"/>
        <v>231803</v>
      </c>
      <c r="G135" s="1361">
        <f t="shared" si="89"/>
        <v>420176</v>
      </c>
      <c r="H135" s="1361">
        <f t="shared" si="89"/>
        <v>1058022</v>
      </c>
      <c r="I135" s="1361">
        <f t="shared" si="89"/>
        <v>200000</v>
      </c>
      <c r="J135" s="1361">
        <f t="shared" si="89"/>
        <v>200000</v>
      </c>
      <c r="K135" s="1361">
        <f t="shared" si="89"/>
        <v>200000</v>
      </c>
      <c r="L135" s="1361">
        <f t="shared" si="89"/>
        <v>144500</v>
      </c>
      <c r="M135" s="3654"/>
      <c r="N135" s="3654"/>
      <c r="O135" s="3823"/>
      <c r="P135" s="3829"/>
      <c r="Q135" s="3828"/>
      <c r="R135" s="3828"/>
      <c r="S135" s="3828"/>
    </row>
    <row r="136" spans="1:19" s="2454" customFormat="1" ht="13.5" customHeight="1" thickBot="1">
      <c r="A136" s="3774"/>
      <c r="B136" s="323" t="s">
        <v>549</v>
      </c>
      <c r="C136" s="3755"/>
      <c r="D136" s="767">
        <f>E136+F136+G136+H136+I136+J136+K136+L136+11590+299481-61071-200000</f>
        <v>2741069</v>
      </c>
      <c r="E136" s="1251">
        <v>236568</v>
      </c>
      <c r="F136" s="1097">
        <f>192515-22515+300021+111973+50000+10000-61590-348601</f>
        <v>231803</v>
      </c>
      <c r="G136" s="1097">
        <f>171700-1700-620+200542-19922+311071-240895</f>
        <v>420176</v>
      </c>
      <c r="H136" s="1097">
        <f>167025-5525+4907+50000+20720+820895</f>
        <v>1058022</v>
      </c>
      <c r="I136" s="1097">
        <f>167025-5525-17000+55500</f>
        <v>200000</v>
      </c>
      <c r="J136" s="1097">
        <f>167025-5525-17000+55500</f>
        <v>200000</v>
      </c>
      <c r="K136" s="1097">
        <f>167025-5525-17000+55500</f>
        <v>200000</v>
      </c>
      <c r="L136" s="1097">
        <f>167025-5525-17000</f>
        <v>144500</v>
      </c>
      <c r="M136" s="3655"/>
      <c r="N136" s="3655"/>
      <c r="O136" s="3824"/>
      <c r="P136" s="3829"/>
      <c r="Q136" s="3828"/>
      <c r="R136" s="3828"/>
      <c r="S136" s="3828"/>
    </row>
    <row r="137" spans="1:19" s="2454" customFormat="1" ht="24.75" customHeight="1">
      <c r="A137" s="3772" t="s">
        <v>81</v>
      </c>
      <c r="B137" s="1185" t="s">
        <v>297</v>
      </c>
      <c r="C137" s="2654" t="s">
        <v>74</v>
      </c>
      <c r="D137" s="181"/>
      <c r="E137" s="352"/>
      <c r="F137" s="180"/>
      <c r="G137" s="180"/>
      <c r="H137" s="180"/>
      <c r="I137" s="180"/>
      <c r="J137" s="180"/>
      <c r="K137" s="180"/>
      <c r="L137" s="245"/>
      <c r="M137" s="2915"/>
      <c r="N137" s="2915"/>
      <c r="O137" s="3822" t="s">
        <v>313</v>
      </c>
      <c r="P137" s="2455">
        <f>G134-'[1]Tab. 6E - Administracja'!$G$134</f>
        <v>50254</v>
      </c>
    </row>
    <row r="138" spans="1:19" s="2454" customFormat="1" ht="13.5" customHeight="1">
      <c r="A138" s="3773"/>
      <c r="B138" s="410" t="s">
        <v>10</v>
      </c>
      <c r="C138" s="3043"/>
      <c r="D138" s="3044">
        <f>+D139+D142</f>
        <v>98152110</v>
      </c>
      <c r="E138" s="3045">
        <f>+E139+E142</f>
        <v>360377</v>
      </c>
      <c r="F138" s="3045">
        <f t="shared" ref="F138:L138" si="90">+F139+F142</f>
        <v>1019503</v>
      </c>
      <c r="G138" s="3045">
        <f t="shared" si="90"/>
        <v>1817275</v>
      </c>
      <c r="H138" s="3045">
        <f t="shared" si="90"/>
        <v>18000000</v>
      </c>
      <c r="I138" s="3045">
        <f t="shared" si="90"/>
        <v>48895582</v>
      </c>
      <c r="J138" s="3045">
        <f t="shared" si="90"/>
        <v>28059373</v>
      </c>
      <c r="K138" s="3045">
        <f t="shared" si="90"/>
        <v>0</v>
      </c>
      <c r="L138" s="3045">
        <f t="shared" si="90"/>
        <v>0</v>
      </c>
      <c r="M138" s="3046">
        <f>+M139+M142</f>
        <v>97791733</v>
      </c>
      <c r="N138" s="3046">
        <f>+N139+N142</f>
        <v>96772230</v>
      </c>
      <c r="O138" s="3823"/>
      <c r="P138" s="2455"/>
    </row>
    <row r="139" spans="1:19" s="2454" customFormat="1" ht="13.5" customHeight="1">
      <c r="A139" s="3773"/>
      <c r="B139" s="535" t="s">
        <v>23</v>
      </c>
      <c r="C139" s="3811" t="s">
        <v>275</v>
      </c>
      <c r="D139" s="3047">
        <f>+D140+D141</f>
        <v>28902110</v>
      </c>
      <c r="E139" s="3048">
        <f t="shared" ref="E139" si="91">+E140+E141</f>
        <v>6785</v>
      </c>
      <c r="F139" s="3048">
        <f t="shared" ref="F139:L139" si="92">+F140+F141</f>
        <v>32934</v>
      </c>
      <c r="G139" s="3048">
        <f t="shared" si="92"/>
        <v>35242</v>
      </c>
      <c r="H139" s="3048">
        <f t="shared" si="92"/>
        <v>5425229</v>
      </c>
      <c r="I139" s="3048">
        <f t="shared" si="92"/>
        <v>12342547</v>
      </c>
      <c r="J139" s="3048">
        <f t="shared" si="92"/>
        <v>11059373</v>
      </c>
      <c r="K139" s="3048">
        <f t="shared" si="92"/>
        <v>0</v>
      </c>
      <c r="L139" s="3048">
        <f t="shared" si="92"/>
        <v>0</v>
      </c>
      <c r="M139" s="3049">
        <f>+M140</f>
        <v>28895325</v>
      </c>
      <c r="N139" s="3049">
        <f>+N140</f>
        <v>28862391</v>
      </c>
      <c r="O139" s="3823"/>
      <c r="P139" s="2455"/>
    </row>
    <row r="140" spans="1:19" s="2454" customFormat="1" ht="13.5" customHeight="1">
      <c r="A140" s="3773"/>
      <c r="B140" s="3050" t="s">
        <v>12</v>
      </c>
      <c r="C140" s="3811"/>
      <c r="D140" s="3051">
        <f>E140+F140+G140+H140+I140+J140+K140+L140</f>
        <v>28902110</v>
      </c>
      <c r="E140" s="3052">
        <f t="shared" ref="E140:L140" si="93">+E158+E172+E188+E199</f>
        <v>6785</v>
      </c>
      <c r="F140" s="1881">
        <f t="shared" si="93"/>
        <v>32934</v>
      </c>
      <c r="G140" s="1881">
        <f t="shared" si="93"/>
        <v>35242</v>
      </c>
      <c r="H140" s="1881">
        <f t="shared" si="93"/>
        <v>5425229</v>
      </c>
      <c r="I140" s="1881">
        <f t="shared" si="93"/>
        <v>12342547</v>
      </c>
      <c r="J140" s="1881">
        <f t="shared" si="93"/>
        <v>11059373</v>
      </c>
      <c r="K140" s="1881">
        <f t="shared" si="93"/>
        <v>0</v>
      </c>
      <c r="L140" s="1881">
        <f t="shared" si="93"/>
        <v>0</v>
      </c>
      <c r="M140" s="3053">
        <f>SUM(F140:L140)</f>
        <v>28895325</v>
      </c>
      <c r="N140" s="3053">
        <f>SUM(G140:L140)</f>
        <v>28862391</v>
      </c>
      <c r="O140" s="3823"/>
      <c r="P140" s="2455"/>
    </row>
    <row r="141" spans="1:19" s="2454" customFormat="1" ht="13.5" hidden="1" customHeight="1">
      <c r="A141" s="3773"/>
      <c r="B141" s="3050" t="s">
        <v>16</v>
      </c>
      <c r="C141" s="3811"/>
      <c r="D141" s="3051">
        <f>E141+F141+G141+H141+I141+J141+K141+L141</f>
        <v>0</v>
      </c>
      <c r="E141" s="3054">
        <v>0</v>
      </c>
      <c r="F141" s="1881">
        <f t="shared" ref="F141:L141" si="94">+F159+F173+F200</f>
        <v>0</v>
      </c>
      <c r="G141" s="1881">
        <f t="shared" si="94"/>
        <v>0</v>
      </c>
      <c r="H141" s="1881">
        <f t="shared" si="94"/>
        <v>0</v>
      </c>
      <c r="I141" s="1881">
        <f t="shared" si="94"/>
        <v>0</v>
      </c>
      <c r="J141" s="1881">
        <f t="shared" si="94"/>
        <v>0</v>
      </c>
      <c r="K141" s="1881">
        <f t="shared" si="94"/>
        <v>0</v>
      </c>
      <c r="L141" s="1881">
        <f t="shared" si="94"/>
        <v>0</v>
      </c>
      <c r="M141" s="3053">
        <f>SUM(F141:K141)</f>
        <v>0</v>
      </c>
      <c r="N141" s="3053">
        <f>SUM(G141:L141)</f>
        <v>0</v>
      </c>
      <c r="O141" s="3823"/>
      <c r="P141" s="2455"/>
    </row>
    <row r="142" spans="1:19" s="2454" customFormat="1" ht="13.5" customHeight="1">
      <c r="A142" s="3773"/>
      <c r="B142" s="3055" t="s">
        <v>18</v>
      </c>
      <c r="C142" s="3811"/>
      <c r="D142" s="3056">
        <f>+D143</f>
        <v>69250000</v>
      </c>
      <c r="E142" s="3056">
        <f t="shared" ref="E142" si="95">+E143</f>
        <v>353592</v>
      </c>
      <c r="F142" s="3057">
        <f t="shared" ref="F142:L142" si="96">+F143</f>
        <v>986569</v>
      </c>
      <c r="G142" s="3057">
        <f t="shared" si="96"/>
        <v>1782033</v>
      </c>
      <c r="H142" s="3057">
        <f t="shared" si="96"/>
        <v>12574771</v>
      </c>
      <c r="I142" s="3057">
        <f t="shared" si="96"/>
        <v>36553035</v>
      </c>
      <c r="J142" s="3057">
        <f t="shared" si="96"/>
        <v>17000000</v>
      </c>
      <c r="K142" s="3057">
        <f t="shared" si="96"/>
        <v>0</v>
      </c>
      <c r="L142" s="3057">
        <f t="shared" si="96"/>
        <v>0</v>
      </c>
      <c r="M142" s="3049">
        <f>+M143</f>
        <v>68896408</v>
      </c>
      <c r="N142" s="3049">
        <f>+N143</f>
        <v>67909839</v>
      </c>
      <c r="O142" s="3823"/>
      <c r="P142" s="2455"/>
    </row>
    <row r="143" spans="1:19" s="2454" customFormat="1" ht="12.75" customHeight="1">
      <c r="A143" s="3773"/>
      <c r="B143" s="577" t="s">
        <v>20</v>
      </c>
      <c r="C143" s="3811"/>
      <c r="D143" s="3051">
        <f>E143+F143+G143+H143+I143+J143+K143+L143</f>
        <v>69250000</v>
      </c>
      <c r="E143" s="3058">
        <f>+E144+E145+E146</f>
        <v>353592</v>
      </c>
      <c r="F143" s="1881">
        <f>+F144+F145+F146</f>
        <v>986569</v>
      </c>
      <c r="G143" s="1881">
        <f t="shared" ref="G143:L143" si="97">+G144+G145+G146</f>
        <v>1782033</v>
      </c>
      <c r="H143" s="1881">
        <f t="shared" si="97"/>
        <v>12574771</v>
      </c>
      <c r="I143" s="1881">
        <f t="shared" si="97"/>
        <v>36553035</v>
      </c>
      <c r="J143" s="1881">
        <f t="shared" si="97"/>
        <v>17000000</v>
      </c>
      <c r="K143" s="1881">
        <f t="shared" si="97"/>
        <v>0</v>
      </c>
      <c r="L143" s="1881">
        <f t="shared" si="97"/>
        <v>0</v>
      </c>
      <c r="M143" s="3053">
        <f>SUM(F143:L143)</f>
        <v>68896408</v>
      </c>
      <c r="N143" s="3053">
        <f t="shared" ref="M143:N146" si="98">SUM(G143:L143)</f>
        <v>67909839</v>
      </c>
      <c r="O143" s="3823"/>
      <c r="P143" s="2455"/>
    </row>
    <row r="144" spans="1:19" s="2454" customFormat="1" ht="23.25" hidden="1" customHeight="1">
      <c r="A144" s="3773"/>
      <c r="B144" s="3050" t="s">
        <v>264</v>
      </c>
      <c r="C144" s="3811"/>
      <c r="D144" s="3058">
        <f>+D176</f>
        <v>18000000</v>
      </c>
      <c r="E144" s="3058">
        <f t="shared" ref="E144:L144" si="99">+E162+E176+E191+E203</f>
        <v>353592</v>
      </c>
      <c r="F144" s="1881">
        <f t="shared" si="99"/>
        <v>986569</v>
      </c>
      <c r="G144" s="1881">
        <f t="shared" si="99"/>
        <v>1782033</v>
      </c>
      <c r="H144" s="1881">
        <f t="shared" si="99"/>
        <v>5574771</v>
      </c>
      <c r="I144" s="1881">
        <f t="shared" si="99"/>
        <v>9303035</v>
      </c>
      <c r="J144" s="1881">
        <f t="shared" si="99"/>
        <v>0</v>
      </c>
      <c r="K144" s="1881">
        <f t="shared" si="99"/>
        <v>0</v>
      </c>
      <c r="L144" s="1881">
        <f t="shared" si="99"/>
        <v>0</v>
      </c>
      <c r="M144" s="3059">
        <f t="shared" si="98"/>
        <v>17646408</v>
      </c>
      <c r="N144" s="3059">
        <f t="shared" si="98"/>
        <v>16659839</v>
      </c>
      <c r="O144" s="3823"/>
      <c r="P144" s="2455"/>
    </row>
    <row r="145" spans="1:16" s="2454" customFormat="1" ht="20.25" hidden="1" customHeight="1">
      <c r="A145" s="3773"/>
      <c r="B145" s="3050" t="s">
        <v>265</v>
      </c>
      <c r="C145" s="3811"/>
      <c r="D145" s="3058">
        <f>+D177</f>
        <v>10250000</v>
      </c>
      <c r="E145" s="1881">
        <v>0</v>
      </c>
      <c r="F145" s="1881">
        <f t="shared" ref="F145:L145" si="100">+F177</f>
        <v>0</v>
      </c>
      <c r="G145" s="1881">
        <f t="shared" si="100"/>
        <v>0</v>
      </c>
      <c r="H145" s="1881">
        <f t="shared" si="100"/>
        <v>3000000</v>
      </c>
      <c r="I145" s="1881">
        <f t="shared" si="100"/>
        <v>7250000</v>
      </c>
      <c r="J145" s="1881">
        <f t="shared" si="100"/>
        <v>0</v>
      </c>
      <c r="K145" s="1881">
        <f t="shared" si="100"/>
        <v>0</v>
      </c>
      <c r="L145" s="1881">
        <f t="shared" si="100"/>
        <v>0</v>
      </c>
      <c r="M145" s="3059">
        <f t="shared" si="98"/>
        <v>10250000</v>
      </c>
      <c r="N145" s="3059">
        <f t="shared" si="98"/>
        <v>10250000</v>
      </c>
      <c r="O145" s="3823"/>
      <c r="P145" s="2455"/>
    </row>
    <row r="146" spans="1:16" s="2454" customFormat="1" ht="27" hidden="1" customHeight="1">
      <c r="A146" s="3773"/>
      <c r="B146" s="3050" t="s">
        <v>266</v>
      </c>
      <c r="C146" s="3811"/>
      <c r="D146" s="3058">
        <f>+D178</f>
        <v>28250000</v>
      </c>
      <c r="E146" s="3060">
        <v>0</v>
      </c>
      <c r="F146" s="3060">
        <f t="shared" ref="F146:L146" si="101">+F204</f>
        <v>0</v>
      </c>
      <c r="G146" s="3060">
        <f t="shared" si="101"/>
        <v>0</v>
      </c>
      <c r="H146" s="3060">
        <f t="shared" si="101"/>
        <v>4000000</v>
      </c>
      <c r="I146" s="3060">
        <f t="shared" si="101"/>
        <v>20000000</v>
      </c>
      <c r="J146" s="3060">
        <f t="shared" si="101"/>
        <v>17000000</v>
      </c>
      <c r="K146" s="3060">
        <f t="shared" si="101"/>
        <v>0</v>
      </c>
      <c r="L146" s="3060">
        <f t="shared" si="101"/>
        <v>0</v>
      </c>
      <c r="M146" s="3059">
        <f t="shared" si="98"/>
        <v>41000000</v>
      </c>
      <c r="N146" s="3059">
        <f t="shared" si="98"/>
        <v>41000000</v>
      </c>
      <c r="O146" s="3823"/>
      <c r="P146" s="2455"/>
    </row>
    <row r="147" spans="1:16" s="2454" customFormat="1" ht="15">
      <c r="A147" s="3773"/>
      <c r="B147" s="182" t="s">
        <v>267</v>
      </c>
      <c r="C147" s="3043"/>
      <c r="D147" s="3044">
        <f t="shared" ref="D147:L147" si="102">+D148+D150</f>
        <v>69250000</v>
      </c>
      <c r="E147" s="3045">
        <f t="shared" si="102"/>
        <v>219395</v>
      </c>
      <c r="F147" s="3045">
        <f t="shared" si="102"/>
        <v>1022720</v>
      </c>
      <c r="G147" s="3045">
        <f t="shared" si="102"/>
        <v>1634324</v>
      </c>
      <c r="H147" s="3045">
        <f t="shared" si="102"/>
        <v>11820526</v>
      </c>
      <c r="I147" s="3045">
        <f t="shared" si="102"/>
        <v>36053035</v>
      </c>
      <c r="J147" s="3045">
        <f t="shared" si="102"/>
        <v>18500000</v>
      </c>
      <c r="K147" s="3045">
        <f t="shared" si="102"/>
        <v>0</v>
      </c>
      <c r="L147" s="3045">
        <f t="shared" si="102"/>
        <v>0</v>
      </c>
      <c r="M147" s="3827" t="s">
        <v>53</v>
      </c>
      <c r="N147" s="3827" t="s">
        <v>53</v>
      </c>
      <c r="O147" s="3823"/>
      <c r="P147" s="2455">
        <f>G147-'[1]Tab. 6E - Administracja'!$G$147</f>
        <v>-7877825</v>
      </c>
    </row>
    <row r="148" spans="1:16" s="2454" customFormat="1" ht="13.5" hidden="1" customHeight="1">
      <c r="A148" s="3773"/>
      <c r="B148" s="535" t="s">
        <v>23</v>
      </c>
      <c r="C148" s="3825" t="s">
        <v>789</v>
      </c>
      <c r="D148" s="3047">
        <f>+D149</f>
        <v>0</v>
      </c>
      <c r="E148" s="3048">
        <f t="shared" ref="E148:L148" si="103">+E149</f>
        <v>0</v>
      </c>
      <c r="F148" s="3048">
        <f t="shared" si="103"/>
        <v>0</v>
      </c>
      <c r="G148" s="3048">
        <f t="shared" si="103"/>
        <v>0</v>
      </c>
      <c r="H148" s="3048">
        <f t="shared" si="103"/>
        <v>0</v>
      </c>
      <c r="I148" s="3048">
        <f t="shared" si="103"/>
        <v>0</v>
      </c>
      <c r="J148" s="3048">
        <f t="shared" si="103"/>
        <v>0</v>
      </c>
      <c r="K148" s="3048">
        <f t="shared" si="103"/>
        <v>0</v>
      </c>
      <c r="L148" s="3048">
        <f t="shared" si="103"/>
        <v>0</v>
      </c>
      <c r="M148" s="3662"/>
      <c r="N148" s="3662"/>
      <c r="O148" s="3823"/>
      <c r="P148" s="2455"/>
    </row>
    <row r="149" spans="1:16" s="2454" customFormat="1" ht="13.5" hidden="1" customHeight="1">
      <c r="A149" s="3773"/>
      <c r="B149" s="3050" t="s">
        <v>16</v>
      </c>
      <c r="C149" s="3811"/>
      <c r="D149" s="3051">
        <f>E149+F149+G149+H149+I149+J149+K149+L149</f>
        <v>0</v>
      </c>
      <c r="E149" s="3230">
        <v>0</v>
      </c>
      <c r="F149" s="3061">
        <f t="shared" ref="F149:L149" si="104">+F180+F207</f>
        <v>0</v>
      </c>
      <c r="G149" s="3061">
        <f t="shared" si="104"/>
        <v>0</v>
      </c>
      <c r="H149" s="3061">
        <f t="shared" si="104"/>
        <v>0</v>
      </c>
      <c r="I149" s="3061">
        <f t="shared" si="104"/>
        <v>0</v>
      </c>
      <c r="J149" s="3061">
        <f t="shared" si="104"/>
        <v>0</v>
      </c>
      <c r="K149" s="3061">
        <f t="shared" si="104"/>
        <v>0</v>
      </c>
      <c r="L149" s="3061">
        <f t="shared" si="104"/>
        <v>0</v>
      </c>
      <c r="M149" s="3662"/>
      <c r="N149" s="3662"/>
      <c r="O149" s="3823"/>
      <c r="P149" s="2455"/>
    </row>
    <row r="150" spans="1:16" s="2454" customFormat="1" ht="19.5" customHeight="1">
      <c r="A150" s="3773"/>
      <c r="B150" s="537" t="s">
        <v>18</v>
      </c>
      <c r="C150" s="3811"/>
      <c r="D150" s="3047">
        <f>+D151</f>
        <v>69250000</v>
      </c>
      <c r="E150" s="3048">
        <f>+E151</f>
        <v>219395</v>
      </c>
      <c r="F150" s="3048">
        <f>+F151</f>
        <v>1022720</v>
      </c>
      <c r="G150" s="3048">
        <f t="shared" ref="G150:L150" si="105">+G151</f>
        <v>1634324</v>
      </c>
      <c r="H150" s="3048">
        <f t="shared" si="105"/>
        <v>11820526</v>
      </c>
      <c r="I150" s="3048">
        <f t="shared" si="105"/>
        <v>36053035</v>
      </c>
      <c r="J150" s="3048">
        <f t="shared" si="105"/>
        <v>18500000</v>
      </c>
      <c r="K150" s="3048">
        <f t="shared" si="105"/>
        <v>0</v>
      </c>
      <c r="L150" s="3048">
        <f t="shared" si="105"/>
        <v>0</v>
      </c>
      <c r="M150" s="3662"/>
      <c r="N150" s="3662"/>
      <c r="O150" s="3823"/>
      <c r="P150" s="2455"/>
    </row>
    <row r="151" spans="1:16" s="2454" customFormat="1" ht="21.75" customHeight="1" thickBot="1">
      <c r="A151" s="3774"/>
      <c r="B151" s="74" t="s">
        <v>20</v>
      </c>
      <c r="C151" s="3826"/>
      <c r="D151" s="3062">
        <f>E151+F151+G151+H151+I151+J151+K151+L151</f>
        <v>69250000</v>
      </c>
      <c r="E151" s="1882">
        <f t="shared" ref="E151:L151" si="106">+E167+E182+E209+E194</f>
        <v>219395</v>
      </c>
      <c r="F151" s="1882">
        <f t="shared" si="106"/>
        <v>1022720</v>
      </c>
      <c r="G151" s="1882">
        <f t="shared" si="106"/>
        <v>1634324</v>
      </c>
      <c r="H151" s="1882">
        <f t="shared" si="106"/>
        <v>11820526</v>
      </c>
      <c r="I151" s="1882">
        <f t="shared" si="106"/>
        <v>36053035</v>
      </c>
      <c r="J151" s="1882">
        <f t="shared" si="106"/>
        <v>18500000</v>
      </c>
      <c r="K151" s="1882">
        <f t="shared" si="106"/>
        <v>0</v>
      </c>
      <c r="L151" s="1882">
        <f t="shared" si="106"/>
        <v>0</v>
      </c>
      <c r="M151" s="3663"/>
      <c r="N151" s="3663"/>
      <c r="O151" s="3824"/>
      <c r="P151" s="2455"/>
    </row>
    <row r="152" spans="1:16" s="2454" customFormat="1" ht="24" hidden="1" customHeight="1">
      <c r="A152" s="2962"/>
      <c r="B152" s="1883" t="s">
        <v>264</v>
      </c>
      <c r="C152" s="1884"/>
      <c r="D152" s="1885">
        <f t="shared" ref="D152:L152" si="107">+D168+D183+D195+D210</f>
        <v>18000000</v>
      </c>
      <c r="E152" s="1885">
        <f>+E168+E183+E195+E210</f>
        <v>219395</v>
      </c>
      <c r="F152" s="1885">
        <f t="shared" si="107"/>
        <v>1022720</v>
      </c>
      <c r="G152" s="1885">
        <f t="shared" si="107"/>
        <v>1634324</v>
      </c>
      <c r="H152" s="1885">
        <f t="shared" si="107"/>
        <v>5820526</v>
      </c>
      <c r="I152" s="1885">
        <f t="shared" si="107"/>
        <v>9303035</v>
      </c>
      <c r="J152" s="1885">
        <f t="shared" si="107"/>
        <v>0</v>
      </c>
      <c r="K152" s="1885">
        <f t="shared" si="107"/>
        <v>0</v>
      </c>
      <c r="L152" s="1885">
        <f t="shared" si="107"/>
        <v>0</v>
      </c>
      <c r="M152" s="1886"/>
      <c r="N152" s="1886"/>
      <c r="O152" s="1887"/>
      <c r="P152" s="2455"/>
    </row>
    <row r="153" spans="1:16" s="2454" customFormat="1" ht="24" hidden="1" customHeight="1">
      <c r="A153" s="2962"/>
      <c r="B153" s="1888" t="s">
        <v>265</v>
      </c>
      <c r="C153" s="1884"/>
      <c r="D153" s="1881">
        <f>+D184</f>
        <v>10250000</v>
      </c>
      <c r="E153" s="1881">
        <v>0</v>
      </c>
      <c r="F153" s="1881">
        <f t="shared" ref="F153:L153" si="108">+F184</f>
        <v>0</v>
      </c>
      <c r="G153" s="1881">
        <f t="shared" si="108"/>
        <v>0</v>
      </c>
      <c r="H153" s="1881">
        <f t="shared" si="108"/>
        <v>2500000</v>
      </c>
      <c r="I153" s="1881">
        <f t="shared" si="108"/>
        <v>7750000</v>
      </c>
      <c r="J153" s="1881">
        <f t="shared" si="108"/>
        <v>0</v>
      </c>
      <c r="K153" s="1881">
        <f t="shared" si="108"/>
        <v>0</v>
      </c>
      <c r="L153" s="1881">
        <f t="shared" si="108"/>
        <v>0</v>
      </c>
      <c r="M153" s="1886"/>
      <c r="N153" s="1886"/>
      <c r="O153" s="1887"/>
      <c r="P153" s="2455"/>
    </row>
    <row r="154" spans="1:16" s="2454" customFormat="1" ht="24" hidden="1" customHeight="1" thickBot="1">
      <c r="A154" s="2961"/>
      <c r="B154" s="1889" t="s">
        <v>266</v>
      </c>
      <c r="C154" s="1890"/>
      <c r="D154" s="1882">
        <f>+D211</f>
        <v>41000000</v>
      </c>
      <c r="E154" s="1882">
        <v>0</v>
      </c>
      <c r="F154" s="1882">
        <f t="shared" ref="F154:L154" si="109">+F211</f>
        <v>0</v>
      </c>
      <c r="G154" s="1882">
        <f t="shared" si="109"/>
        <v>0</v>
      </c>
      <c r="H154" s="1882">
        <f t="shared" si="109"/>
        <v>3500000</v>
      </c>
      <c r="I154" s="1882">
        <f t="shared" si="109"/>
        <v>19000000</v>
      </c>
      <c r="J154" s="1882">
        <f t="shared" si="109"/>
        <v>18500000</v>
      </c>
      <c r="K154" s="1882">
        <f t="shared" si="109"/>
        <v>0</v>
      </c>
      <c r="L154" s="1882">
        <f t="shared" si="109"/>
        <v>0</v>
      </c>
      <c r="M154" s="1891"/>
      <c r="N154" s="1891"/>
      <c r="O154" s="1892"/>
      <c r="P154" s="2455"/>
    </row>
    <row r="155" spans="1:16" s="2454" customFormat="1" ht="18.75" hidden="1" customHeight="1">
      <c r="A155" s="3772" t="s">
        <v>500</v>
      </c>
      <c r="B155" s="1893" t="s">
        <v>268</v>
      </c>
      <c r="C155" s="3063" t="s">
        <v>101</v>
      </c>
      <c r="D155" s="1894"/>
      <c r="E155" s="1895"/>
      <c r="F155" s="1896"/>
      <c r="G155" s="1896"/>
      <c r="H155" s="1896"/>
      <c r="I155" s="1896"/>
      <c r="J155" s="1896"/>
      <c r="K155" s="1896"/>
      <c r="L155" s="1897"/>
      <c r="M155" s="3064"/>
      <c r="N155" s="3064"/>
      <c r="O155" s="1887"/>
      <c r="P155" s="2455"/>
    </row>
    <row r="156" spans="1:16" s="2454" customFormat="1" ht="13.5" hidden="1" customHeight="1">
      <c r="A156" s="3773"/>
      <c r="B156" s="80" t="s">
        <v>10</v>
      </c>
      <c r="C156" s="3065"/>
      <c r="D156" s="1186">
        <f t="shared" ref="D156:D168" si="110">SUM(E156:L156)</f>
        <v>0</v>
      </c>
      <c r="E156" s="333">
        <v>0</v>
      </c>
      <c r="F156" s="333">
        <f t="shared" ref="F156:L156" si="111">+F157+F160</f>
        <v>0</v>
      </c>
      <c r="G156" s="333">
        <f t="shared" si="111"/>
        <v>0</v>
      </c>
      <c r="H156" s="333">
        <f t="shared" si="111"/>
        <v>0</v>
      </c>
      <c r="I156" s="333">
        <f t="shared" si="111"/>
        <v>0</v>
      </c>
      <c r="J156" s="333">
        <f t="shared" si="111"/>
        <v>0</v>
      </c>
      <c r="K156" s="333">
        <f t="shared" si="111"/>
        <v>0</v>
      </c>
      <c r="L156" s="333">
        <f t="shared" si="111"/>
        <v>0</v>
      </c>
      <c r="M156" s="336">
        <f t="shared" ref="M156:N162" si="112">SUM(D156:K156)</f>
        <v>0</v>
      </c>
      <c r="N156" s="336">
        <f t="shared" si="112"/>
        <v>0</v>
      </c>
      <c r="O156" s="1887"/>
      <c r="P156" s="2455"/>
    </row>
    <row r="157" spans="1:16" s="2454" customFormat="1" ht="13.5" hidden="1" customHeight="1">
      <c r="A157" s="3773"/>
      <c r="B157" s="166" t="s">
        <v>23</v>
      </c>
      <c r="C157" s="3807" t="s">
        <v>275</v>
      </c>
      <c r="D157" s="1898">
        <f t="shared" si="110"/>
        <v>0</v>
      </c>
      <c r="E157" s="321">
        <v>0</v>
      </c>
      <c r="F157" s="321">
        <f t="shared" ref="F157:L157" si="113">+F158+F159</f>
        <v>0</v>
      </c>
      <c r="G157" s="321">
        <f t="shared" si="113"/>
        <v>0</v>
      </c>
      <c r="H157" s="321">
        <f t="shared" si="113"/>
        <v>0</v>
      </c>
      <c r="I157" s="321">
        <f t="shared" si="113"/>
        <v>0</v>
      </c>
      <c r="J157" s="321">
        <f t="shared" si="113"/>
        <v>0</v>
      </c>
      <c r="K157" s="321">
        <f t="shared" si="113"/>
        <v>0</v>
      </c>
      <c r="L157" s="321">
        <f t="shared" si="113"/>
        <v>0</v>
      </c>
      <c r="M157" s="336">
        <f t="shared" si="112"/>
        <v>0</v>
      </c>
      <c r="N157" s="336">
        <f t="shared" si="112"/>
        <v>0</v>
      </c>
      <c r="O157" s="1887"/>
      <c r="P157" s="2455"/>
    </row>
    <row r="158" spans="1:16" s="2454" customFormat="1" ht="13.5" hidden="1" customHeight="1">
      <c r="A158" s="3773"/>
      <c r="B158" s="1899" t="s">
        <v>12</v>
      </c>
      <c r="C158" s="3763"/>
      <c r="D158" s="1900">
        <f t="shared" si="110"/>
        <v>0</v>
      </c>
      <c r="E158" s="3066"/>
      <c r="F158" s="1900">
        <f>1524390-1524390</f>
        <v>0</v>
      </c>
      <c r="G158" s="1900">
        <f>1840690-1840690</f>
        <v>0</v>
      </c>
      <c r="H158" s="1900"/>
      <c r="I158" s="1900"/>
      <c r="J158" s="3067"/>
      <c r="K158" s="3067"/>
      <c r="L158" s="3067"/>
      <c r="M158" s="3068">
        <f t="shared" si="112"/>
        <v>0</v>
      </c>
      <c r="N158" s="3068">
        <f t="shared" si="112"/>
        <v>0</v>
      </c>
      <c r="O158" s="1887"/>
      <c r="P158" s="2455"/>
    </row>
    <row r="159" spans="1:16" s="2454" customFormat="1" ht="13.5" hidden="1" customHeight="1">
      <c r="A159" s="3773"/>
      <c r="B159" s="1899" t="s">
        <v>54</v>
      </c>
      <c r="C159" s="3763"/>
      <c r="D159" s="1901">
        <f t="shared" si="110"/>
        <v>0</v>
      </c>
      <c r="E159" s="3069"/>
      <c r="F159" s="1901"/>
      <c r="G159" s="1901"/>
      <c r="H159" s="1901"/>
      <c r="I159" s="1901"/>
      <c r="J159" s="3070"/>
      <c r="K159" s="3070"/>
      <c r="L159" s="3070"/>
      <c r="M159" s="3071">
        <f t="shared" si="112"/>
        <v>0</v>
      </c>
      <c r="N159" s="3071">
        <f t="shared" si="112"/>
        <v>0</v>
      </c>
      <c r="O159" s="1887"/>
      <c r="P159" s="2455"/>
    </row>
    <row r="160" spans="1:16" s="2454" customFormat="1" ht="13.5" hidden="1" customHeight="1">
      <c r="A160" s="3773"/>
      <c r="B160" s="81" t="s">
        <v>18</v>
      </c>
      <c r="C160" s="3763"/>
      <c r="D160" s="1898">
        <f t="shared" si="110"/>
        <v>0</v>
      </c>
      <c r="E160" s="321">
        <v>0</v>
      </c>
      <c r="F160" s="321">
        <f t="shared" ref="F160:L160" si="114">+F161</f>
        <v>0</v>
      </c>
      <c r="G160" s="321">
        <f t="shared" si="114"/>
        <v>0</v>
      </c>
      <c r="H160" s="321">
        <f t="shared" si="114"/>
        <v>0</v>
      </c>
      <c r="I160" s="321">
        <f t="shared" si="114"/>
        <v>0</v>
      </c>
      <c r="J160" s="321">
        <f t="shared" si="114"/>
        <v>0</v>
      </c>
      <c r="K160" s="321">
        <f t="shared" si="114"/>
        <v>0</v>
      </c>
      <c r="L160" s="321">
        <f t="shared" si="114"/>
        <v>0</v>
      </c>
      <c r="M160" s="3072">
        <f t="shared" si="112"/>
        <v>0</v>
      </c>
      <c r="N160" s="3072">
        <f t="shared" si="112"/>
        <v>0</v>
      </c>
      <c r="O160" s="1887"/>
      <c r="P160" s="2455"/>
    </row>
    <row r="161" spans="1:16" s="2454" customFormat="1" ht="13.5" hidden="1" customHeight="1">
      <c r="A161" s="3773"/>
      <c r="B161" s="3073" t="s">
        <v>20</v>
      </c>
      <c r="C161" s="3763"/>
      <c r="D161" s="1900">
        <f t="shared" si="110"/>
        <v>0</v>
      </c>
      <c r="E161" s="3066">
        <v>0</v>
      </c>
      <c r="F161" s="3066">
        <f t="shared" ref="F161:L161" si="115">+F162</f>
        <v>0</v>
      </c>
      <c r="G161" s="3066">
        <f t="shared" si="115"/>
        <v>0</v>
      </c>
      <c r="H161" s="3066">
        <f t="shared" si="115"/>
        <v>0</v>
      </c>
      <c r="I161" s="3066">
        <f t="shared" si="115"/>
        <v>0</v>
      </c>
      <c r="J161" s="3066">
        <f t="shared" si="115"/>
        <v>0</v>
      </c>
      <c r="K161" s="3066">
        <f t="shared" si="115"/>
        <v>0</v>
      </c>
      <c r="L161" s="3066">
        <f t="shared" si="115"/>
        <v>0</v>
      </c>
      <c r="M161" s="3068">
        <f t="shared" si="112"/>
        <v>0</v>
      </c>
      <c r="N161" s="3068">
        <f t="shared" si="112"/>
        <v>0</v>
      </c>
      <c r="O161" s="1887"/>
      <c r="P161" s="2455"/>
    </row>
    <row r="162" spans="1:16" s="2454" customFormat="1" ht="24.75" hidden="1" customHeight="1">
      <c r="A162" s="3773"/>
      <c r="B162" s="3074" t="s">
        <v>269</v>
      </c>
      <c r="C162" s="3764"/>
      <c r="D162" s="1901">
        <f t="shared" si="110"/>
        <v>0</v>
      </c>
      <c r="E162" s="3069"/>
      <c r="F162" s="1901">
        <f>624800-624800</f>
        <v>0</v>
      </c>
      <c r="G162" s="1901">
        <f>312400-312400</f>
        <v>0</v>
      </c>
      <c r="H162" s="1901"/>
      <c r="I162" s="1901"/>
      <c r="J162" s="3070"/>
      <c r="K162" s="3070"/>
      <c r="L162" s="1901"/>
      <c r="M162" s="3071">
        <f t="shared" si="112"/>
        <v>0</v>
      </c>
      <c r="N162" s="3071">
        <f t="shared" si="112"/>
        <v>0</v>
      </c>
      <c r="O162" s="1887"/>
      <c r="P162" s="2455"/>
    </row>
    <row r="163" spans="1:16" s="2454" customFormat="1" ht="13.5" hidden="1" customHeight="1">
      <c r="A163" s="3773"/>
      <c r="B163" s="21" t="s">
        <v>267</v>
      </c>
      <c r="C163" s="169"/>
      <c r="D163" s="3075">
        <f t="shared" si="110"/>
        <v>0</v>
      </c>
      <c r="E163" s="3075">
        <v>0</v>
      </c>
      <c r="F163" s="3075">
        <f t="shared" ref="F163:L163" si="116">+F164+F166</f>
        <v>0</v>
      </c>
      <c r="G163" s="3075">
        <f t="shared" si="116"/>
        <v>0</v>
      </c>
      <c r="H163" s="3075">
        <f t="shared" si="116"/>
        <v>0</v>
      </c>
      <c r="I163" s="3075">
        <f t="shared" si="116"/>
        <v>0</v>
      </c>
      <c r="J163" s="3075">
        <f t="shared" si="116"/>
        <v>0</v>
      </c>
      <c r="K163" s="3075">
        <f t="shared" si="116"/>
        <v>0</v>
      </c>
      <c r="L163" s="3075">
        <f t="shared" si="116"/>
        <v>0</v>
      </c>
      <c r="M163" s="3664" t="s">
        <v>53</v>
      </c>
      <c r="N163" s="3664" t="s">
        <v>53</v>
      </c>
      <c r="O163" s="1887"/>
      <c r="P163" s="2455"/>
    </row>
    <row r="164" spans="1:16" s="2454" customFormat="1" ht="13.5" hidden="1" customHeight="1">
      <c r="A164" s="3773"/>
      <c r="B164" s="166" t="s">
        <v>23</v>
      </c>
      <c r="C164" s="3807" t="s">
        <v>275</v>
      </c>
      <c r="D164" s="3076">
        <f t="shared" si="110"/>
        <v>0</v>
      </c>
      <c r="E164" s="3077">
        <v>0</v>
      </c>
      <c r="F164" s="3077">
        <f t="shared" ref="F164:L164" si="117">+F165</f>
        <v>0</v>
      </c>
      <c r="G164" s="3077">
        <f t="shared" si="117"/>
        <v>0</v>
      </c>
      <c r="H164" s="3077">
        <f t="shared" si="117"/>
        <v>0</v>
      </c>
      <c r="I164" s="3077">
        <f t="shared" si="117"/>
        <v>0</v>
      </c>
      <c r="J164" s="3077">
        <f t="shared" si="117"/>
        <v>0</v>
      </c>
      <c r="K164" s="3077">
        <f t="shared" si="117"/>
        <v>0</v>
      </c>
      <c r="L164" s="3077">
        <f t="shared" si="117"/>
        <v>0</v>
      </c>
      <c r="M164" s="3654"/>
      <c r="N164" s="3654"/>
      <c r="O164" s="1887"/>
      <c r="P164" s="2455"/>
    </row>
    <row r="165" spans="1:16" s="2454" customFormat="1" ht="13.5" hidden="1" customHeight="1">
      <c r="A165" s="3773"/>
      <c r="B165" s="1899" t="s">
        <v>54</v>
      </c>
      <c r="C165" s="3764"/>
      <c r="D165" s="3078">
        <f t="shared" si="110"/>
        <v>0</v>
      </c>
      <c r="E165" s="356"/>
      <c r="F165" s="3079"/>
      <c r="G165" s="3079"/>
      <c r="H165" s="3079"/>
      <c r="I165" s="3079"/>
      <c r="J165" s="3079"/>
      <c r="K165" s="3079"/>
      <c r="L165" s="3079"/>
      <c r="M165" s="3654"/>
      <c r="N165" s="3654"/>
      <c r="O165" s="1887"/>
      <c r="P165" s="2455"/>
    </row>
    <row r="166" spans="1:16" s="2454" customFormat="1" ht="12" hidden="1" customHeight="1">
      <c r="A166" s="3773"/>
      <c r="B166" s="81" t="s">
        <v>18</v>
      </c>
      <c r="C166" s="3804" t="s">
        <v>237</v>
      </c>
      <c r="D166" s="3080">
        <f t="shared" si="110"/>
        <v>0</v>
      </c>
      <c r="E166" s="3081">
        <v>0</v>
      </c>
      <c r="F166" s="3081">
        <f t="shared" ref="F166:L166" si="118">+F167</f>
        <v>0</v>
      </c>
      <c r="G166" s="3081">
        <f t="shared" si="118"/>
        <v>0</v>
      </c>
      <c r="H166" s="3081">
        <f t="shared" si="118"/>
        <v>0</v>
      </c>
      <c r="I166" s="3081">
        <f t="shared" si="118"/>
        <v>0</v>
      </c>
      <c r="J166" s="3081">
        <f t="shared" si="118"/>
        <v>0</v>
      </c>
      <c r="K166" s="3081">
        <f t="shared" si="118"/>
        <v>0</v>
      </c>
      <c r="L166" s="3081">
        <f t="shared" si="118"/>
        <v>0</v>
      </c>
      <c r="M166" s="3654"/>
      <c r="N166" s="3654"/>
      <c r="O166" s="1887"/>
      <c r="P166" s="2455"/>
    </row>
    <row r="167" spans="1:16" s="2454" customFormat="1" ht="15" hidden="1" customHeight="1">
      <c r="A167" s="3773"/>
      <c r="B167" s="3073" t="s">
        <v>20</v>
      </c>
      <c r="C167" s="3805"/>
      <c r="D167" s="3078">
        <f t="shared" si="110"/>
        <v>0</v>
      </c>
      <c r="E167" s="356">
        <v>0</v>
      </c>
      <c r="F167" s="356">
        <f t="shared" ref="F167:L167" si="119">+F168</f>
        <v>0</v>
      </c>
      <c r="G167" s="356">
        <f t="shared" si="119"/>
        <v>0</v>
      </c>
      <c r="H167" s="356">
        <f t="shared" si="119"/>
        <v>0</v>
      </c>
      <c r="I167" s="356">
        <f t="shared" si="119"/>
        <v>0</v>
      </c>
      <c r="J167" s="356">
        <f t="shared" si="119"/>
        <v>0</v>
      </c>
      <c r="K167" s="356">
        <f t="shared" si="119"/>
        <v>0</v>
      </c>
      <c r="L167" s="356">
        <f t="shared" si="119"/>
        <v>0</v>
      </c>
      <c r="M167" s="3654"/>
      <c r="N167" s="3654"/>
      <c r="O167" s="1887"/>
      <c r="P167" s="2455"/>
    </row>
    <row r="168" spans="1:16" s="2454" customFormat="1" ht="24" hidden="1" customHeight="1">
      <c r="A168" s="3082"/>
      <c r="B168" s="3083" t="s">
        <v>264</v>
      </c>
      <c r="C168" s="3806"/>
      <c r="D168" s="3084">
        <f t="shared" si="110"/>
        <v>0</v>
      </c>
      <c r="E168" s="3085"/>
      <c r="F168" s="3084">
        <f>624800-624800</f>
        <v>0</v>
      </c>
      <c r="G168" s="3084">
        <f>312400-312400</f>
        <v>0</v>
      </c>
      <c r="H168" s="3084"/>
      <c r="I168" s="3084"/>
      <c r="J168" s="3084"/>
      <c r="K168" s="3084"/>
      <c r="L168" s="3084"/>
      <c r="M168" s="3814"/>
      <c r="N168" s="3814"/>
      <c r="O168" s="1887"/>
      <c r="P168" s="2455"/>
    </row>
    <row r="169" spans="1:16" s="2454" customFormat="1" ht="15.75" hidden="1" customHeight="1">
      <c r="A169" s="3815" t="s">
        <v>501</v>
      </c>
      <c r="B169" s="3086" t="s">
        <v>268</v>
      </c>
      <c r="C169" s="3087" t="s">
        <v>74</v>
      </c>
      <c r="D169" s="3088"/>
      <c r="E169" s="3089"/>
      <c r="F169" s="3090"/>
      <c r="G169" s="3090"/>
      <c r="H169" s="3090"/>
      <c r="I169" s="3090"/>
      <c r="J169" s="3090"/>
      <c r="K169" s="3090"/>
      <c r="L169" s="3091"/>
      <c r="M169" s="3092"/>
      <c r="N169" s="3092"/>
      <c r="O169" s="1887"/>
      <c r="P169" s="2455"/>
    </row>
    <row r="170" spans="1:16" s="2454" customFormat="1" ht="13.5" hidden="1" customHeight="1">
      <c r="A170" s="3773"/>
      <c r="B170" s="182" t="s">
        <v>10</v>
      </c>
      <c r="C170" s="3093"/>
      <c r="D170" s="359">
        <f t="shared" ref="D170:D177" si="120">SUM(E170:L170)</f>
        <v>33033363</v>
      </c>
      <c r="E170" s="3094">
        <f t="shared" ref="E170" si="121">+E171+E174</f>
        <v>360377</v>
      </c>
      <c r="F170" s="3094">
        <f t="shared" ref="F170:L170" si="122">+F171+F174</f>
        <v>1019503</v>
      </c>
      <c r="G170" s="3094">
        <f t="shared" si="122"/>
        <v>1817275</v>
      </c>
      <c r="H170" s="3094">
        <f t="shared" si="122"/>
        <v>12000000</v>
      </c>
      <c r="I170" s="3094">
        <f t="shared" si="122"/>
        <v>17836208</v>
      </c>
      <c r="J170" s="3094">
        <f t="shared" si="122"/>
        <v>0</v>
      </c>
      <c r="K170" s="3094">
        <f t="shared" si="122"/>
        <v>0</v>
      </c>
      <c r="L170" s="3094">
        <f t="shared" si="122"/>
        <v>0</v>
      </c>
      <c r="M170" s="3046">
        <f>+M171+M174</f>
        <v>32672986</v>
      </c>
      <c r="N170" s="3046">
        <f>+N171+N174</f>
        <v>31653483</v>
      </c>
      <c r="O170" s="1887"/>
      <c r="P170" s="2455"/>
    </row>
    <row r="171" spans="1:16" s="2454" customFormat="1" ht="14.25" hidden="1" customHeight="1">
      <c r="A171" s="3773"/>
      <c r="B171" s="220" t="s">
        <v>23</v>
      </c>
      <c r="C171" s="3762" t="s">
        <v>275</v>
      </c>
      <c r="D171" s="3095">
        <f t="shared" si="120"/>
        <v>4783363</v>
      </c>
      <c r="E171" s="3096">
        <f t="shared" ref="E171" si="123">+E172+E173</f>
        <v>6785</v>
      </c>
      <c r="F171" s="3096">
        <f t="shared" ref="F171:L171" si="124">+F172+F173</f>
        <v>32934</v>
      </c>
      <c r="G171" s="3096">
        <f t="shared" si="124"/>
        <v>35242</v>
      </c>
      <c r="H171" s="3096">
        <f t="shared" si="124"/>
        <v>3425229</v>
      </c>
      <c r="I171" s="3096">
        <f t="shared" si="124"/>
        <v>1283173</v>
      </c>
      <c r="J171" s="3096">
        <f t="shared" si="124"/>
        <v>0</v>
      </c>
      <c r="K171" s="3096">
        <f t="shared" si="124"/>
        <v>0</v>
      </c>
      <c r="L171" s="3096">
        <f t="shared" si="124"/>
        <v>0</v>
      </c>
      <c r="M171" s="3097">
        <f>+M172+M173</f>
        <v>4776578</v>
      </c>
      <c r="N171" s="3097">
        <f>+N172+N173</f>
        <v>4743644</v>
      </c>
      <c r="O171" s="1887"/>
      <c r="P171" s="2455"/>
    </row>
    <row r="172" spans="1:16" s="2454" customFormat="1" ht="15" hidden="1" customHeight="1">
      <c r="A172" s="3773"/>
      <c r="B172" s="1899" t="s">
        <v>12</v>
      </c>
      <c r="C172" s="3763"/>
      <c r="D172" s="3098">
        <f t="shared" si="120"/>
        <v>4783363</v>
      </c>
      <c r="E172" s="3099">
        <v>6785</v>
      </c>
      <c r="F172" s="3098">
        <f>2771900+1650960-4222860-196679+14324+15289</f>
        <v>32934</v>
      </c>
      <c r="G172" s="3098">
        <f>1331570+1528290+1746993-424083+157710-2889542-1412421-3275</f>
        <v>35242</v>
      </c>
      <c r="H172" s="3098">
        <f>2870218+1290507-735496</f>
        <v>3425229</v>
      </c>
      <c r="I172" s="3098">
        <f>5000+1274578+3595</f>
        <v>1283173</v>
      </c>
      <c r="J172" s="3098"/>
      <c r="K172" s="3098"/>
      <c r="L172" s="3098"/>
      <c r="M172" s="2778">
        <f>SUM(F172:K172)</f>
        <v>4776578</v>
      </c>
      <c r="N172" s="2778">
        <f>SUM(G172:L172)</f>
        <v>4743644</v>
      </c>
      <c r="O172" s="1887"/>
      <c r="P172" s="2455"/>
    </row>
    <row r="173" spans="1:16" s="2454" customFormat="1" ht="17.25" hidden="1" customHeight="1">
      <c r="A173" s="3773"/>
      <c r="B173" s="1899" t="s">
        <v>54</v>
      </c>
      <c r="C173" s="3763"/>
      <c r="D173" s="3100">
        <f t="shared" si="120"/>
        <v>0</v>
      </c>
      <c r="E173" s="3101"/>
      <c r="F173" s="3100"/>
      <c r="G173" s="3100"/>
      <c r="H173" s="3100"/>
      <c r="I173" s="3100"/>
      <c r="J173" s="3100"/>
      <c r="K173" s="3100"/>
      <c r="L173" s="3100"/>
      <c r="M173" s="2778">
        <f>SUM(F173:K173)</f>
        <v>0</v>
      </c>
      <c r="N173" s="2778">
        <f>SUM(G173:L173)</f>
        <v>0</v>
      </c>
      <c r="O173" s="1887"/>
      <c r="P173" s="2455"/>
    </row>
    <row r="174" spans="1:16" s="2970" customFormat="1" ht="15.75" hidden="1" customHeight="1">
      <c r="A174" s="3773"/>
      <c r="B174" s="699" t="s">
        <v>18</v>
      </c>
      <c r="C174" s="3763"/>
      <c r="D174" s="3095">
        <f t="shared" si="120"/>
        <v>28250000</v>
      </c>
      <c r="E174" s="3095">
        <f>+E175</f>
        <v>353592</v>
      </c>
      <c r="F174" s="3095">
        <f>+F175</f>
        <v>986569</v>
      </c>
      <c r="G174" s="3095">
        <f t="shared" ref="G174:L174" si="125">+G175</f>
        <v>1782033</v>
      </c>
      <c r="H174" s="3095">
        <f t="shared" si="125"/>
        <v>8574771</v>
      </c>
      <c r="I174" s="3095">
        <f t="shared" si="125"/>
        <v>16553035</v>
      </c>
      <c r="J174" s="3095">
        <f t="shared" si="125"/>
        <v>0</v>
      </c>
      <c r="K174" s="3095">
        <f t="shared" si="125"/>
        <v>0</v>
      </c>
      <c r="L174" s="3095">
        <f t="shared" si="125"/>
        <v>0</v>
      </c>
      <c r="M174" s="3097">
        <f>+M175</f>
        <v>27896408</v>
      </c>
      <c r="N174" s="3097">
        <f>+N175</f>
        <v>26909839</v>
      </c>
      <c r="O174" s="1887"/>
      <c r="P174" s="662"/>
    </row>
    <row r="175" spans="1:16" s="2454" customFormat="1" ht="13.5" hidden="1" customHeight="1" thickBot="1">
      <c r="A175" s="3774"/>
      <c r="B175" s="3073" t="s">
        <v>20</v>
      </c>
      <c r="C175" s="3763"/>
      <c r="D175" s="3098">
        <f t="shared" si="120"/>
        <v>28250000</v>
      </c>
      <c r="E175" s="3099">
        <f>+E176+E177</f>
        <v>353592</v>
      </c>
      <c r="F175" s="3099">
        <f>+F176+F177</f>
        <v>986569</v>
      </c>
      <c r="G175" s="3099">
        <f t="shared" ref="G175:L175" si="126">+G176+G177</f>
        <v>1782033</v>
      </c>
      <c r="H175" s="3099">
        <f t="shared" si="126"/>
        <v>8574771</v>
      </c>
      <c r="I175" s="3099">
        <f t="shared" si="126"/>
        <v>16553035</v>
      </c>
      <c r="J175" s="3099">
        <f t="shared" si="126"/>
        <v>0</v>
      </c>
      <c r="K175" s="3099">
        <f t="shared" si="126"/>
        <v>0</v>
      </c>
      <c r="L175" s="3099">
        <f t="shared" si="126"/>
        <v>0</v>
      </c>
      <c r="M175" s="2778">
        <f>+M176+M177</f>
        <v>27896408</v>
      </c>
      <c r="N175" s="2778">
        <f>+N176+N177</f>
        <v>26909839</v>
      </c>
      <c r="O175" s="1887"/>
      <c r="P175" s="2455"/>
    </row>
    <row r="176" spans="1:16" s="2454" customFormat="1" ht="27" hidden="1" customHeight="1" thickBot="1">
      <c r="A176" s="3732"/>
      <c r="B176" s="3074" t="s">
        <v>264</v>
      </c>
      <c r="C176" s="3763"/>
      <c r="D176" s="3100">
        <f t="shared" si="120"/>
        <v>18000000</v>
      </c>
      <c r="E176" s="3100">
        <f>360377-6785</f>
        <v>353592</v>
      </c>
      <c r="F176" s="3100">
        <f>6627800+624800-3893137-346286-1929747-81572-15289</f>
        <v>986569</v>
      </c>
      <c r="G176" s="3100">
        <f>8003000+624800+1372200+2609637-7314788-2168789-1344027</f>
        <v>1782033</v>
      </c>
      <c r="H176" s="3100">
        <f>3584737+432072+5314788+1929747+81572-5768145</f>
        <v>5574771</v>
      </c>
      <c r="I176" s="3100">
        <f>7959008+1344027</f>
        <v>9303035</v>
      </c>
      <c r="J176" s="3100">
        <v>0</v>
      </c>
      <c r="K176" s="3100">
        <v>0</v>
      </c>
      <c r="L176" s="3100">
        <v>0</v>
      </c>
      <c r="M176" s="2778">
        <f>SUM(F176:K176)</f>
        <v>17646408</v>
      </c>
      <c r="N176" s="2778">
        <f>SUM(G176:L176)</f>
        <v>16659839</v>
      </c>
      <c r="O176" s="1887"/>
      <c r="P176" s="2455"/>
    </row>
    <row r="177" spans="1:16" s="2454" customFormat="1" ht="21.75" hidden="1" customHeight="1" thickBot="1">
      <c r="A177" s="3732"/>
      <c r="B177" s="3074" t="s">
        <v>265</v>
      </c>
      <c r="C177" s="3764"/>
      <c r="D177" s="3100">
        <f t="shared" si="120"/>
        <v>10250000</v>
      </c>
      <c r="E177" s="3101">
        <v>0</v>
      </c>
      <c r="F177" s="3100">
        <f>3000000-3000000</f>
        <v>0</v>
      </c>
      <c r="G177" s="3100">
        <f>7000000+143000-583000-2342700-2034502-2144085-38713</f>
        <v>0</v>
      </c>
      <c r="H177" s="3100">
        <f>2857000+833000+2295496+2081706-2544380-2522822</f>
        <v>3000000</v>
      </c>
      <c r="I177" s="3100">
        <f>4688465+2561535</f>
        <v>7250000</v>
      </c>
      <c r="J177" s="3100">
        <v>0</v>
      </c>
      <c r="K177" s="3100">
        <v>0</v>
      </c>
      <c r="L177" s="3100">
        <v>0</v>
      </c>
      <c r="M177" s="2778">
        <f>SUM(F177:K177)</f>
        <v>10250000</v>
      </c>
      <c r="N177" s="2778">
        <f>SUM(G177:L177)</f>
        <v>10250000</v>
      </c>
      <c r="O177" s="1887"/>
      <c r="P177" s="2455"/>
    </row>
    <row r="178" spans="1:16" s="2454" customFormat="1" ht="17.25" hidden="1" customHeight="1" thickBot="1">
      <c r="A178" s="3732"/>
      <c r="B178" s="182" t="s">
        <v>267</v>
      </c>
      <c r="C178" s="169"/>
      <c r="D178" s="3094">
        <f t="shared" ref="D178:L178" si="127">+D179+D181</f>
        <v>28250000</v>
      </c>
      <c r="E178" s="3094">
        <f t="shared" ref="E178" si="128">+E179+E181</f>
        <v>219395</v>
      </c>
      <c r="F178" s="3094">
        <f t="shared" si="127"/>
        <v>1022720</v>
      </c>
      <c r="G178" s="3094">
        <f t="shared" si="127"/>
        <v>1634324</v>
      </c>
      <c r="H178" s="3094">
        <f t="shared" si="127"/>
        <v>8320526</v>
      </c>
      <c r="I178" s="3094">
        <f t="shared" si="127"/>
        <v>17053035</v>
      </c>
      <c r="J178" s="3094">
        <f t="shared" si="127"/>
        <v>0</v>
      </c>
      <c r="K178" s="3094">
        <f t="shared" si="127"/>
        <v>0</v>
      </c>
      <c r="L178" s="3094">
        <f t="shared" si="127"/>
        <v>0</v>
      </c>
      <c r="M178" s="3812" t="s">
        <v>53</v>
      </c>
      <c r="N178" s="3812" t="s">
        <v>53</v>
      </c>
      <c r="O178" s="1887"/>
      <c r="P178" s="2455"/>
    </row>
    <row r="179" spans="1:16" s="2454" customFormat="1" ht="13.5" hidden="1" customHeight="1" thickBot="1">
      <c r="A179" s="3732"/>
      <c r="B179" s="220" t="s">
        <v>23</v>
      </c>
      <c r="C179" s="3762" t="s">
        <v>275</v>
      </c>
      <c r="D179" s="3095">
        <f t="shared" ref="D179:D184" si="129">SUM(E179:L179)</f>
        <v>0</v>
      </c>
      <c r="E179" s="3096">
        <f t="shared" ref="E179:L179" si="130">+E180</f>
        <v>0</v>
      </c>
      <c r="F179" s="3096">
        <f t="shared" si="130"/>
        <v>0</v>
      </c>
      <c r="G179" s="3096">
        <f t="shared" si="130"/>
        <v>0</v>
      </c>
      <c r="H179" s="3096">
        <f t="shared" si="130"/>
        <v>0</v>
      </c>
      <c r="I179" s="3096">
        <f t="shared" si="130"/>
        <v>0</v>
      </c>
      <c r="J179" s="3096">
        <f t="shared" si="130"/>
        <v>0</v>
      </c>
      <c r="K179" s="3096">
        <f t="shared" si="130"/>
        <v>0</v>
      </c>
      <c r="L179" s="3096">
        <f t="shared" si="130"/>
        <v>0</v>
      </c>
      <c r="M179" s="3662"/>
      <c r="N179" s="3662"/>
      <c r="O179" s="1887"/>
      <c r="P179" s="2455"/>
    </row>
    <row r="180" spans="1:16" s="2454" customFormat="1" ht="15" hidden="1" customHeight="1" thickBot="1">
      <c r="A180" s="3732"/>
      <c r="B180" s="1899" t="s">
        <v>54</v>
      </c>
      <c r="C180" s="3764"/>
      <c r="D180" s="3100">
        <f t="shared" si="129"/>
        <v>0</v>
      </c>
      <c r="E180" s="3100"/>
      <c r="F180" s="3100"/>
      <c r="G180" s="3100"/>
      <c r="H180" s="3100"/>
      <c r="I180" s="3100"/>
      <c r="J180" s="3100"/>
      <c r="K180" s="3100"/>
      <c r="L180" s="3100"/>
      <c r="M180" s="3662"/>
      <c r="N180" s="3662"/>
      <c r="O180" s="1887"/>
      <c r="P180" s="2455"/>
    </row>
    <row r="181" spans="1:16" s="2454" customFormat="1" ht="18.75" hidden="1" customHeight="1" thickBot="1">
      <c r="A181" s="3732"/>
      <c r="B181" s="699" t="s">
        <v>18</v>
      </c>
      <c r="C181" s="3762" t="s">
        <v>281</v>
      </c>
      <c r="D181" s="3095">
        <f t="shared" si="129"/>
        <v>28250000</v>
      </c>
      <c r="E181" s="3096">
        <f t="shared" ref="E181:L181" si="131">+E182</f>
        <v>219395</v>
      </c>
      <c r="F181" s="3096">
        <f t="shared" si="131"/>
        <v>1022720</v>
      </c>
      <c r="G181" s="3096">
        <f t="shared" si="131"/>
        <v>1634324</v>
      </c>
      <c r="H181" s="3096">
        <f t="shared" si="131"/>
        <v>8320526</v>
      </c>
      <c r="I181" s="3096">
        <f t="shared" si="131"/>
        <v>17053035</v>
      </c>
      <c r="J181" s="3096">
        <f t="shared" si="131"/>
        <v>0</v>
      </c>
      <c r="K181" s="3096">
        <f t="shared" si="131"/>
        <v>0</v>
      </c>
      <c r="L181" s="3096">
        <f t="shared" si="131"/>
        <v>0</v>
      </c>
      <c r="M181" s="3662"/>
      <c r="N181" s="3662"/>
      <c r="O181" s="1887"/>
      <c r="P181" s="2455"/>
    </row>
    <row r="182" spans="1:16" s="2454" customFormat="1" ht="18" hidden="1" customHeight="1" thickBot="1">
      <c r="A182" s="3732"/>
      <c r="B182" s="376" t="s">
        <v>20</v>
      </c>
      <c r="C182" s="3769"/>
      <c r="D182" s="3098">
        <f t="shared" si="129"/>
        <v>28250000</v>
      </c>
      <c r="E182" s="3098">
        <f t="shared" ref="E182:L182" si="132">+E183+E184</f>
        <v>219395</v>
      </c>
      <c r="F182" s="3098">
        <f t="shared" si="132"/>
        <v>1022720</v>
      </c>
      <c r="G182" s="3098">
        <f t="shared" si="132"/>
        <v>1634324</v>
      </c>
      <c r="H182" s="3098">
        <f t="shared" si="132"/>
        <v>8320526</v>
      </c>
      <c r="I182" s="3098">
        <f t="shared" si="132"/>
        <v>17053035</v>
      </c>
      <c r="J182" s="3098">
        <f t="shared" si="132"/>
        <v>0</v>
      </c>
      <c r="K182" s="3098">
        <f t="shared" si="132"/>
        <v>0</v>
      </c>
      <c r="L182" s="3098">
        <f t="shared" si="132"/>
        <v>0</v>
      </c>
      <c r="M182" s="3662"/>
      <c r="N182" s="3662"/>
      <c r="O182" s="1887"/>
      <c r="P182" s="2455"/>
    </row>
    <row r="183" spans="1:16" s="2454" customFormat="1" ht="22.5" hidden="1" customHeight="1" thickBot="1">
      <c r="A183" s="3102"/>
      <c r="B183" s="1883" t="s">
        <v>270</v>
      </c>
      <c r="C183" s="3103" t="s">
        <v>237</v>
      </c>
      <c r="D183" s="3100">
        <f t="shared" si="129"/>
        <v>18000000</v>
      </c>
      <c r="E183" s="3100">
        <f>226180-6785</f>
        <v>219395</v>
      </c>
      <c r="F183" s="3100">
        <f>6627800+624800-3893137-212089-2062295-62359</f>
        <v>1022720</v>
      </c>
      <c r="G183" s="3100">
        <f>8003000+624800+1372200+2609637-7314788-2611664-1048861</f>
        <v>1634324</v>
      </c>
      <c r="H183" s="3100">
        <f>3584737+432072+5314788+2062295-50976-5325270-197120</f>
        <v>5820526</v>
      </c>
      <c r="I183" s="3100">
        <f>113335+7943719+1245981</f>
        <v>9303035</v>
      </c>
      <c r="J183" s="3100"/>
      <c r="K183" s="3100"/>
      <c r="L183" s="3100"/>
      <c r="M183" s="3662"/>
      <c r="N183" s="3662"/>
      <c r="O183" s="1887"/>
      <c r="P183" s="2455"/>
    </row>
    <row r="184" spans="1:16" s="2454" customFormat="1" ht="24" hidden="1" customHeight="1" thickBot="1">
      <c r="A184" s="3102"/>
      <c r="B184" s="3074" t="s">
        <v>271</v>
      </c>
      <c r="C184" s="3103" t="s">
        <v>214</v>
      </c>
      <c r="D184" s="3098">
        <f t="shared" si="129"/>
        <v>10250000</v>
      </c>
      <c r="E184" s="3099"/>
      <c r="F184" s="3098">
        <f>3000000-3000000</f>
        <v>0</v>
      </c>
      <c r="G184" s="3098">
        <f>7000000+143000-583000-2342700-2034502-2182798</f>
        <v>0</v>
      </c>
      <c r="H184" s="3098">
        <f>2857000+833000+2295496+2081706-2505667-3061535</f>
        <v>2500000</v>
      </c>
      <c r="I184" s="3098">
        <f>4688465+3061535</f>
        <v>7750000</v>
      </c>
      <c r="J184" s="3098"/>
      <c r="K184" s="3098"/>
      <c r="L184" s="3098"/>
      <c r="M184" s="3813"/>
      <c r="N184" s="3813"/>
      <c r="O184" s="1887"/>
      <c r="P184" s="2455"/>
    </row>
    <row r="185" spans="1:16" s="2454" customFormat="1" ht="15" hidden="1" customHeight="1" thickBot="1">
      <c r="A185" s="3732" t="s">
        <v>291</v>
      </c>
      <c r="B185" s="1893" t="s">
        <v>272</v>
      </c>
      <c r="C185" s="3063" t="s">
        <v>101</v>
      </c>
      <c r="D185" s="3104"/>
      <c r="E185" s="3105"/>
      <c r="F185" s="3106"/>
      <c r="G185" s="3106"/>
      <c r="H185" s="3106"/>
      <c r="I185" s="3106"/>
      <c r="J185" s="3106"/>
      <c r="K185" s="3106"/>
      <c r="L185" s="3107"/>
      <c r="M185" s="3108"/>
      <c r="N185" s="3108"/>
      <c r="O185" s="1887"/>
      <c r="P185" s="2455"/>
    </row>
    <row r="186" spans="1:16" s="2454" customFormat="1" ht="13.5" hidden="1" customHeight="1" thickBot="1">
      <c r="A186" s="3732"/>
      <c r="B186" s="3109" t="s">
        <v>10</v>
      </c>
      <c r="C186" s="3110"/>
      <c r="D186" s="1186">
        <f>+D187+D189</f>
        <v>0</v>
      </c>
      <c r="E186" s="1186">
        <v>0</v>
      </c>
      <c r="F186" s="1186">
        <f t="shared" ref="F186:L186" si="133">+F187+F189</f>
        <v>0</v>
      </c>
      <c r="G186" s="1186">
        <f t="shared" si="133"/>
        <v>0</v>
      </c>
      <c r="H186" s="1186">
        <f t="shared" si="133"/>
        <v>0</v>
      </c>
      <c r="I186" s="1186">
        <f t="shared" si="133"/>
        <v>0</v>
      </c>
      <c r="J186" s="1186">
        <f t="shared" si="133"/>
        <v>0</v>
      </c>
      <c r="K186" s="1186">
        <f t="shared" si="133"/>
        <v>0</v>
      </c>
      <c r="L186" s="1186">
        <f t="shared" si="133"/>
        <v>0</v>
      </c>
      <c r="M186" s="3111">
        <f>+M187+M189</f>
        <v>0</v>
      </c>
      <c r="N186" s="3111">
        <f>+N187+N189</f>
        <v>0</v>
      </c>
      <c r="O186" s="1887"/>
      <c r="P186" s="2455"/>
    </row>
    <row r="187" spans="1:16" s="2454" customFormat="1" ht="13.5" hidden="1" customHeight="1" thickBot="1">
      <c r="A187" s="3732"/>
      <c r="B187" s="2373" t="s">
        <v>23</v>
      </c>
      <c r="C187" s="3817" t="s">
        <v>275</v>
      </c>
      <c r="D187" s="3076">
        <f>SUM(E187:L187)</f>
        <v>0</v>
      </c>
      <c r="E187" s="3077">
        <v>0</v>
      </c>
      <c r="F187" s="3077">
        <f t="shared" ref="F187:L187" si="134">+F188</f>
        <v>0</v>
      </c>
      <c r="G187" s="3077">
        <f t="shared" si="134"/>
        <v>0</v>
      </c>
      <c r="H187" s="3077">
        <f t="shared" si="134"/>
        <v>0</v>
      </c>
      <c r="I187" s="3077">
        <f t="shared" si="134"/>
        <v>0</v>
      </c>
      <c r="J187" s="3077">
        <f t="shared" si="134"/>
        <v>0</v>
      </c>
      <c r="K187" s="3077">
        <f t="shared" si="134"/>
        <v>0</v>
      </c>
      <c r="L187" s="3077">
        <f t="shared" si="134"/>
        <v>0</v>
      </c>
      <c r="M187" s="3112">
        <f t="shared" ref="M187:N191" si="135">SUM(D187:K187)</f>
        <v>0</v>
      </c>
      <c r="N187" s="3112">
        <f t="shared" si="135"/>
        <v>0</v>
      </c>
      <c r="O187" s="1887"/>
      <c r="P187" s="2455"/>
    </row>
    <row r="188" spans="1:16" s="2454" customFormat="1" ht="13.5" hidden="1" customHeight="1" thickBot="1">
      <c r="A188" s="3732"/>
      <c r="B188" s="3113" t="s">
        <v>12</v>
      </c>
      <c r="C188" s="3818"/>
      <c r="D188" s="3079">
        <f>SUM(E188:L188)</f>
        <v>0</v>
      </c>
      <c r="E188" s="3114">
        <v>0</v>
      </c>
      <c r="F188" s="3079">
        <v>0</v>
      </c>
      <c r="G188" s="3079">
        <v>0</v>
      </c>
      <c r="H188" s="3079">
        <v>0</v>
      </c>
      <c r="I188" s="3079">
        <v>0</v>
      </c>
      <c r="J188" s="3079">
        <v>0</v>
      </c>
      <c r="K188" s="3079">
        <v>0</v>
      </c>
      <c r="L188" s="3079"/>
      <c r="M188" s="3115">
        <f t="shared" si="135"/>
        <v>0</v>
      </c>
      <c r="N188" s="3115">
        <f t="shared" si="135"/>
        <v>0</v>
      </c>
      <c r="O188" s="1887"/>
      <c r="P188" s="2455"/>
    </row>
    <row r="189" spans="1:16" s="2454" customFormat="1" ht="13.5" hidden="1" customHeight="1" thickBot="1">
      <c r="A189" s="3732"/>
      <c r="B189" s="81" t="s">
        <v>18</v>
      </c>
      <c r="C189" s="3759" t="s">
        <v>140</v>
      </c>
      <c r="D189" s="3076">
        <f>SUM(E189:L189)</f>
        <v>0</v>
      </c>
      <c r="E189" s="3077">
        <v>0</v>
      </c>
      <c r="F189" s="3077">
        <f t="shared" ref="F189:L189" si="136">+F190</f>
        <v>0</v>
      </c>
      <c r="G189" s="3077">
        <f t="shared" si="136"/>
        <v>0</v>
      </c>
      <c r="H189" s="3077">
        <f t="shared" si="136"/>
        <v>0</v>
      </c>
      <c r="I189" s="3077">
        <f t="shared" si="136"/>
        <v>0</v>
      </c>
      <c r="J189" s="3077">
        <f t="shared" si="136"/>
        <v>0</v>
      </c>
      <c r="K189" s="3077">
        <f t="shared" si="136"/>
        <v>0</v>
      </c>
      <c r="L189" s="3077">
        <f t="shared" si="136"/>
        <v>0</v>
      </c>
      <c r="M189" s="3112">
        <f t="shared" si="135"/>
        <v>0</v>
      </c>
      <c r="N189" s="3112">
        <f t="shared" si="135"/>
        <v>0</v>
      </c>
      <c r="O189" s="1887"/>
      <c r="P189" s="2455"/>
    </row>
    <row r="190" spans="1:16" s="2454" customFormat="1" ht="13.5" hidden="1" customHeight="1" thickBot="1">
      <c r="A190" s="3732"/>
      <c r="B190" s="3073" t="s">
        <v>20</v>
      </c>
      <c r="C190" s="3765"/>
      <c r="D190" s="3078">
        <f>SUM(E190:L190)</f>
        <v>0</v>
      </c>
      <c r="E190" s="356">
        <v>0</v>
      </c>
      <c r="F190" s="356">
        <f t="shared" ref="F190:L190" si="137">+F191</f>
        <v>0</v>
      </c>
      <c r="G190" s="356">
        <f t="shared" si="137"/>
        <v>0</v>
      </c>
      <c r="H190" s="356">
        <f t="shared" si="137"/>
        <v>0</v>
      </c>
      <c r="I190" s="356">
        <f t="shared" si="137"/>
        <v>0</v>
      </c>
      <c r="J190" s="356">
        <f t="shared" si="137"/>
        <v>0</v>
      </c>
      <c r="K190" s="356">
        <f t="shared" si="137"/>
        <v>0</v>
      </c>
      <c r="L190" s="356">
        <f t="shared" si="137"/>
        <v>0</v>
      </c>
      <c r="M190" s="3116">
        <f t="shared" si="135"/>
        <v>0</v>
      </c>
      <c r="N190" s="3116">
        <f t="shared" si="135"/>
        <v>0</v>
      </c>
      <c r="O190" s="1887"/>
      <c r="P190" s="2455"/>
    </row>
    <row r="191" spans="1:16" s="2454" customFormat="1" ht="22.5" hidden="1" customHeight="1" thickBot="1">
      <c r="A191" s="3732"/>
      <c r="B191" s="3117" t="s">
        <v>269</v>
      </c>
      <c r="C191" s="3766"/>
      <c r="D191" s="3079">
        <f>SUM(E191:L191)</f>
        <v>0</v>
      </c>
      <c r="E191" s="3114">
        <v>0</v>
      </c>
      <c r="F191" s="3079">
        <v>0</v>
      </c>
      <c r="G191" s="3079">
        <f>312400-312400</f>
        <v>0</v>
      </c>
      <c r="H191" s="3079">
        <f>624800-624800</f>
        <v>0</v>
      </c>
      <c r="I191" s="3079">
        <f>625000-625000</f>
        <v>0</v>
      </c>
      <c r="J191" s="3079">
        <v>0</v>
      </c>
      <c r="K191" s="3079">
        <v>0</v>
      </c>
      <c r="L191" s="3079">
        <v>0</v>
      </c>
      <c r="M191" s="3115">
        <f t="shared" si="135"/>
        <v>0</v>
      </c>
      <c r="N191" s="3115">
        <f t="shared" si="135"/>
        <v>0</v>
      </c>
      <c r="O191" s="1887"/>
      <c r="P191" s="2455"/>
    </row>
    <row r="192" spans="1:16" s="2454" customFormat="1" ht="13.5" hidden="1" customHeight="1" thickBot="1">
      <c r="A192" s="3732"/>
      <c r="B192" s="80" t="s">
        <v>267</v>
      </c>
      <c r="C192" s="173"/>
      <c r="D192" s="333">
        <f>+D193</f>
        <v>0</v>
      </c>
      <c r="E192" s="333">
        <v>0</v>
      </c>
      <c r="F192" s="333">
        <f t="shared" ref="F192:L192" si="138">+F193</f>
        <v>0</v>
      </c>
      <c r="G192" s="333">
        <f t="shared" si="138"/>
        <v>0</v>
      </c>
      <c r="H192" s="333">
        <f t="shared" si="138"/>
        <v>0</v>
      </c>
      <c r="I192" s="333">
        <f t="shared" si="138"/>
        <v>0</v>
      </c>
      <c r="J192" s="333">
        <f t="shared" si="138"/>
        <v>0</v>
      </c>
      <c r="K192" s="333">
        <f t="shared" si="138"/>
        <v>0</v>
      </c>
      <c r="L192" s="333">
        <f t="shared" si="138"/>
        <v>0</v>
      </c>
      <c r="M192" s="3761" t="s">
        <v>53</v>
      </c>
      <c r="N192" s="3761" t="s">
        <v>53</v>
      </c>
      <c r="O192" s="1887"/>
      <c r="P192" s="2455"/>
    </row>
    <row r="193" spans="1:16" s="2454" customFormat="1" ht="13.5" hidden="1" customHeight="1" thickBot="1">
      <c r="A193" s="3732"/>
      <c r="B193" s="81" t="s">
        <v>18</v>
      </c>
      <c r="C193" s="3759" t="s">
        <v>237</v>
      </c>
      <c r="D193" s="3076">
        <f>SUM(E193:L193)</f>
        <v>0</v>
      </c>
      <c r="E193" s="363">
        <v>0</v>
      </c>
      <c r="F193" s="363">
        <f t="shared" ref="F193:L194" si="139">+F194</f>
        <v>0</v>
      </c>
      <c r="G193" s="363">
        <f t="shared" si="139"/>
        <v>0</v>
      </c>
      <c r="H193" s="363">
        <f t="shared" si="139"/>
        <v>0</v>
      </c>
      <c r="I193" s="363">
        <f t="shared" si="139"/>
        <v>0</v>
      </c>
      <c r="J193" s="363">
        <f t="shared" si="139"/>
        <v>0</v>
      </c>
      <c r="K193" s="363">
        <f t="shared" si="139"/>
        <v>0</v>
      </c>
      <c r="L193" s="363">
        <f t="shared" si="139"/>
        <v>0</v>
      </c>
      <c r="M193" s="3654"/>
      <c r="N193" s="3654"/>
      <c r="O193" s="1887"/>
      <c r="P193" s="2455"/>
    </row>
    <row r="194" spans="1:16" s="2454" customFormat="1" ht="13.5" hidden="1" customHeight="1" thickBot="1">
      <c r="A194" s="3732"/>
      <c r="B194" s="79" t="s">
        <v>20</v>
      </c>
      <c r="C194" s="3760"/>
      <c r="D194" s="3118">
        <f>SUM(E194:L194)</f>
        <v>0</v>
      </c>
      <c r="E194" s="3119">
        <v>0</v>
      </c>
      <c r="F194" s="3119">
        <f t="shared" si="139"/>
        <v>0</v>
      </c>
      <c r="G194" s="3119">
        <f t="shared" si="139"/>
        <v>0</v>
      </c>
      <c r="H194" s="3119">
        <f t="shared" si="139"/>
        <v>0</v>
      </c>
      <c r="I194" s="3119">
        <f t="shared" si="139"/>
        <v>0</v>
      </c>
      <c r="J194" s="3119">
        <f t="shared" si="139"/>
        <v>0</v>
      </c>
      <c r="K194" s="3119">
        <f t="shared" si="139"/>
        <v>0</v>
      </c>
      <c r="L194" s="3119">
        <f t="shared" si="139"/>
        <v>0</v>
      </c>
      <c r="M194" s="3655"/>
      <c r="N194" s="3655"/>
      <c r="O194" s="1892"/>
      <c r="P194" s="2455">
        <f>+D190+D201</f>
        <v>41000000</v>
      </c>
    </row>
    <row r="195" spans="1:16" s="2454" customFormat="1" ht="12" hidden="1" customHeight="1" thickBot="1">
      <c r="A195" s="3102"/>
      <c r="B195" s="3120" t="s">
        <v>264</v>
      </c>
      <c r="C195" s="3121"/>
      <c r="D195" s="3122">
        <f>SUM(E195:L195)</f>
        <v>0</v>
      </c>
      <c r="E195" s="3123"/>
      <c r="F195" s="3122">
        <v>0</v>
      </c>
      <c r="G195" s="3122">
        <f>312400-312400</f>
        <v>0</v>
      </c>
      <c r="H195" s="3122">
        <f>624800-624800</f>
        <v>0</v>
      </c>
      <c r="I195" s="3122">
        <f>625000-625000</f>
        <v>0</v>
      </c>
      <c r="J195" s="3124"/>
      <c r="K195" s="3124"/>
      <c r="L195" s="3122"/>
      <c r="M195" s="3125"/>
      <c r="N195" s="3125"/>
      <c r="O195" s="1892"/>
      <c r="P195" s="2455"/>
    </row>
    <row r="196" spans="1:16" s="2454" customFormat="1" ht="16.5" hidden="1" customHeight="1" thickBot="1">
      <c r="A196" s="3732" t="s">
        <v>290</v>
      </c>
      <c r="B196" s="1893" t="s">
        <v>272</v>
      </c>
      <c r="C196" s="2779" t="s">
        <v>74</v>
      </c>
      <c r="D196" s="1894"/>
      <c r="E196" s="1895"/>
      <c r="F196" s="1896"/>
      <c r="G196" s="1896"/>
      <c r="H196" s="1896"/>
      <c r="I196" s="1896"/>
      <c r="J196" s="1896"/>
      <c r="K196" s="1896"/>
      <c r="L196" s="1897"/>
      <c r="M196" s="2575"/>
      <c r="N196" s="2575"/>
      <c r="O196" s="1887"/>
      <c r="P196" s="2455"/>
    </row>
    <row r="197" spans="1:16" s="2454" customFormat="1" ht="13.5" hidden="1" customHeight="1" thickBot="1">
      <c r="A197" s="3732"/>
      <c r="B197" s="80" t="s">
        <v>10</v>
      </c>
      <c r="C197" s="2780"/>
      <c r="D197" s="1186">
        <f t="shared" ref="D197:N197" si="140">+D198+D201</f>
        <v>65118747</v>
      </c>
      <c r="E197" s="1186">
        <v>0</v>
      </c>
      <c r="F197" s="1186">
        <f t="shared" si="140"/>
        <v>0</v>
      </c>
      <c r="G197" s="1186">
        <f t="shared" si="140"/>
        <v>0</v>
      </c>
      <c r="H197" s="1186">
        <f t="shared" si="140"/>
        <v>6000000</v>
      </c>
      <c r="I197" s="1186">
        <f t="shared" si="140"/>
        <v>31059374</v>
      </c>
      <c r="J197" s="1186">
        <f t="shared" si="140"/>
        <v>28059373</v>
      </c>
      <c r="K197" s="1186">
        <f t="shared" si="140"/>
        <v>0</v>
      </c>
      <c r="L197" s="1186">
        <f t="shared" si="140"/>
        <v>0</v>
      </c>
      <c r="M197" s="336">
        <f t="shared" ref="M197" si="141">+M198+M201</f>
        <v>65118747</v>
      </c>
      <c r="N197" s="336">
        <f t="shared" si="140"/>
        <v>65118747</v>
      </c>
      <c r="O197" s="1887"/>
      <c r="P197" s="2455"/>
    </row>
    <row r="198" spans="1:16" s="2454" customFormat="1" ht="13.5" hidden="1" customHeight="1" thickBot="1">
      <c r="A198" s="3732"/>
      <c r="B198" s="2619" t="s">
        <v>23</v>
      </c>
      <c r="C198" s="3762" t="s">
        <v>275</v>
      </c>
      <c r="D198" s="1898">
        <f>SUM(E198:L198)</f>
        <v>24118747</v>
      </c>
      <c r="E198" s="321">
        <v>0</v>
      </c>
      <c r="F198" s="321">
        <f>+F199+F200</f>
        <v>0</v>
      </c>
      <c r="G198" s="321">
        <f>+G199+G200</f>
        <v>0</v>
      </c>
      <c r="H198" s="321">
        <f>+H199+H200</f>
        <v>2000000</v>
      </c>
      <c r="I198" s="321">
        <f>+I199+I200</f>
        <v>11059374</v>
      </c>
      <c r="J198" s="321">
        <f t="shared" ref="J198:L198" si="142">+J199+J200</f>
        <v>11059373</v>
      </c>
      <c r="K198" s="321">
        <f t="shared" si="142"/>
        <v>0</v>
      </c>
      <c r="L198" s="321">
        <f t="shared" si="142"/>
        <v>0</v>
      </c>
      <c r="M198" s="2781">
        <f>SUM(F198:L198)</f>
        <v>24118747</v>
      </c>
      <c r="N198" s="2781">
        <f>SUM(E198:L198)</f>
        <v>24118747</v>
      </c>
      <c r="O198" s="1887"/>
      <c r="P198" s="2455"/>
    </row>
    <row r="199" spans="1:16" s="2454" customFormat="1" ht="13.5" hidden="1" customHeight="1" thickBot="1">
      <c r="A199" s="3732"/>
      <c r="B199" s="1899" t="s">
        <v>12</v>
      </c>
      <c r="C199" s="3763"/>
      <c r="D199" s="1900">
        <f>SUM(E199:L199)</f>
        <v>24118747</v>
      </c>
      <c r="E199" s="322"/>
      <c r="F199" s="1900">
        <v>0</v>
      </c>
      <c r="G199" s="1900">
        <f>298890-145175+17079-170794</f>
        <v>0</v>
      </c>
      <c r="H199" s="1900">
        <f>4006159-2149730+11478766-1254345+1284139-1290507-10074482</f>
        <v>2000000</v>
      </c>
      <c r="I199" s="1900">
        <f>825200-119869+1136000+9043924+1438489-1284139+98690-78921</f>
        <v>11059374</v>
      </c>
      <c r="J199" s="1900">
        <v>11059373</v>
      </c>
      <c r="K199" s="1900"/>
      <c r="L199" s="1900"/>
      <c r="M199" s="2778">
        <f>SUM(F199:K199)</f>
        <v>24118747</v>
      </c>
      <c r="N199" s="2778">
        <f>SUM(G199:L199)</f>
        <v>24118747</v>
      </c>
      <c r="O199" s="1887"/>
      <c r="P199" s="2455"/>
    </row>
    <row r="200" spans="1:16" s="2454" customFormat="1" ht="13.5" hidden="1" customHeight="1" thickBot="1">
      <c r="A200" s="3732"/>
      <c r="B200" s="1899" t="s">
        <v>16</v>
      </c>
      <c r="C200" s="3763"/>
      <c r="D200" s="1900">
        <f>SUM(E200:L200)</f>
        <v>0</v>
      </c>
      <c r="E200" s="322"/>
      <c r="F200" s="1900">
        <v>0</v>
      </c>
      <c r="G200" s="1900">
        <f>277300-277300</f>
        <v>0</v>
      </c>
      <c r="H200" s="1900">
        <f>3328200-3328200</f>
        <v>0</v>
      </c>
      <c r="I200" s="1900">
        <f>1394500+277300-1671800</f>
        <v>0</v>
      </c>
      <c r="J200" s="1900"/>
      <c r="K200" s="1900"/>
      <c r="L200" s="1900"/>
      <c r="M200" s="2778">
        <f>SUM(F200:K200)</f>
        <v>0</v>
      </c>
      <c r="N200" s="2782">
        <f>SUM(G200:L200)</f>
        <v>0</v>
      </c>
      <c r="O200" s="1892"/>
      <c r="P200" s="2455"/>
    </row>
    <row r="201" spans="1:16" s="2454" customFormat="1" ht="15.75" hidden="1" customHeight="1" thickBot="1">
      <c r="A201" s="3732"/>
      <c r="B201" s="392" t="s">
        <v>18</v>
      </c>
      <c r="C201" s="3767"/>
      <c r="D201" s="1898">
        <f>SUM(E201:L201)</f>
        <v>41000000</v>
      </c>
      <c r="E201" s="1898">
        <v>0</v>
      </c>
      <c r="F201" s="1898">
        <f t="shared" ref="F201:L201" si="143">+F202</f>
        <v>0</v>
      </c>
      <c r="G201" s="1898">
        <f t="shared" si="143"/>
        <v>0</v>
      </c>
      <c r="H201" s="1898">
        <f t="shared" si="143"/>
        <v>4000000</v>
      </c>
      <c r="I201" s="1898">
        <f t="shared" si="143"/>
        <v>20000000</v>
      </c>
      <c r="J201" s="1898">
        <f t="shared" si="143"/>
        <v>17000000</v>
      </c>
      <c r="K201" s="1898">
        <f t="shared" si="143"/>
        <v>0</v>
      </c>
      <c r="L201" s="1898">
        <f t="shared" si="143"/>
        <v>0</v>
      </c>
      <c r="M201" s="2783">
        <f>SUM(F201:K201)</f>
        <v>41000000</v>
      </c>
      <c r="N201" s="2784">
        <f>SUM(E201:L201)</f>
        <v>41000000</v>
      </c>
      <c r="O201" s="2785"/>
      <c r="P201" s="2455"/>
    </row>
    <row r="202" spans="1:16" s="2454" customFormat="1" ht="12" hidden="1" customHeight="1" thickBot="1">
      <c r="A202" s="3732"/>
      <c r="B202" s="376" t="s">
        <v>20</v>
      </c>
      <c r="C202" s="3768"/>
      <c r="D202" s="1900">
        <f>+D203+D204</f>
        <v>41000000</v>
      </c>
      <c r="E202" s="1900">
        <v>0</v>
      </c>
      <c r="F202" s="1900">
        <f t="shared" ref="F202:L202" si="144">+F203+F204</f>
        <v>0</v>
      </c>
      <c r="G202" s="1900">
        <f t="shared" si="144"/>
        <v>0</v>
      </c>
      <c r="H202" s="1900">
        <f t="shared" si="144"/>
        <v>4000000</v>
      </c>
      <c r="I202" s="1900">
        <f t="shared" si="144"/>
        <v>20000000</v>
      </c>
      <c r="J202" s="1900">
        <f t="shared" si="144"/>
        <v>17000000</v>
      </c>
      <c r="K202" s="1900">
        <f t="shared" si="144"/>
        <v>0</v>
      </c>
      <c r="L202" s="1900">
        <f t="shared" si="144"/>
        <v>0</v>
      </c>
      <c r="M202" s="2778">
        <f>SUM(F202:K202)</f>
        <v>41000000</v>
      </c>
      <c r="N202" s="2786">
        <f t="shared" ref="M202:N204" si="145">SUM(G202:L202)</f>
        <v>41000000</v>
      </c>
      <c r="O202" s="2785"/>
      <c r="P202" s="2455"/>
    </row>
    <row r="203" spans="1:16" s="2454" customFormat="1" ht="22.5" hidden="1" customHeight="1" thickBot="1">
      <c r="A203" s="3732"/>
      <c r="B203" s="1883" t="s">
        <v>273</v>
      </c>
      <c r="C203" s="3768"/>
      <c r="D203" s="1901">
        <f>+E203+F203+G203+H203+I203+J203+K203+L203</f>
        <v>0</v>
      </c>
      <c r="E203" s="2787">
        <v>0</v>
      </c>
      <c r="F203" s="1901">
        <v>0</v>
      </c>
      <c r="G203" s="1901">
        <v>0</v>
      </c>
      <c r="H203" s="1901">
        <f>915000+624800-1539800</f>
        <v>0</v>
      </c>
      <c r="I203" s="1901">
        <f>511000+625000-1136000</f>
        <v>0</v>
      </c>
      <c r="J203" s="1901">
        <v>0</v>
      </c>
      <c r="K203" s="1901">
        <v>0</v>
      </c>
      <c r="L203" s="1901">
        <v>0</v>
      </c>
      <c r="M203" s="2778">
        <f t="shared" si="145"/>
        <v>0</v>
      </c>
      <c r="N203" s="2786">
        <f t="shared" si="145"/>
        <v>0</v>
      </c>
      <c r="O203" s="2785"/>
      <c r="P203" s="2455"/>
    </row>
    <row r="204" spans="1:16" s="2454" customFormat="1" ht="23.25" hidden="1" customHeight="1" thickBot="1">
      <c r="A204" s="3772"/>
      <c r="B204" s="2788" t="s">
        <v>266</v>
      </c>
      <c r="C204" s="3768"/>
      <c r="D204" s="2789">
        <f>+E204+F204+G204+H204+I204+J204+K204+L204</f>
        <v>41000000</v>
      </c>
      <c r="E204" s="2790">
        <v>0</v>
      </c>
      <c r="F204" s="2789">
        <v>0</v>
      </c>
      <c r="G204" s="2789">
        <f>2328000-2328000</f>
        <v>0</v>
      </c>
      <c r="H204" s="2789">
        <f>27936000-5731740+345740-2337736+2238756-2236767-16214253</f>
        <v>4000000</v>
      </c>
      <c r="I204" s="2789">
        <f>11600000+8059740-1209740+2337736-2238756+2236767-785747</f>
        <v>20000000</v>
      </c>
      <c r="J204" s="2789">
        <v>17000000</v>
      </c>
      <c r="K204" s="2789">
        <v>0</v>
      </c>
      <c r="L204" s="2789">
        <v>0</v>
      </c>
      <c r="M204" s="2778">
        <f t="shared" si="145"/>
        <v>41000000</v>
      </c>
      <c r="N204" s="2786">
        <f t="shared" si="145"/>
        <v>41000000</v>
      </c>
      <c r="O204" s="2785"/>
      <c r="P204" s="2455"/>
    </row>
    <row r="205" spans="1:16" s="2454" customFormat="1" ht="13.5" hidden="1" customHeight="1" thickBot="1">
      <c r="A205" s="3773"/>
      <c r="B205" s="21" t="s">
        <v>267</v>
      </c>
      <c r="C205" s="2791"/>
      <c r="D205" s="2792">
        <f t="shared" ref="D205:L205" si="146">+D206+D208</f>
        <v>41000000</v>
      </c>
      <c r="E205" s="2792">
        <v>0</v>
      </c>
      <c r="F205" s="2792">
        <f t="shared" si="146"/>
        <v>0</v>
      </c>
      <c r="G205" s="2792">
        <f t="shared" si="146"/>
        <v>0</v>
      </c>
      <c r="H205" s="2792">
        <f t="shared" si="146"/>
        <v>3500000</v>
      </c>
      <c r="I205" s="2792">
        <f t="shared" si="146"/>
        <v>19000000</v>
      </c>
      <c r="J205" s="2792">
        <f t="shared" si="146"/>
        <v>18500000</v>
      </c>
      <c r="K205" s="2792">
        <f t="shared" si="146"/>
        <v>0</v>
      </c>
      <c r="L205" s="2792">
        <f t="shared" si="146"/>
        <v>0</v>
      </c>
      <c r="M205" s="3754" t="s">
        <v>53</v>
      </c>
      <c r="N205" s="3816" t="s">
        <v>53</v>
      </c>
      <c r="O205" s="2785"/>
      <c r="P205" s="2455"/>
    </row>
    <row r="206" spans="1:16" s="2454" customFormat="1" ht="15" hidden="1" customHeight="1" thickBot="1">
      <c r="A206" s="3773"/>
      <c r="B206" s="2619" t="s">
        <v>23</v>
      </c>
      <c r="C206" s="3756" t="s">
        <v>281</v>
      </c>
      <c r="D206" s="1898">
        <f>+D207</f>
        <v>0</v>
      </c>
      <c r="E206" s="1898">
        <v>0</v>
      </c>
      <c r="F206" s="1898">
        <f t="shared" ref="F206:L206" si="147">+F207</f>
        <v>0</v>
      </c>
      <c r="G206" s="1898">
        <f t="shared" si="147"/>
        <v>0</v>
      </c>
      <c r="H206" s="1898">
        <f t="shared" si="147"/>
        <v>0</v>
      </c>
      <c r="I206" s="1898">
        <f t="shared" si="147"/>
        <v>0</v>
      </c>
      <c r="J206" s="1898">
        <f t="shared" si="147"/>
        <v>0</v>
      </c>
      <c r="K206" s="1898">
        <f t="shared" si="147"/>
        <v>0</v>
      </c>
      <c r="L206" s="1898">
        <f t="shared" si="147"/>
        <v>0</v>
      </c>
      <c r="M206" s="3654"/>
      <c r="N206" s="3654"/>
      <c r="O206" s="2785"/>
      <c r="P206" s="2455"/>
    </row>
    <row r="207" spans="1:16" s="2454" customFormat="1" ht="16.5" hidden="1" customHeight="1" thickBot="1">
      <c r="A207" s="3773"/>
      <c r="B207" s="1899" t="s">
        <v>16</v>
      </c>
      <c r="C207" s="3757"/>
      <c r="D207" s="1900">
        <f>SUM(E207:L207)</f>
        <v>0</v>
      </c>
      <c r="E207" s="322"/>
      <c r="F207" s="1900">
        <v>0</v>
      </c>
      <c r="G207" s="1900">
        <f>277300-277300</f>
        <v>0</v>
      </c>
      <c r="H207" s="1900">
        <f>3328200-3328200</f>
        <v>0</v>
      </c>
      <c r="I207" s="1900">
        <f>1394500+277300-1671800</f>
        <v>0</v>
      </c>
      <c r="J207" s="1900"/>
      <c r="K207" s="1900"/>
      <c r="L207" s="1900"/>
      <c r="M207" s="3654"/>
      <c r="N207" s="3654"/>
      <c r="O207" s="2785"/>
      <c r="P207" s="2455"/>
    </row>
    <row r="208" spans="1:16" s="2454" customFormat="1" ht="16.5" hidden="1" customHeight="1" thickBot="1">
      <c r="A208" s="3773"/>
      <c r="B208" s="392" t="s">
        <v>18</v>
      </c>
      <c r="C208" s="3757"/>
      <c r="D208" s="1898">
        <f>SUM(E208:L208)</f>
        <v>41000000</v>
      </c>
      <c r="E208" s="1898">
        <v>0</v>
      </c>
      <c r="F208" s="1898">
        <f t="shared" ref="F208:L208" si="148">+F209</f>
        <v>0</v>
      </c>
      <c r="G208" s="1898">
        <f t="shared" si="148"/>
        <v>0</v>
      </c>
      <c r="H208" s="1898">
        <f t="shared" si="148"/>
        <v>3500000</v>
      </c>
      <c r="I208" s="1898">
        <f t="shared" si="148"/>
        <v>19000000</v>
      </c>
      <c r="J208" s="1898">
        <f t="shared" si="148"/>
        <v>18500000</v>
      </c>
      <c r="K208" s="1898">
        <f t="shared" si="148"/>
        <v>0</v>
      </c>
      <c r="L208" s="1898">
        <f t="shared" si="148"/>
        <v>0</v>
      </c>
      <c r="M208" s="3654"/>
      <c r="N208" s="3654"/>
      <c r="O208" s="2785"/>
      <c r="P208" s="2455"/>
    </row>
    <row r="209" spans="1:16" s="2454" customFormat="1" ht="15" hidden="1" customHeight="1" thickBot="1">
      <c r="A209" s="2793"/>
      <c r="B209" s="376" t="s">
        <v>20</v>
      </c>
      <c r="C209" s="3758"/>
      <c r="D209" s="1900">
        <f>SUM(E209:L209)</f>
        <v>41000000</v>
      </c>
      <c r="E209" s="1900">
        <v>0</v>
      </c>
      <c r="F209" s="1900">
        <f t="shared" ref="F209:L209" si="149">+F210+F211</f>
        <v>0</v>
      </c>
      <c r="G209" s="1900">
        <f>+G210+G211</f>
        <v>0</v>
      </c>
      <c r="H209" s="1900">
        <f t="shared" si="149"/>
        <v>3500000</v>
      </c>
      <c r="I209" s="1900">
        <f t="shared" si="149"/>
        <v>19000000</v>
      </c>
      <c r="J209" s="1900">
        <f t="shared" si="149"/>
        <v>18500000</v>
      </c>
      <c r="K209" s="1900">
        <f t="shared" si="149"/>
        <v>0</v>
      </c>
      <c r="L209" s="1900">
        <f t="shared" si="149"/>
        <v>0</v>
      </c>
      <c r="M209" s="3654"/>
      <c r="N209" s="3654"/>
      <c r="O209" s="2785"/>
      <c r="P209" s="2455"/>
    </row>
    <row r="210" spans="1:16" s="2454" customFormat="1" ht="27.75" hidden="1" customHeight="1" thickBot="1">
      <c r="A210" s="2793"/>
      <c r="B210" s="1883" t="s">
        <v>264</v>
      </c>
      <c r="C210" s="2576" t="s">
        <v>237</v>
      </c>
      <c r="D210" s="1901">
        <f>SUM(E210:L210)</f>
        <v>0</v>
      </c>
      <c r="E210" s="2787">
        <v>0</v>
      </c>
      <c r="F210" s="1901">
        <v>0</v>
      </c>
      <c r="G210" s="1901">
        <v>0</v>
      </c>
      <c r="H210" s="1901">
        <f>915000+624800-1539800</f>
        <v>0</v>
      </c>
      <c r="I210" s="1901">
        <f>511000+625000-1136000</f>
        <v>0</v>
      </c>
      <c r="J210" s="1901">
        <v>0</v>
      </c>
      <c r="K210" s="1901">
        <v>0</v>
      </c>
      <c r="L210" s="1901">
        <v>0</v>
      </c>
      <c r="M210" s="3654"/>
      <c r="N210" s="3654"/>
      <c r="O210" s="2794"/>
      <c r="P210" s="2455"/>
    </row>
    <row r="211" spans="1:16" s="2454" customFormat="1" ht="21.75" hidden="1" customHeight="1" thickBot="1">
      <c r="A211" s="2793"/>
      <c r="B211" s="1889" t="s">
        <v>274</v>
      </c>
      <c r="C211" s="2576" t="s">
        <v>214</v>
      </c>
      <c r="D211" s="2795">
        <f>SUM(E211:L211)</f>
        <v>41000000</v>
      </c>
      <c r="E211" s="2796">
        <v>0</v>
      </c>
      <c r="F211" s="2795">
        <v>0</v>
      </c>
      <c r="G211" s="2795">
        <f>2328000-2328000</f>
        <v>0</v>
      </c>
      <c r="H211" s="2795">
        <f>27936000-5731740+345740-2337736+2238756-2236767-16714253</f>
        <v>3500000</v>
      </c>
      <c r="I211" s="2795">
        <f>11600000+8059740-1209740+2337736-2238756+2236767-1785747</f>
        <v>19000000</v>
      </c>
      <c r="J211" s="2795">
        <v>18500000</v>
      </c>
      <c r="K211" s="2795">
        <v>0</v>
      </c>
      <c r="L211" s="2795">
        <v>0</v>
      </c>
      <c r="M211" s="3655"/>
      <c r="N211" s="3655"/>
      <c r="O211" s="2794"/>
      <c r="P211" s="2455"/>
    </row>
    <row r="212" spans="1:16" s="2454" customFormat="1" ht="27" customHeight="1" thickBot="1">
      <c r="A212" s="3772" t="s">
        <v>82</v>
      </c>
      <c r="B212" s="164" t="s">
        <v>289</v>
      </c>
      <c r="C212" s="165" t="s">
        <v>101</v>
      </c>
      <c r="D212" s="352"/>
      <c r="E212" s="352"/>
      <c r="F212" s="352"/>
      <c r="G212" s="352"/>
      <c r="H212" s="352"/>
      <c r="I212" s="352"/>
      <c r="J212" s="352"/>
      <c r="K212" s="352"/>
      <c r="L212" s="352"/>
      <c r="M212" s="352"/>
      <c r="N212" s="352"/>
      <c r="O212" s="3745" t="s">
        <v>312</v>
      </c>
      <c r="P212" s="2455"/>
    </row>
    <row r="213" spans="1:16" s="2454" customFormat="1" ht="13.5" thickBot="1">
      <c r="A213" s="3773"/>
      <c r="B213" s="21" t="s">
        <v>10</v>
      </c>
      <c r="C213" s="372"/>
      <c r="D213" s="331">
        <f>+D214+D218</f>
        <v>5491442</v>
      </c>
      <c r="E213" s="331">
        <f t="shared" ref="E213" si="150">+E214+E218</f>
        <v>131150</v>
      </c>
      <c r="F213" s="331">
        <f t="shared" ref="F213" si="151">+F214+F218</f>
        <v>1052265</v>
      </c>
      <c r="G213" s="331">
        <f>+G214+G218</f>
        <v>4308027</v>
      </c>
      <c r="H213" s="318"/>
      <c r="I213" s="318"/>
      <c r="J213" s="318"/>
      <c r="K213" s="318"/>
      <c r="L213" s="318"/>
      <c r="M213" s="373">
        <f>M214+M218</f>
        <v>4905086</v>
      </c>
      <c r="N213" s="373">
        <f>N214+N218</f>
        <v>3939204</v>
      </c>
      <c r="O213" s="3746"/>
      <c r="P213" s="2455"/>
    </row>
    <row r="214" spans="1:16" s="2454" customFormat="1">
      <c r="A214" s="3773"/>
      <c r="B214" s="166" t="s">
        <v>23</v>
      </c>
      <c r="C214" s="3750" t="s">
        <v>201</v>
      </c>
      <c r="D214" s="319">
        <f>SUM(D215:D217)</f>
        <v>1295641</v>
      </c>
      <c r="E214" s="319">
        <f>SUM(E215:E217)</f>
        <v>28691</v>
      </c>
      <c r="F214" s="319">
        <f t="shared" ref="F214:G214" si="152">SUM(F215:F217)</f>
        <v>252967</v>
      </c>
      <c r="G214" s="319">
        <f t="shared" si="152"/>
        <v>1013983</v>
      </c>
      <c r="H214" s="319"/>
      <c r="I214" s="319"/>
      <c r="J214" s="319"/>
      <c r="K214" s="319"/>
      <c r="L214" s="319"/>
      <c r="M214" s="320">
        <f>SUM(M215:M216)</f>
        <v>811744</v>
      </c>
      <c r="N214" s="320">
        <f>SUM(N215:N216)</f>
        <v>645160</v>
      </c>
      <c r="O214" s="3747"/>
      <c r="P214" s="2455"/>
    </row>
    <row r="215" spans="1:16" s="2454" customFormat="1">
      <c r="A215" s="3773"/>
      <c r="B215" s="167" t="s">
        <v>12</v>
      </c>
      <c r="C215" s="3751"/>
      <c r="D215" s="235">
        <f>E215+F215+G215+H215+I215+J215+K215+L215</f>
        <v>100000</v>
      </c>
      <c r="E215" s="1137">
        <v>10611</v>
      </c>
      <c r="F215" s="1870">
        <f>50000+1902-22258-4113</f>
        <v>25531</v>
      </c>
      <c r="G215" s="1870">
        <f>12500+24987+22258+4113</f>
        <v>63858</v>
      </c>
      <c r="H215" s="374"/>
      <c r="I215" s="374"/>
      <c r="J215" s="374"/>
      <c r="K215" s="374"/>
      <c r="L215" s="374"/>
      <c r="M215" s="561">
        <f>SUM(F215:L215)</f>
        <v>89389</v>
      </c>
      <c r="N215" s="561">
        <f>SUM(G215:L215)</f>
        <v>63858</v>
      </c>
      <c r="O215" s="3748"/>
      <c r="P215" s="2455"/>
    </row>
    <row r="216" spans="1:16" s="2454" customFormat="1">
      <c r="A216" s="3773"/>
      <c r="B216" s="167" t="s">
        <v>13</v>
      </c>
      <c r="C216" s="3752"/>
      <c r="D216" s="235">
        <f>E216+F216+G216+H216+I216+J216+K216+L216</f>
        <v>740435</v>
      </c>
      <c r="E216" s="1137">
        <v>18080</v>
      </c>
      <c r="F216" s="1902">
        <f>412301+81979+118367-457832-13762</f>
        <v>141053</v>
      </c>
      <c r="G216" s="1902">
        <f>163259+60000-113551+457832+13762</f>
        <v>581302</v>
      </c>
      <c r="H216" s="168"/>
      <c r="I216" s="168"/>
      <c r="J216" s="168"/>
      <c r="K216" s="168"/>
      <c r="L216" s="168"/>
      <c r="M216" s="561">
        <f>SUM(F216:L216)</f>
        <v>722355</v>
      </c>
      <c r="N216" s="561">
        <f>SUM(G216:L216)</f>
        <v>581302</v>
      </c>
      <c r="O216" s="3748"/>
      <c r="P216" s="2455"/>
    </row>
    <row r="217" spans="1:16" s="2454" customFormat="1">
      <c r="A217" s="3773"/>
      <c r="B217" s="1903" t="s">
        <v>31</v>
      </c>
      <c r="C217" s="3752"/>
      <c r="D217" s="235">
        <f>E217+F217+G217+H217+I217+J217+K217+L217</f>
        <v>455206</v>
      </c>
      <c r="E217" s="1137">
        <v>0</v>
      </c>
      <c r="F217" s="168">
        <f>255556+48066-239676+22437</f>
        <v>86383</v>
      </c>
      <c r="G217" s="168">
        <f>110761+40823+239676-22437</f>
        <v>368823</v>
      </c>
      <c r="H217" s="168"/>
      <c r="I217" s="168"/>
      <c r="J217" s="168"/>
      <c r="K217" s="168"/>
      <c r="L217" s="168"/>
      <c r="M217" s="375" t="s">
        <v>53</v>
      </c>
      <c r="N217" s="2147">
        <v>0</v>
      </c>
      <c r="O217" s="3748"/>
      <c r="P217" s="2455"/>
    </row>
    <row r="218" spans="1:16" s="2454" customFormat="1">
      <c r="A218" s="3773"/>
      <c r="B218" s="81" t="s">
        <v>18</v>
      </c>
      <c r="C218" s="3752"/>
      <c r="D218" s="321">
        <f>+D219</f>
        <v>4195801</v>
      </c>
      <c r="E218" s="321">
        <f t="shared" ref="E218:G218" si="153">E219</f>
        <v>102459</v>
      </c>
      <c r="F218" s="1904">
        <f t="shared" si="153"/>
        <v>799298</v>
      </c>
      <c r="G218" s="1904">
        <f t="shared" si="153"/>
        <v>3294044</v>
      </c>
      <c r="H218" s="321"/>
      <c r="I218" s="321"/>
      <c r="J218" s="321"/>
      <c r="K218" s="321"/>
      <c r="L218" s="321"/>
      <c r="M218" s="320">
        <f>+M219</f>
        <v>4093342</v>
      </c>
      <c r="N218" s="320">
        <f>+N219</f>
        <v>3294044</v>
      </c>
      <c r="O218" s="3748"/>
      <c r="P218" s="2455"/>
    </row>
    <row r="219" spans="1:16" s="2454" customFormat="1">
      <c r="A219" s="3773"/>
      <c r="B219" s="1905" t="s">
        <v>20</v>
      </c>
      <c r="C219" s="3753"/>
      <c r="D219" s="235">
        <f>E219+F219+G219+H219+I219+J219+K219+L219</f>
        <v>4195801</v>
      </c>
      <c r="E219" s="1137">
        <v>102459</v>
      </c>
      <c r="F219" s="1906">
        <f>2336375+464546+670747-2594379-77991</f>
        <v>799298</v>
      </c>
      <c r="G219" s="1906">
        <f>925133+340000-643459+2594379+77991</f>
        <v>3294044</v>
      </c>
      <c r="H219" s="130"/>
      <c r="I219" s="130"/>
      <c r="J219" s="130"/>
      <c r="K219" s="130"/>
      <c r="L219" s="130"/>
      <c r="M219" s="561">
        <f>SUM(F219:L219)</f>
        <v>4093342</v>
      </c>
      <c r="N219" s="561">
        <f>SUM(G219:L219)</f>
        <v>3294044</v>
      </c>
      <c r="O219" s="3748"/>
      <c r="P219" s="2455"/>
    </row>
    <row r="220" spans="1:16" s="2454" customFormat="1">
      <c r="A220" s="3394"/>
      <c r="B220" s="21" t="s">
        <v>21</v>
      </c>
      <c r="C220" s="169"/>
      <c r="D220" s="318">
        <f>+D221+D223</f>
        <v>4936236</v>
      </c>
      <c r="E220" s="318">
        <f t="shared" ref="E220" si="154">E221+E223</f>
        <v>120539</v>
      </c>
      <c r="F220" s="318">
        <f t="shared" ref="F220:G220" si="155">F221+F223</f>
        <v>940351</v>
      </c>
      <c r="G220" s="318">
        <f t="shared" si="155"/>
        <v>3875346</v>
      </c>
      <c r="H220" s="324"/>
      <c r="I220" s="318"/>
      <c r="J220" s="318"/>
      <c r="K220" s="318"/>
      <c r="L220" s="318"/>
      <c r="M220" s="3754" t="s">
        <v>53</v>
      </c>
      <c r="N220" s="3754" t="s">
        <v>53</v>
      </c>
      <c r="O220" s="3748"/>
      <c r="P220" s="2455">
        <f>G220-'[1]Tab. 6E - Administracja'!$G$220</f>
        <v>91753</v>
      </c>
    </row>
    <row r="221" spans="1:16" s="2454" customFormat="1">
      <c r="A221" s="3394"/>
      <c r="B221" s="170" t="s">
        <v>23</v>
      </c>
      <c r="C221" s="3750" t="s">
        <v>201</v>
      </c>
      <c r="D221" s="319">
        <f>+D222</f>
        <v>740435</v>
      </c>
      <c r="E221" s="319">
        <f t="shared" ref="E221:G221" si="156">E222</f>
        <v>18080</v>
      </c>
      <c r="F221" s="319">
        <f t="shared" si="156"/>
        <v>141053</v>
      </c>
      <c r="G221" s="319">
        <f t="shared" si="156"/>
        <v>581302</v>
      </c>
      <c r="H221" s="325"/>
      <c r="I221" s="319"/>
      <c r="J221" s="319"/>
      <c r="K221" s="319"/>
      <c r="L221" s="319"/>
      <c r="M221" s="3654"/>
      <c r="N221" s="3654"/>
      <c r="O221" s="3748"/>
      <c r="P221" s="2455"/>
    </row>
    <row r="222" spans="1:16" s="2454" customFormat="1">
      <c r="A222" s="3394"/>
      <c r="B222" s="171" t="s">
        <v>13</v>
      </c>
      <c r="C222" s="3752"/>
      <c r="D222" s="235">
        <f>E222+F222+G222+H222+I222+J222+K222+L222</f>
        <v>740435</v>
      </c>
      <c r="E222" s="1137">
        <v>18080</v>
      </c>
      <c r="F222" s="536">
        <f>412301+81979+118367-457832-13762</f>
        <v>141053</v>
      </c>
      <c r="G222" s="536">
        <f>163259+60000-113551+457832+13762</f>
        <v>581302</v>
      </c>
      <c r="H222" s="322"/>
      <c r="I222" s="322"/>
      <c r="J222" s="322"/>
      <c r="K222" s="322"/>
      <c r="L222" s="322"/>
      <c r="M222" s="3654"/>
      <c r="N222" s="3654"/>
      <c r="O222" s="3748"/>
      <c r="P222" s="2455"/>
    </row>
    <row r="223" spans="1:16" s="2454" customFormat="1">
      <c r="A223" s="3394"/>
      <c r="B223" s="1868" t="s">
        <v>18</v>
      </c>
      <c r="C223" s="3752"/>
      <c r="D223" s="321">
        <f>+D224</f>
        <v>4195801</v>
      </c>
      <c r="E223" s="321">
        <f t="shared" ref="E223:G223" si="157">E224</f>
        <v>102459</v>
      </c>
      <c r="F223" s="1904">
        <f t="shared" si="157"/>
        <v>799298</v>
      </c>
      <c r="G223" s="1904">
        <f t="shared" si="157"/>
        <v>3294044</v>
      </c>
      <c r="H223" s="326"/>
      <c r="I223" s="321"/>
      <c r="J223" s="321"/>
      <c r="K223" s="321"/>
      <c r="L223" s="321"/>
      <c r="M223" s="3654"/>
      <c r="N223" s="3654"/>
      <c r="O223" s="3748"/>
      <c r="P223" s="2455"/>
    </row>
    <row r="224" spans="1:16" s="2454" customFormat="1" ht="13.5" thickBot="1">
      <c r="A224" s="3395"/>
      <c r="B224" s="323" t="s">
        <v>20</v>
      </c>
      <c r="C224" s="3755"/>
      <c r="D224" s="235">
        <f>E224+F224+G224+H224+I224+J224+K224+L224</f>
        <v>4195801</v>
      </c>
      <c r="E224" s="1137">
        <v>102459</v>
      </c>
      <c r="F224" s="1907">
        <f>2336375+464546+670747-2594379-77991</f>
        <v>799298</v>
      </c>
      <c r="G224" s="1907">
        <f>925133+340000-643459+2594379+77991</f>
        <v>3294044</v>
      </c>
      <c r="H224" s="172"/>
      <c r="I224" s="172"/>
      <c r="J224" s="172"/>
      <c r="K224" s="172"/>
      <c r="L224" s="172"/>
      <c r="M224" s="3655"/>
      <c r="N224" s="3655"/>
      <c r="O224" s="3749"/>
      <c r="P224" s="2455"/>
    </row>
    <row r="225" spans="1:16" s="2454" customFormat="1" ht="36" customHeight="1">
      <c r="A225" s="3772" t="s">
        <v>83</v>
      </c>
      <c r="B225" s="164" t="s">
        <v>370</v>
      </c>
      <c r="C225" s="165" t="s">
        <v>74</v>
      </c>
      <c r="D225" s="181"/>
      <c r="E225" s="180"/>
      <c r="F225" s="180"/>
      <c r="G225" s="180"/>
      <c r="H225" s="180"/>
      <c r="I225" s="180"/>
      <c r="J225" s="180"/>
      <c r="K225" s="180"/>
      <c r="L225" s="245"/>
      <c r="M225" s="317"/>
      <c r="N225" s="317"/>
      <c r="O225" s="3782" t="s">
        <v>312</v>
      </c>
      <c r="P225" s="2455"/>
    </row>
    <row r="226" spans="1:16" s="2454" customFormat="1">
      <c r="A226" s="3773"/>
      <c r="B226" s="531" t="s">
        <v>10</v>
      </c>
      <c r="C226" s="1278"/>
      <c r="D226" s="1253">
        <f t="shared" ref="D226:G226" si="158">+D227+D229</f>
        <v>5764</v>
      </c>
      <c r="E226" s="1253">
        <f t="shared" ref="E226" si="159">+E227+E229</f>
        <v>5764</v>
      </c>
      <c r="F226" s="1253">
        <f t="shared" si="158"/>
        <v>0</v>
      </c>
      <c r="G226" s="1253">
        <f t="shared" si="158"/>
        <v>0</v>
      </c>
      <c r="H226" s="1247"/>
      <c r="I226" s="1247"/>
      <c r="J226" s="1247"/>
      <c r="K226" s="1247"/>
      <c r="L226" s="1247"/>
      <c r="M226" s="1279">
        <f>M227+M229</f>
        <v>0</v>
      </c>
      <c r="N226" s="1279">
        <f>N227+N229</f>
        <v>0</v>
      </c>
      <c r="O226" s="3748"/>
      <c r="P226" s="2455"/>
    </row>
    <row r="227" spans="1:16" s="2454" customFormat="1">
      <c r="A227" s="3773"/>
      <c r="B227" s="508" t="s">
        <v>23</v>
      </c>
      <c r="C227" s="3780" t="s">
        <v>201</v>
      </c>
      <c r="D227" s="1237">
        <f t="shared" ref="D227:G227" si="160">SUM(D228:D228)</f>
        <v>865</v>
      </c>
      <c r="E227" s="1237">
        <f t="shared" si="160"/>
        <v>865</v>
      </c>
      <c r="F227" s="1237">
        <f t="shared" si="160"/>
        <v>0</v>
      </c>
      <c r="G227" s="1237">
        <f t="shared" si="160"/>
        <v>0</v>
      </c>
      <c r="H227" s="1237"/>
      <c r="I227" s="1237"/>
      <c r="J227" s="1237"/>
      <c r="K227" s="1237"/>
      <c r="L227" s="1237"/>
      <c r="M227" s="561">
        <f>SUM(F227:K227)</f>
        <v>0</v>
      </c>
      <c r="N227" s="561">
        <f>SUM(G227:L227)</f>
        <v>0</v>
      </c>
      <c r="O227" s="3748"/>
      <c r="P227" s="2455"/>
    </row>
    <row r="228" spans="1:16" s="2454" customFormat="1">
      <c r="A228" s="3773"/>
      <c r="B228" s="167" t="s">
        <v>13</v>
      </c>
      <c r="C228" s="3752"/>
      <c r="D228" s="1216">
        <f>E228+F228+G228+H228+I228+J228+K228+L228</f>
        <v>865</v>
      </c>
      <c r="E228" s="1239">
        <v>865</v>
      </c>
      <c r="F228" s="168">
        <v>0</v>
      </c>
      <c r="G228" s="168">
        <v>0</v>
      </c>
      <c r="H228" s="168"/>
      <c r="I228" s="168"/>
      <c r="J228" s="168"/>
      <c r="K228" s="168"/>
      <c r="L228" s="168"/>
      <c r="M228" s="561">
        <f>SUM(F228:K228)</f>
        <v>0</v>
      </c>
      <c r="N228" s="561">
        <f>SUM(G228:L228)</f>
        <v>0</v>
      </c>
      <c r="O228" s="3748"/>
      <c r="P228" s="2455"/>
    </row>
    <row r="229" spans="1:16" s="2454" customFormat="1">
      <c r="A229" s="3773"/>
      <c r="B229" s="551" t="s">
        <v>18</v>
      </c>
      <c r="C229" s="3752"/>
      <c r="D229" s="1242">
        <f>+D230</f>
        <v>4899</v>
      </c>
      <c r="E229" s="1242">
        <f t="shared" ref="E229:G229" si="161">E230</f>
        <v>4899</v>
      </c>
      <c r="F229" s="1242">
        <f t="shared" si="161"/>
        <v>0</v>
      </c>
      <c r="G229" s="1242">
        <f t="shared" si="161"/>
        <v>0</v>
      </c>
      <c r="H229" s="1242"/>
      <c r="I229" s="1242"/>
      <c r="J229" s="1242"/>
      <c r="K229" s="1242"/>
      <c r="L229" s="1242"/>
      <c r="M229" s="1238">
        <f>+M230</f>
        <v>0</v>
      </c>
      <c r="N229" s="1238">
        <f>+N230</f>
        <v>0</v>
      </c>
      <c r="O229" s="3748"/>
      <c r="P229" s="2455"/>
    </row>
    <row r="230" spans="1:16" s="2454" customFormat="1">
      <c r="A230" s="3773"/>
      <c r="B230" s="1280" t="s">
        <v>20</v>
      </c>
      <c r="C230" s="3753"/>
      <c r="D230" s="1216">
        <f>E230+F230+G230+H230+I230+J230+K230+L230</f>
        <v>4899</v>
      </c>
      <c r="E230" s="1239">
        <v>4899</v>
      </c>
      <c r="F230" s="130">
        <v>0</v>
      </c>
      <c r="G230" s="130">
        <v>0</v>
      </c>
      <c r="H230" s="130"/>
      <c r="I230" s="130"/>
      <c r="J230" s="130"/>
      <c r="K230" s="130"/>
      <c r="L230" s="130"/>
      <c r="M230" s="561">
        <f>SUM(F230:K230)</f>
        <v>0</v>
      </c>
      <c r="N230" s="561">
        <f>SUM(G230:L230)</f>
        <v>0</v>
      </c>
      <c r="O230" s="3748"/>
      <c r="P230" s="2455"/>
    </row>
    <row r="231" spans="1:16" s="2454" customFormat="1">
      <c r="A231" s="3394"/>
      <c r="B231" s="531" t="s">
        <v>21</v>
      </c>
      <c r="C231" s="1246"/>
      <c r="D231" s="1247">
        <f>+D232+D234</f>
        <v>5764</v>
      </c>
      <c r="E231" s="1247">
        <f t="shared" ref="E231" si="162">E232+E234</f>
        <v>5764</v>
      </c>
      <c r="F231" s="1247">
        <f t="shared" ref="F231:G231" si="163">F232+F234</f>
        <v>0</v>
      </c>
      <c r="G231" s="1247">
        <f t="shared" si="163"/>
        <v>0</v>
      </c>
      <c r="H231" s="1281"/>
      <c r="I231" s="1247"/>
      <c r="J231" s="1247"/>
      <c r="K231" s="1247"/>
      <c r="L231" s="1247"/>
      <c r="M231" s="3664" t="s">
        <v>53</v>
      </c>
      <c r="N231" s="3664" t="s">
        <v>53</v>
      </c>
      <c r="O231" s="3748"/>
      <c r="P231" s="2455"/>
    </row>
    <row r="232" spans="1:16" s="2454" customFormat="1">
      <c r="A232" s="3394"/>
      <c r="B232" s="1248" t="s">
        <v>23</v>
      </c>
      <c r="C232" s="3780" t="s">
        <v>201</v>
      </c>
      <c r="D232" s="1237">
        <f>+D233</f>
        <v>865</v>
      </c>
      <c r="E232" s="1237">
        <f t="shared" ref="E232:G232" si="164">E233</f>
        <v>865</v>
      </c>
      <c r="F232" s="1237">
        <f t="shared" si="164"/>
        <v>0</v>
      </c>
      <c r="G232" s="1237">
        <f t="shared" si="164"/>
        <v>0</v>
      </c>
      <c r="H232" s="1282"/>
      <c r="I232" s="1237"/>
      <c r="J232" s="1237"/>
      <c r="K232" s="1237"/>
      <c r="L232" s="1237"/>
      <c r="M232" s="3654"/>
      <c r="N232" s="3654"/>
      <c r="O232" s="3748"/>
      <c r="P232" s="2455"/>
    </row>
    <row r="233" spans="1:16" s="2454" customFormat="1">
      <c r="A233" s="3394"/>
      <c r="B233" s="171" t="s">
        <v>13</v>
      </c>
      <c r="C233" s="3752"/>
      <c r="D233" s="1216">
        <f>E233+F233+G233+H233+I233+J233+K233+L233</f>
        <v>865</v>
      </c>
      <c r="E233" s="1239">
        <v>865</v>
      </c>
      <c r="F233" s="1249">
        <v>0</v>
      </c>
      <c r="G233" s="1249">
        <v>0</v>
      </c>
      <c r="H233" s="1249"/>
      <c r="I233" s="1249"/>
      <c r="J233" s="1249"/>
      <c r="K233" s="1249"/>
      <c r="L233" s="1249"/>
      <c r="M233" s="3654"/>
      <c r="N233" s="3654"/>
      <c r="O233" s="3748"/>
      <c r="P233" s="2455"/>
    </row>
    <row r="234" spans="1:16" s="2454" customFormat="1">
      <c r="A234" s="3394"/>
      <c r="B234" s="1250" t="s">
        <v>18</v>
      </c>
      <c r="C234" s="3752"/>
      <c r="D234" s="1242">
        <f>+D235</f>
        <v>4899</v>
      </c>
      <c r="E234" s="1242">
        <f t="shared" ref="E234:G234" si="165">E235</f>
        <v>4899</v>
      </c>
      <c r="F234" s="1242">
        <f t="shared" si="165"/>
        <v>0</v>
      </c>
      <c r="G234" s="1242">
        <f t="shared" si="165"/>
        <v>0</v>
      </c>
      <c r="H234" s="1266"/>
      <c r="I234" s="1242"/>
      <c r="J234" s="1242"/>
      <c r="K234" s="1242"/>
      <c r="L234" s="1242"/>
      <c r="M234" s="3654"/>
      <c r="N234" s="3654"/>
      <c r="O234" s="3748"/>
      <c r="P234" s="2455"/>
    </row>
    <row r="235" spans="1:16" s="2454" customFormat="1" ht="11.25" customHeight="1" thickBot="1">
      <c r="A235" s="3395"/>
      <c r="B235" s="323" t="s">
        <v>20</v>
      </c>
      <c r="C235" s="3755"/>
      <c r="D235" s="767">
        <f>E235+F235+G235+H235+I235+J235+K235+L235</f>
        <v>4899</v>
      </c>
      <c r="E235" s="1251">
        <v>4899</v>
      </c>
      <c r="F235" s="528">
        <v>0</v>
      </c>
      <c r="G235" s="528">
        <v>0</v>
      </c>
      <c r="H235" s="528"/>
      <c r="I235" s="528"/>
      <c r="J235" s="528"/>
      <c r="K235" s="528"/>
      <c r="L235" s="528"/>
      <c r="M235" s="3655"/>
      <c r="N235" s="3655"/>
      <c r="O235" s="3749"/>
      <c r="P235" s="2455"/>
    </row>
    <row r="236" spans="1:16" s="2454" customFormat="1" ht="13.5" hidden="1" thickBot="1">
      <c r="A236" s="3126"/>
      <c r="B236" s="428"/>
      <c r="C236" s="429"/>
      <c r="D236" s="430"/>
      <c r="E236" s="430"/>
      <c r="F236" s="431"/>
      <c r="G236" s="431"/>
      <c r="H236" s="431"/>
      <c r="I236" s="431"/>
      <c r="J236" s="431"/>
      <c r="K236" s="431"/>
      <c r="L236" s="431"/>
      <c r="M236" s="432"/>
      <c r="N236" s="432"/>
      <c r="O236" s="433"/>
      <c r="P236" s="2455"/>
    </row>
    <row r="237" spans="1:16" s="289" customFormat="1" ht="30" customHeight="1" thickBot="1">
      <c r="A237" s="186" t="s">
        <v>146</v>
      </c>
      <c r="B237" s="187"/>
      <c r="C237" s="187"/>
      <c r="D237" s="187"/>
      <c r="E237" s="1212"/>
      <c r="F237" s="187"/>
      <c r="G237" s="187"/>
      <c r="H237" s="187"/>
      <c r="I237" s="187"/>
      <c r="J237" s="187"/>
      <c r="K237" s="187"/>
      <c r="L237" s="187"/>
      <c r="M237" s="853"/>
      <c r="N237" s="853"/>
      <c r="O237" s="188"/>
    </row>
    <row r="238" spans="1:16" s="2454" customFormat="1">
      <c r="A238" s="1196"/>
      <c r="B238" s="202" t="s">
        <v>68</v>
      </c>
      <c r="C238" s="203"/>
      <c r="D238" s="204">
        <f>+D239+D240</f>
        <v>85094859</v>
      </c>
      <c r="E238" s="204">
        <f>+E239+E240</f>
        <v>28119865</v>
      </c>
      <c r="F238" s="204">
        <f t="shared" ref="F238" si="166">+F239+F240</f>
        <v>6344982</v>
      </c>
      <c r="G238" s="204">
        <f>+G239+G240</f>
        <v>8406775</v>
      </c>
      <c r="H238" s="204">
        <f>+H239+H240</f>
        <v>8774144</v>
      </c>
      <c r="I238" s="204">
        <f>+I239+I240</f>
        <v>9378093</v>
      </c>
      <c r="J238" s="204">
        <f t="shared" ref="J238:L238" si="167">+J239+J240</f>
        <v>9430000</v>
      </c>
      <c r="K238" s="204">
        <f t="shared" si="167"/>
        <v>8669000</v>
      </c>
      <c r="L238" s="204">
        <f t="shared" si="167"/>
        <v>5972000</v>
      </c>
      <c r="M238" s="16">
        <f>+M239+M240</f>
        <v>51002994</v>
      </c>
      <c r="N238" s="16">
        <f>+N239+N240</f>
        <v>50630012</v>
      </c>
      <c r="O238" s="3776" t="s">
        <v>53</v>
      </c>
      <c r="P238" s="2455"/>
    </row>
    <row r="239" spans="1:16" s="2454" customFormat="1" ht="13.5" customHeight="1">
      <c r="A239" s="184"/>
      <c r="B239" s="205" t="s">
        <v>69</v>
      </c>
      <c r="C239" s="206"/>
      <c r="D239" s="207">
        <f>+D253+D259</f>
        <v>82978135</v>
      </c>
      <c r="E239" s="207">
        <f t="shared" ref="E239:I239" si="168">+E253+E259</f>
        <v>26008965</v>
      </c>
      <c r="F239" s="207">
        <f t="shared" si="168"/>
        <v>6344982</v>
      </c>
      <c r="G239" s="207">
        <f t="shared" si="168"/>
        <v>8400951</v>
      </c>
      <c r="H239" s="207">
        <f t="shared" si="168"/>
        <v>8774144</v>
      </c>
      <c r="I239" s="207">
        <f t="shared" si="168"/>
        <v>9378093</v>
      </c>
      <c r="J239" s="207">
        <f t="shared" ref="J239:L239" si="169">+J253+J259</f>
        <v>9430000</v>
      </c>
      <c r="K239" s="207">
        <f t="shared" si="169"/>
        <v>8669000</v>
      </c>
      <c r="L239" s="207">
        <f t="shared" si="169"/>
        <v>5972000</v>
      </c>
      <c r="M239" s="18">
        <f>SUM(F239:K239)</f>
        <v>50997170</v>
      </c>
      <c r="N239" s="18">
        <f>SUM(G239:L239)</f>
        <v>50624188</v>
      </c>
      <c r="O239" s="3777"/>
    </row>
    <row r="240" spans="1:16" s="2454" customFormat="1" ht="13.5" customHeight="1" thickBot="1">
      <c r="A240" s="184"/>
      <c r="B240" s="216" t="s">
        <v>9</v>
      </c>
      <c r="C240" s="206"/>
      <c r="D240" s="207">
        <f>+D249</f>
        <v>2116724</v>
      </c>
      <c r="E240" s="207">
        <f>+E249</f>
        <v>2110900</v>
      </c>
      <c r="F240" s="207">
        <f t="shared" ref="F240" si="170">+F249</f>
        <v>0</v>
      </c>
      <c r="G240" s="334">
        <f>+G249</f>
        <v>5824</v>
      </c>
      <c r="H240" s="334">
        <f>+H249</f>
        <v>0</v>
      </c>
      <c r="I240" s="334">
        <f>+I249</f>
        <v>0</v>
      </c>
      <c r="J240" s="334">
        <f t="shared" ref="J240:L240" si="171">+J249</f>
        <v>0</v>
      </c>
      <c r="K240" s="334">
        <f t="shared" si="171"/>
        <v>0</v>
      </c>
      <c r="L240" s="334">
        <f t="shared" si="171"/>
        <v>0</v>
      </c>
      <c r="M240" s="147">
        <f>SUM(F240:K240)</f>
        <v>5824</v>
      </c>
      <c r="N240" s="147">
        <f>SUM(G240:L240)</f>
        <v>5824</v>
      </c>
      <c r="O240" s="3777"/>
    </row>
    <row r="241" spans="1:27" s="338" customFormat="1" ht="13.5" customHeight="1">
      <c r="A241" s="335"/>
      <c r="B241" s="176" t="s">
        <v>10</v>
      </c>
      <c r="C241" s="177"/>
      <c r="D241" s="151">
        <f>+D242</f>
        <v>85094859</v>
      </c>
      <c r="E241" s="151">
        <f t="shared" ref="E241:L242" si="172">+E242</f>
        <v>28119865</v>
      </c>
      <c r="F241" s="151">
        <f t="shared" si="172"/>
        <v>6344982</v>
      </c>
      <c r="G241" s="151">
        <f t="shared" si="172"/>
        <v>8406775</v>
      </c>
      <c r="H241" s="151">
        <f t="shared" si="172"/>
        <v>8774144</v>
      </c>
      <c r="I241" s="151">
        <f t="shared" si="172"/>
        <v>9378093</v>
      </c>
      <c r="J241" s="151">
        <f t="shared" si="172"/>
        <v>9430000</v>
      </c>
      <c r="K241" s="151">
        <f t="shared" si="172"/>
        <v>8669000</v>
      </c>
      <c r="L241" s="151">
        <f t="shared" si="172"/>
        <v>5972000</v>
      </c>
      <c r="M241" s="336">
        <f>+M242</f>
        <v>56974994</v>
      </c>
      <c r="N241" s="336">
        <f>+N242</f>
        <v>50630012</v>
      </c>
      <c r="O241" s="3777"/>
      <c r="P241" s="337"/>
      <c r="Q241" s="337"/>
    </row>
    <row r="242" spans="1:27" s="341" customFormat="1" ht="13.5" customHeight="1">
      <c r="A242" s="190"/>
      <c r="B242" s="152" t="s">
        <v>11</v>
      </c>
      <c r="C242" s="3741" t="s">
        <v>53</v>
      </c>
      <c r="D242" s="1362">
        <f>+D243+D244</f>
        <v>85094859</v>
      </c>
      <c r="E242" s="1362">
        <f t="shared" si="172"/>
        <v>28119865</v>
      </c>
      <c r="F242" s="1362">
        <f t="shared" si="172"/>
        <v>6344982</v>
      </c>
      <c r="G242" s="1362">
        <f t="shared" si="172"/>
        <v>8406775</v>
      </c>
      <c r="H242" s="1362">
        <f t="shared" si="172"/>
        <v>8774144</v>
      </c>
      <c r="I242" s="1362">
        <f t="shared" si="172"/>
        <v>9378093</v>
      </c>
      <c r="J242" s="1362">
        <f t="shared" si="172"/>
        <v>9430000</v>
      </c>
      <c r="K242" s="1362">
        <f t="shared" si="172"/>
        <v>8669000</v>
      </c>
      <c r="L242" s="1362">
        <f t="shared" si="172"/>
        <v>5972000</v>
      </c>
      <c r="M242" s="1363">
        <f>+M243+M244</f>
        <v>56974994</v>
      </c>
      <c r="N242" s="1363">
        <f>+N243+N244</f>
        <v>50630012</v>
      </c>
      <c r="O242" s="3777"/>
      <c r="P242" s="339"/>
      <c r="Q242" s="340"/>
      <c r="R242" s="339"/>
      <c r="S242" s="339"/>
      <c r="T242" s="339"/>
      <c r="U242" s="339"/>
      <c r="V242" s="339"/>
      <c r="W242" s="339"/>
      <c r="X242" s="339"/>
      <c r="Y242" s="339"/>
      <c r="Z242" s="339"/>
      <c r="AA242" s="339"/>
    </row>
    <row r="243" spans="1:27" s="303" customFormat="1" ht="13.5" thickBot="1">
      <c r="A243" s="154"/>
      <c r="B243" s="155" t="s">
        <v>12</v>
      </c>
      <c r="C243" s="3742"/>
      <c r="D243" s="1364">
        <f>+D251+D255+D261</f>
        <v>85094859</v>
      </c>
      <c r="E243" s="1364">
        <f>+E251+E255+E261</f>
        <v>28119865</v>
      </c>
      <c r="F243" s="1364">
        <f>+F251+F255+F261</f>
        <v>6344982</v>
      </c>
      <c r="G243" s="1364">
        <f t="shared" ref="G243" si="173">+G251+G255+G261</f>
        <v>8406775</v>
      </c>
      <c r="H243" s="1364">
        <f>+H251+H255+H261</f>
        <v>8774144</v>
      </c>
      <c r="I243" s="1364">
        <f>+I251+I255</f>
        <v>9378093</v>
      </c>
      <c r="J243" s="1364">
        <f t="shared" ref="J243:L243" si="174">+J251+J255</f>
        <v>9430000</v>
      </c>
      <c r="K243" s="1364">
        <f t="shared" si="174"/>
        <v>8669000</v>
      </c>
      <c r="L243" s="1364">
        <f t="shared" si="174"/>
        <v>5972000</v>
      </c>
      <c r="M243" s="1365">
        <f>SUM(F243:L243)</f>
        <v>56974994</v>
      </c>
      <c r="N243" s="1365">
        <f>SUM(G243:L243)</f>
        <v>50630012</v>
      </c>
      <c r="O243" s="3777"/>
      <c r="P243" s="2455"/>
    </row>
    <row r="244" spans="1:27" s="303" customFormat="1" ht="13.5" hidden="1" customHeight="1">
      <c r="A244" s="154"/>
      <c r="B244" s="155" t="s">
        <v>14</v>
      </c>
      <c r="C244" s="3742"/>
      <c r="D244" s="1364">
        <f t="shared" ref="D244" si="175">+D262</f>
        <v>0</v>
      </c>
      <c r="E244" s="1364">
        <f t="shared" ref="E244" si="176">+E262</f>
        <v>0</v>
      </c>
      <c r="F244" s="1364">
        <f>+F262</f>
        <v>0</v>
      </c>
      <c r="G244" s="1364">
        <f>+G262</f>
        <v>0</v>
      </c>
      <c r="H244" s="1364">
        <f>+H262</f>
        <v>0</v>
      </c>
      <c r="I244" s="1364">
        <f>+I262</f>
        <v>0</v>
      </c>
      <c r="J244" s="1364"/>
      <c r="K244" s="1364"/>
      <c r="L244" s="1364"/>
      <c r="M244" s="1365">
        <f>SUM(E244:K244)</f>
        <v>0</v>
      </c>
      <c r="N244" s="1365">
        <f>SUM(F244:L244)</f>
        <v>0</v>
      </c>
      <c r="O244" s="3777"/>
      <c r="P244" s="2455"/>
    </row>
    <row r="245" spans="1:27" s="295" customFormat="1" ht="15" hidden="1" customHeight="1">
      <c r="A245" s="148"/>
      <c r="B245" s="80" t="s">
        <v>21</v>
      </c>
      <c r="C245" s="88"/>
      <c r="D245" s="189">
        <f>+D246</f>
        <v>0</v>
      </c>
      <c r="E245" s="189">
        <f t="shared" ref="E245" si="177">+E246</f>
        <v>0</v>
      </c>
      <c r="F245" s="189">
        <f t="shared" ref="F245:I246" si="178">+F246</f>
        <v>0</v>
      </c>
      <c r="G245" s="189">
        <f t="shared" si="178"/>
        <v>0</v>
      </c>
      <c r="H245" s="189">
        <f t="shared" si="178"/>
        <v>0</v>
      </c>
      <c r="I245" s="189">
        <f t="shared" si="178"/>
        <v>0</v>
      </c>
      <c r="J245" s="189"/>
      <c r="K245" s="189"/>
      <c r="L245" s="189"/>
      <c r="M245" s="3653" t="s">
        <v>53</v>
      </c>
      <c r="N245" s="3653" t="s">
        <v>53</v>
      </c>
      <c r="O245" s="3777"/>
      <c r="P245" s="294"/>
      <c r="Q245" s="294"/>
    </row>
    <row r="246" spans="1:27" s="295" customFormat="1" ht="14.25" hidden="1" customHeight="1">
      <c r="A246" s="148"/>
      <c r="B246" s="152" t="s">
        <v>11</v>
      </c>
      <c r="C246" s="3741" t="s">
        <v>53</v>
      </c>
      <c r="D246" s="1362">
        <f>+D247</f>
        <v>0</v>
      </c>
      <c r="E246" s="1362">
        <f>+E247</f>
        <v>0</v>
      </c>
      <c r="F246" s="1362">
        <f t="shared" si="178"/>
        <v>0</v>
      </c>
      <c r="G246" s="1362">
        <f t="shared" si="178"/>
        <v>0</v>
      </c>
      <c r="H246" s="1362">
        <f t="shared" si="178"/>
        <v>0</v>
      </c>
      <c r="I246" s="1362">
        <f t="shared" si="178"/>
        <v>0</v>
      </c>
      <c r="J246" s="1362"/>
      <c r="K246" s="1362"/>
      <c r="L246" s="1362"/>
      <c r="M246" s="3654"/>
      <c r="N246" s="3654"/>
      <c r="O246" s="3777"/>
      <c r="P246" s="294"/>
      <c r="Q246" s="294"/>
    </row>
    <row r="247" spans="1:27" s="303" customFormat="1" ht="16.5" hidden="1" customHeight="1" thickBot="1">
      <c r="A247" s="154"/>
      <c r="B247" s="155" t="s">
        <v>14</v>
      </c>
      <c r="C247" s="3742"/>
      <c r="D247" s="1364">
        <f>+D265</f>
        <v>0</v>
      </c>
      <c r="E247" s="1364">
        <f>+E265</f>
        <v>0</v>
      </c>
      <c r="F247" s="1364">
        <f t="shared" ref="F247:I247" si="179">+F265</f>
        <v>0</v>
      </c>
      <c r="G247" s="1364">
        <f t="shared" si="179"/>
        <v>0</v>
      </c>
      <c r="H247" s="1364">
        <f t="shared" si="179"/>
        <v>0</v>
      </c>
      <c r="I247" s="1364">
        <f t="shared" si="179"/>
        <v>0</v>
      </c>
      <c r="J247" s="342"/>
      <c r="K247" s="342"/>
      <c r="L247" s="342"/>
      <c r="M247" s="3655"/>
      <c r="N247" s="3655"/>
      <c r="O247" s="3778"/>
      <c r="P247" s="293"/>
    </row>
    <row r="248" spans="1:27" s="311" customFormat="1" ht="25.5" customHeight="1" thickBot="1">
      <c r="A248" s="3772" t="s">
        <v>55</v>
      </c>
      <c r="B248" s="343" t="s">
        <v>618</v>
      </c>
      <c r="C248" s="344" t="s">
        <v>74</v>
      </c>
      <c r="D248" s="351"/>
      <c r="E248" s="350"/>
      <c r="F248" s="350"/>
      <c r="G248" s="350"/>
      <c r="H248" s="350"/>
      <c r="I248" s="350"/>
      <c r="J248" s="350"/>
      <c r="K248" s="350"/>
      <c r="L248" s="1201"/>
      <c r="M248" s="327"/>
      <c r="N248" s="327"/>
      <c r="O248" s="3745" t="s">
        <v>314</v>
      </c>
    </row>
    <row r="249" spans="1:27" s="311" customFormat="1" ht="13.5" thickBot="1">
      <c r="A249" s="3773"/>
      <c r="B249" s="80" t="s">
        <v>10</v>
      </c>
      <c r="C249" s="1236"/>
      <c r="D249" s="1247">
        <f>+D250</f>
        <v>2116724</v>
      </c>
      <c r="E249" s="1247">
        <f t="shared" ref="E249:N250" si="180">+E250</f>
        <v>2110900</v>
      </c>
      <c r="F249" s="1247">
        <f>+F250</f>
        <v>0</v>
      </c>
      <c r="G249" s="1247">
        <f>+G250</f>
        <v>5824</v>
      </c>
      <c r="H249" s="1349">
        <v>0</v>
      </c>
      <c r="I249" s="1349">
        <v>0</v>
      </c>
      <c r="J249" s="1349">
        <v>0</v>
      </c>
      <c r="K249" s="1349">
        <v>0</v>
      </c>
      <c r="L249" s="1349">
        <v>0</v>
      </c>
      <c r="M249" s="1350">
        <f t="shared" si="180"/>
        <v>5824</v>
      </c>
      <c r="N249" s="1350">
        <f t="shared" si="180"/>
        <v>5824</v>
      </c>
      <c r="O249" s="3745"/>
      <c r="P249" s="2455"/>
    </row>
    <row r="250" spans="1:27" s="311" customFormat="1" ht="12" customHeight="1" thickBot="1">
      <c r="A250" s="3773"/>
      <c r="B250" s="508" t="s">
        <v>23</v>
      </c>
      <c r="C250" s="3779" t="s">
        <v>147</v>
      </c>
      <c r="D250" s="1242">
        <f>+D251</f>
        <v>2116724</v>
      </c>
      <c r="E250" s="1242">
        <f t="shared" si="180"/>
        <v>2110900</v>
      </c>
      <c r="F250" s="1242">
        <f>+F251</f>
        <v>0</v>
      </c>
      <c r="G250" s="1242">
        <f>+G251</f>
        <v>5824</v>
      </c>
      <c r="H250" s="1243">
        <v>0</v>
      </c>
      <c r="I250" s="1243">
        <v>0</v>
      </c>
      <c r="J250" s="1243">
        <v>0</v>
      </c>
      <c r="K250" s="1243">
        <v>0</v>
      </c>
      <c r="L250" s="1243">
        <v>0</v>
      </c>
      <c r="M250" s="1366">
        <f t="shared" si="180"/>
        <v>5824</v>
      </c>
      <c r="N250" s="1366">
        <f t="shared" si="180"/>
        <v>5824</v>
      </c>
      <c r="O250" s="3745"/>
    </row>
    <row r="251" spans="1:27" s="311" customFormat="1" thickBot="1">
      <c r="A251" s="3774"/>
      <c r="B251" s="1141" t="s">
        <v>12</v>
      </c>
      <c r="C251" s="3755"/>
      <c r="D251" s="773">
        <f>E251+F251+G251+H251+I251+J251+K251+L251</f>
        <v>2116724</v>
      </c>
      <c r="E251" s="1239">
        <f>2110900</f>
        <v>2110900</v>
      </c>
      <c r="F251" s="448">
        <f>5824-5824</f>
        <v>0</v>
      </c>
      <c r="G251" s="448">
        <v>5824</v>
      </c>
      <c r="H251" s="545">
        <v>0</v>
      </c>
      <c r="I251" s="545">
        <v>0</v>
      </c>
      <c r="J251" s="545">
        <v>0</v>
      </c>
      <c r="K251" s="545">
        <v>0</v>
      </c>
      <c r="L251" s="545">
        <v>0</v>
      </c>
      <c r="M251" s="1241">
        <f>SUM(F251:L251)</f>
        <v>5824</v>
      </c>
      <c r="N251" s="1241">
        <f>SUM(G251:L251)</f>
        <v>5824</v>
      </c>
      <c r="O251" s="3775"/>
    </row>
    <row r="252" spans="1:27" s="311" customFormat="1" ht="20.25" customHeight="1">
      <c r="A252" s="3788" t="s">
        <v>56</v>
      </c>
      <c r="B252" s="1185" t="s">
        <v>765</v>
      </c>
      <c r="C252" s="1965" t="s">
        <v>101</v>
      </c>
      <c r="D252" s="181"/>
      <c r="E252" s="352"/>
      <c r="F252" s="352"/>
      <c r="G252" s="352"/>
      <c r="H252" s="352"/>
      <c r="I252" s="352"/>
      <c r="J252" s="352"/>
      <c r="K252" s="352"/>
      <c r="L252" s="2286"/>
      <c r="M252" s="327"/>
      <c r="N252" s="327"/>
      <c r="O252" s="3782" t="s">
        <v>315</v>
      </c>
      <c r="P252" s="2455"/>
    </row>
    <row r="253" spans="1:27" s="311" customFormat="1" ht="17.25" customHeight="1">
      <c r="A253" s="3789"/>
      <c r="B253" s="2055" t="s">
        <v>10</v>
      </c>
      <c r="C253" s="2821"/>
      <c r="D253" s="3127">
        <f>+D254</f>
        <v>82293135</v>
      </c>
      <c r="E253" s="3127">
        <f t="shared" ref="E253:N254" si="181">+E254</f>
        <v>26008965</v>
      </c>
      <c r="F253" s="3127">
        <f t="shared" si="181"/>
        <v>6344982</v>
      </c>
      <c r="G253" s="3127">
        <f t="shared" si="181"/>
        <v>8355951</v>
      </c>
      <c r="H253" s="3127">
        <f t="shared" si="181"/>
        <v>8134144</v>
      </c>
      <c r="I253" s="3127">
        <f t="shared" si="181"/>
        <v>9378093</v>
      </c>
      <c r="J253" s="3127">
        <f t="shared" si="181"/>
        <v>9430000</v>
      </c>
      <c r="K253" s="3127">
        <f t="shared" si="181"/>
        <v>8669000</v>
      </c>
      <c r="L253" s="3127">
        <f t="shared" si="181"/>
        <v>5972000</v>
      </c>
      <c r="M253" s="1908">
        <f t="shared" si="181"/>
        <v>56284170</v>
      </c>
      <c r="N253" s="1908">
        <f t="shared" si="181"/>
        <v>49939188</v>
      </c>
      <c r="O253" s="3783"/>
    </row>
    <row r="254" spans="1:27" s="311" customFormat="1" ht="14.25" customHeight="1">
      <c r="A254" s="3789"/>
      <c r="B254" s="2708" t="s">
        <v>23</v>
      </c>
      <c r="C254" s="3785" t="s">
        <v>140</v>
      </c>
      <c r="D254" s="3128">
        <f>+D255</f>
        <v>82293135</v>
      </c>
      <c r="E254" s="3129">
        <f t="shared" si="181"/>
        <v>26008965</v>
      </c>
      <c r="F254" s="3130">
        <f t="shared" si="181"/>
        <v>6344982</v>
      </c>
      <c r="G254" s="3131">
        <f t="shared" si="181"/>
        <v>8355951</v>
      </c>
      <c r="H254" s="3131">
        <f t="shared" si="181"/>
        <v>8134144</v>
      </c>
      <c r="I254" s="3131">
        <f t="shared" si="181"/>
        <v>9378093</v>
      </c>
      <c r="J254" s="3131">
        <f t="shared" si="181"/>
        <v>9430000</v>
      </c>
      <c r="K254" s="3131">
        <f t="shared" si="181"/>
        <v>8669000</v>
      </c>
      <c r="L254" s="3131">
        <f t="shared" si="181"/>
        <v>5972000</v>
      </c>
      <c r="M254" s="1911">
        <f t="shared" si="181"/>
        <v>56284170</v>
      </c>
      <c r="N254" s="1911">
        <f t="shared" si="181"/>
        <v>49939188</v>
      </c>
      <c r="O254" s="3783"/>
    </row>
    <row r="255" spans="1:27" s="311" customFormat="1" ht="15" customHeight="1" thickBot="1">
      <c r="A255" s="3789"/>
      <c r="B255" s="3132" t="s">
        <v>12</v>
      </c>
      <c r="C255" s="3786"/>
      <c r="D255" s="3133">
        <f>E255+F255+G255+H255+I255+J255+K255+L255</f>
        <v>82293135</v>
      </c>
      <c r="E255" s="3134">
        <f>20241982+5766983</f>
        <v>26008965</v>
      </c>
      <c r="F255" s="3135">
        <f>0+8835105-2490123</f>
        <v>6344982</v>
      </c>
      <c r="G255" s="3136">
        <f>0+7382305+973646</f>
        <v>8355951</v>
      </c>
      <c r="H255" s="3136">
        <f>H256+H257</f>
        <v>8134144</v>
      </c>
      <c r="I255" s="3136">
        <f>I256+I257</f>
        <v>9378093</v>
      </c>
      <c r="J255" s="3136">
        <f t="shared" ref="J255:L255" si="182">J256+J257</f>
        <v>9430000</v>
      </c>
      <c r="K255" s="3136">
        <f t="shared" si="182"/>
        <v>8669000</v>
      </c>
      <c r="L255" s="3136">
        <f t="shared" si="182"/>
        <v>5972000</v>
      </c>
      <c r="M255" s="3137">
        <f>SUM(F255:L255)</f>
        <v>56284170</v>
      </c>
      <c r="N255" s="3137">
        <f>SUM(G255:L255)</f>
        <v>49939188</v>
      </c>
      <c r="O255" s="3783"/>
    </row>
    <row r="256" spans="1:27" s="311" customFormat="1" ht="15" hidden="1" customHeight="1">
      <c r="A256" s="3789"/>
      <c r="B256" s="3138" t="s">
        <v>750</v>
      </c>
      <c r="C256" s="3786"/>
      <c r="D256" s="3139"/>
      <c r="E256" s="3140"/>
      <c r="F256" s="3141"/>
      <c r="G256" s="3141"/>
      <c r="H256" s="3142">
        <v>7856850</v>
      </c>
      <c r="I256" s="3142">
        <v>9160000</v>
      </c>
      <c r="J256" s="3142">
        <v>9220000</v>
      </c>
      <c r="K256" s="3142">
        <v>8459000</v>
      </c>
      <c r="L256" s="3142">
        <v>5762000</v>
      </c>
      <c r="M256" s="3143"/>
      <c r="N256" s="3137">
        <f>SUM(G256:L256)</f>
        <v>40457850</v>
      </c>
      <c r="O256" s="3783"/>
    </row>
    <row r="257" spans="1:16" s="311" customFormat="1" ht="15" hidden="1" customHeight="1" thickBot="1">
      <c r="A257" s="3790"/>
      <c r="B257" s="3144" t="s">
        <v>749</v>
      </c>
      <c r="C257" s="3787"/>
      <c r="D257" s="3145"/>
      <c r="E257" s="3146"/>
      <c r="F257" s="3147"/>
      <c r="G257" s="3147"/>
      <c r="H257" s="3148">
        <v>277294</v>
      </c>
      <c r="I257" s="3148">
        <v>218093</v>
      </c>
      <c r="J257" s="3148">
        <v>210000</v>
      </c>
      <c r="K257" s="3148">
        <v>210000</v>
      </c>
      <c r="L257" s="3148">
        <v>210000</v>
      </c>
      <c r="M257" s="3149"/>
      <c r="N257" s="3150">
        <f>SUM(G257:L257)</f>
        <v>1125387</v>
      </c>
      <c r="O257" s="3784"/>
    </row>
    <row r="258" spans="1:16" s="311" customFormat="1" ht="24.75" customHeight="1" thickBot="1">
      <c r="A258" s="3772" t="s">
        <v>57</v>
      </c>
      <c r="B258" s="164" t="s">
        <v>651</v>
      </c>
      <c r="C258" s="344" t="s">
        <v>101</v>
      </c>
      <c r="D258" s="181"/>
      <c r="E258" s="352"/>
      <c r="F258" s="352"/>
      <c r="G258" s="352"/>
      <c r="H258" s="352"/>
      <c r="I258" s="352"/>
      <c r="J258" s="352"/>
      <c r="K258" s="352"/>
      <c r="L258" s="2286"/>
      <c r="M258" s="2914"/>
      <c r="N258" s="2915"/>
      <c r="O258" s="3745" t="s">
        <v>314</v>
      </c>
      <c r="P258" s="2455"/>
    </row>
    <row r="259" spans="1:16" s="311" customFormat="1" thickBot="1">
      <c r="A259" s="3773"/>
      <c r="B259" s="2073" t="s">
        <v>10</v>
      </c>
      <c r="C259" s="2916"/>
      <c r="D259" s="1247">
        <f>+D260</f>
        <v>685000</v>
      </c>
      <c r="E259" s="1247">
        <f t="shared" ref="E259:L259" si="183">+E260</f>
        <v>0</v>
      </c>
      <c r="F259" s="1247">
        <f t="shared" si="183"/>
        <v>0</v>
      </c>
      <c r="G259" s="1247">
        <f t="shared" si="183"/>
        <v>45000</v>
      </c>
      <c r="H259" s="1247">
        <f t="shared" si="183"/>
        <v>640000</v>
      </c>
      <c r="I259" s="1349">
        <f t="shared" si="183"/>
        <v>0</v>
      </c>
      <c r="J259" s="1349">
        <f t="shared" si="183"/>
        <v>0</v>
      </c>
      <c r="K259" s="1349">
        <f t="shared" si="183"/>
        <v>0</v>
      </c>
      <c r="L259" s="1349">
        <f t="shared" si="183"/>
        <v>0</v>
      </c>
      <c r="M259" s="1908">
        <f>+M260</f>
        <v>685000</v>
      </c>
      <c r="N259" s="336">
        <f>+N260</f>
        <v>685000</v>
      </c>
      <c r="O259" s="3745"/>
    </row>
    <row r="260" spans="1:16" s="311" customFormat="1" thickBot="1">
      <c r="A260" s="3773"/>
      <c r="B260" s="2111" t="s">
        <v>23</v>
      </c>
      <c r="C260" s="3780">
        <v>75018</v>
      </c>
      <c r="D260" s="1910">
        <f>+D261+D262</f>
        <v>685000</v>
      </c>
      <c r="E260" s="1910">
        <f t="shared" ref="E260" si="184">+E261+E262</f>
        <v>0</v>
      </c>
      <c r="F260" s="1910">
        <f t="shared" ref="F260:N260" si="185">+F261+F262</f>
        <v>0</v>
      </c>
      <c r="G260" s="1255">
        <f t="shared" si="185"/>
        <v>45000</v>
      </c>
      <c r="H260" s="1255">
        <f t="shared" si="185"/>
        <v>640000</v>
      </c>
      <c r="I260" s="1581">
        <f t="shared" si="185"/>
        <v>0</v>
      </c>
      <c r="J260" s="1581">
        <f t="shared" si="185"/>
        <v>0</v>
      </c>
      <c r="K260" s="1581">
        <f t="shared" si="185"/>
        <v>0</v>
      </c>
      <c r="L260" s="1581">
        <f t="shared" si="185"/>
        <v>0</v>
      </c>
      <c r="M260" s="1911">
        <f t="shared" ref="M260" si="186">+M261+M262</f>
        <v>685000</v>
      </c>
      <c r="N260" s="2917">
        <f t="shared" si="185"/>
        <v>685000</v>
      </c>
      <c r="O260" s="3745"/>
    </row>
    <row r="261" spans="1:16" s="311" customFormat="1" ht="13.5" thickBot="1">
      <c r="A261" s="3774"/>
      <c r="B261" s="3151" t="s">
        <v>12</v>
      </c>
      <c r="C261" s="3781"/>
      <c r="D261" s="1570">
        <f>E261+F261+G261+H261+I261+J261+K261+L261</f>
        <v>685000</v>
      </c>
      <c r="E261" s="2918">
        <v>0</v>
      </c>
      <c r="F261" s="2919"/>
      <c r="G261" s="2920">
        <v>45000</v>
      </c>
      <c r="H261" s="2920">
        <v>640000</v>
      </c>
      <c r="I261" s="3152">
        <v>0</v>
      </c>
      <c r="J261" s="3152">
        <v>0</v>
      </c>
      <c r="K261" s="3152">
        <v>0</v>
      </c>
      <c r="L261" s="3152">
        <v>0</v>
      </c>
      <c r="M261" s="2921">
        <f>SUM(F261:K261)</f>
        <v>685000</v>
      </c>
      <c r="N261" s="2921">
        <f>SUM(G261:L261)</f>
        <v>685000</v>
      </c>
      <c r="O261" s="3775"/>
    </row>
    <row r="262" spans="1:16" s="311" customFormat="1" ht="13.5" hidden="1" customHeight="1" thickBot="1">
      <c r="A262" s="823"/>
      <c r="B262" s="2454" t="s">
        <v>14</v>
      </c>
      <c r="C262" s="824"/>
      <c r="D262" s="766">
        <f>E262+F262+G262+H262+I262+J262+K262+L262</f>
        <v>0</v>
      </c>
      <c r="E262" s="826"/>
      <c r="F262" s="827">
        <v>0</v>
      </c>
      <c r="G262" s="827">
        <v>0</v>
      </c>
      <c r="H262" s="827">
        <v>0</v>
      </c>
      <c r="I262" s="827">
        <v>0</v>
      </c>
      <c r="J262" s="827">
        <v>0</v>
      </c>
      <c r="K262" s="827">
        <v>0</v>
      </c>
      <c r="L262" s="827">
        <v>0</v>
      </c>
      <c r="M262" s="627">
        <f>SUM(E262:K262)</f>
        <v>0</v>
      </c>
      <c r="N262" s="627">
        <f>SUM(F262:L262)</f>
        <v>0</v>
      </c>
      <c r="O262" s="2333"/>
    </row>
    <row r="263" spans="1:16" s="2454" customFormat="1" ht="13.5" hidden="1" customHeight="1">
      <c r="A263" s="823"/>
      <c r="B263" s="531" t="s">
        <v>21</v>
      </c>
      <c r="C263" s="821"/>
      <c r="D263" s="549">
        <f>+D264</f>
        <v>0</v>
      </c>
      <c r="E263" s="549">
        <f t="shared" ref="E263:L263" si="187">+E264</f>
        <v>0</v>
      </c>
      <c r="F263" s="558">
        <f t="shared" si="187"/>
        <v>0</v>
      </c>
      <c r="G263" s="558">
        <f t="shared" si="187"/>
        <v>0</v>
      </c>
      <c r="H263" s="533">
        <f t="shared" si="187"/>
        <v>0</v>
      </c>
      <c r="I263" s="558">
        <f t="shared" si="187"/>
        <v>0</v>
      </c>
      <c r="J263" s="558">
        <f t="shared" si="187"/>
        <v>0</v>
      </c>
      <c r="K263" s="533">
        <f t="shared" si="187"/>
        <v>0</v>
      </c>
      <c r="L263" s="558">
        <f t="shared" si="187"/>
        <v>0</v>
      </c>
      <c r="M263" s="3653" t="s">
        <v>22</v>
      </c>
      <c r="N263" s="3653" t="s">
        <v>22</v>
      </c>
      <c r="O263" s="2333"/>
    </row>
    <row r="264" spans="1:16" s="2454" customFormat="1" ht="13.5" hidden="1" customHeight="1">
      <c r="A264" s="2732"/>
      <c r="B264" s="508" t="s">
        <v>23</v>
      </c>
      <c r="C264" s="3743" t="s">
        <v>367</v>
      </c>
      <c r="D264" s="822">
        <f t="shared" ref="D264:L264" si="188">+D265</f>
        <v>0</v>
      </c>
      <c r="E264" s="822">
        <f t="shared" si="188"/>
        <v>0</v>
      </c>
      <c r="F264" s="546">
        <f t="shared" si="188"/>
        <v>0</v>
      </c>
      <c r="G264" s="546">
        <f t="shared" si="188"/>
        <v>0</v>
      </c>
      <c r="H264" s="562">
        <f t="shared" si="188"/>
        <v>0</v>
      </c>
      <c r="I264" s="563">
        <f t="shared" si="188"/>
        <v>0</v>
      </c>
      <c r="J264" s="546">
        <f t="shared" si="188"/>
        <v>0</v>
      </c>
      <c r="K264" s="562">
        <f t="shared" si="188"/>
        <v>0</v>
      </c>
      <c r="L264" s="563">
        <f t="shared" si="188"/>
        <v>0</v>
      </c>
      <c r="M264" s="3654"/>
      <c r="N264" s="3654"/>
      <c r="O264" s="2334"/>
    </row>
    <row r="265" spans="1:16" s="2454" customFormat="1" ht="22.5" hidden="1" customHeight="1" thickBot="1">
      <c r="A265" s="2724"/>
      <c r="B265" s="2797" t="s">
        <v>14</v>
      </c>
      <c r="C265" s="3744"/>
      <c r="D265" s="766">
        <f>E265+F265+G265+H265+I265+J265+K265+L265</f>
        <v>0</v>
      </c>
      <c r="E265" s="559">
        <v>0</v>
      </c>
      <c r="F265" s="564">
        <v>0</v>
      </c>
      <c r="G265" s="564">
        <v>0</v>
      </c>
      <c r="H265" s="565">
        <v>0</v>
      </c>
      <c r="I265" s="565">
        <v>0</v>
      </c>
      <c r="J265" s="564">
        <v>0</v>
      </c>
      <c r="K265" s="565">
        <v>0</v>
      </c>
      <c r="L265" s="565">
        <v>0</v>
      </c>
      <c r="M265" s="3655"/>
      <c r="N265" s="3655"/>
      <c r="O265" s="1098"/>
    </row>
    <row r="266" spans="1:16" ht="14.25" customHeight="1">
      <c r="A266" s="3771" t="s">
        <v>425</v>
      </c>
      <c r="B266" s="3771"/>
      <c r="C266" s="3771"/>
      <c r="D266" s="3771"/>
      <c r="E266" s="3771"/>
      <c r="F266" s="3771"/>
      <c r="G266" s="3771"/>
      <c r="H266" s="3771"/>
      <c r="I266" s="3771"/>
      <c r="J266" s="3771"/>
      <c r="K266" s="3771"/>
      <c r="L266" s="3771"/>
      <c r="M266" s="3771"/>
      <c r="N266" s="3771"/>
      <c r="O266" s="3771"/>
    </row>
    <row r="267" spans="1:16" ht="14.25" customHeight="1">
      <c r="A267" s="3771" t="s">
        <v>741</v>
      </c>
      <c r="B267" s="3771"/>
      <c r="C267" s="3771"/>
      <c r="D267" s="3771"/>
      <c r="E267" s="3771"/>
      <c r="F267" s="3771"/>
      <c r="G267" s="3771"/>
      <c r="H267" s="3771"/>
      <c r="I267" s="3771"/>
      <c r="J267" s="3771"/>
      <c r="K267" s="3771"/>
      <c r="L267" s="3771"/>
      <c r="M267" s="3771"/>
      <c r="N267" s="3771"/>
      <c r="O267" s="3771"/>
    </row>
    <row r="268" spans="1:16" ht="12.75" customHeight="1">
      <c r="A268" s="3771" t="s">
        <v>740</v>
      </c>
      <c r="B268" s="3771"/>
      <c r="C268" s="3771"/>
      <c r="D268" s="3771"/>
      <c r="E268" s="3771"/>
      <c r="F268" s="3771"/>
      <c r="G268" s="3771"/>
      <c r="H268" s="3771"/>
      <c r="I268" s="3771"/>
      <c r="J268" s="3771"/>
      <c r="K268" s="3771"/>
      <c r="L268" s="3771"/>
      <c r="M268" s="3771"/>
      <c r="N268" s="3771"/>
      <c r="O268" s="3771"/>
    </row>
    <row r="269" spans="1:16" ht="13.5" customHeight="1">
      <c r="A269" s="2963"/>
      <c r="B269" s="1127" t="s">
        <v>448</v>
      </c>
      <c r="C269" s="2743"/>
      <c r="D269" s="2743"/>
      <c r="E269" s="2743"/>
      <c r="F269" s="2743"/>
      <c r="G269" s="2743"/>
      <c r="H269" s="2743"/>
      <c r="I269" s="2743"/>
      <c r="J269" s="2743"/>
      <c r="K269" s="2743"/>
      <c r="L269" s="2743"/>
      <c r="M269" s="2963"/>
      <c r="N269" s="2963"/>
      <c r="O269" s="2963"/>
    </row>
    <row r="270" spans="1:16" ht="13.5" customHeight="1">
      <c r="A270" s="2963"/>
      <c r="B270" s="1160" t="s">
        <v>449</v>
      </c>
      <c r="C270" s="2743"/>
      <c r="D270" s="2744">
        <f t="shared" ref="D270:L270" si="189">+D220+D115+D77+D54+D35</f>
        <v>199693184</v>
      </c>
      <c r="E270" s="2744">
        <f t="shared" si="189"/>
        <v>17210565</v>
      </c>
      <c r="F270" s="2744">
        <f t="shared" si="189"/>
        <v>25237472</v>
      </c>
      <c r="G270" s="2744">
        <f t="shared" si="189"/>
        <v>28992234</v>
      </c>
      <c r="H270" s="2744">
        <f t="shared" si="189"/>
        <v>29236900</v>
      </c>
      <c r="I270" s="2744">
        <f t="shared" si="189"/>
        <v>16257962</v>
      </c>
      <c r="J270" s="2744">
        <f t="shared" si="189"/>
        <v>23112431</v>
      </c>
      <c r="K270" s="2744">
        <f t="shared" si="189"/>
        <v>23572239</v>
      </c>
      <c r="L270" s="2744">
        <f t="shared" si="189"/>
        <v>22656667</v>
      </c>
      <c r="M270" s="2963"/>
      <c r="N270" s="2963"/>
      <c r="O270" s="2963"/>
    </row>
    <row r="271" spans="1:16" ht="13.5" customHeight="1">
      <c r="A271" s="2963"/>
      <c r="B271" s="1160" t="s">
        <v>450</v>
      </c>
      <c r="C271" s="2743"/>
      <c r="D271" s="2744">
        <f t="shared" ref="D271:L271" si="190">+D66+D88+D134+D147+D231</f>
        <v>72050516</v>
      </c>
      <c r="E271" s="2744">
        <f t="shared" si="190"/>
        <v>499765</v>
      </c>
      <c r="F271" s="2744">
        <f t="shared" si="190"/>
        <v>1258342</v>
      </c>
      <c r="G271" s="2744">
        <f t="shared" si="190"/>
        <v>2066326</v>
      </c>
      <c r="H271" s="2744">
        <f t="shared" si="190"/>
        <v>12878548</v>
      </c>
      <c r="I271" s="2744">
        <f t="shared" si="190"/>
        <v>36253035</v>
      </c>
      <c r="J271" s="2744">
        <f t="shared" si="190"/>
        <v>18700000</v>
      </c>
      <c r="K271" s="2744">
        <f t="shared" si="190"/>
        <v>200000</v>
      </c>
      <c r="L271" s="2744">
        <f t="shared" si="190"/>
        <v>144500</v>
      </c>
      <c r="M271" s="2963"/>
      <c r="N271" s="2963"/>
      <c r="O271" s="2963"/>
    </row>
    <row r="272" spans="1:16" ht="13.5" customHeight="1">
      <c r="A272" s="2963"/>
      <c r="B272" s="1160" t="s">
        <v>451</v>
      </c>
      <c r="C272" s="2743"/>
      <c r="D272" s="1125">
        <f>D270+D271</f>
        <v>271743700</v>
      </c>
      <c r="E272" s="1125">
        <f t="shared" ref="E272:L272" si="191">E270+E271</f>
        <v>17710330</v>
      </c>
      <c r="F272" s="1125">
        <f>F270+F271</f>
        <v>26495814</v>
      </c>
      <c r="G272" s="1125">
        <f t="shared" si="191"/>
        <v>31058560</v>
      </c>
      <c r="H272" s="1125">
        <f t="shared" si="191"/>
        <v>42115448</v>
      </c>
      <c r="I272" s="1125">
        <f t="shared" si="191"/>
        <v>52510997</v>
      </c>
      <c r="J272" s="1125">
        <f t="shared" si="191"/>
        <v>41812431</v>
      </c>
      <c r="K272" s="1125">
        <f t="shared" si="191"/>
        <v>23772239</v>
      </c>
      <c r="L272" s="1125">
        <f t="shared" si="191"/>
        <v>22801167</v>
      </c>
      <c r="M272" s="2963"/>
      <c r="N272" s="2963"/>
      <c r="O272" s="2963"/>
    </row>
    <row r="273" spans="1:15" ht="13.5" customHeight="1">
      <c r="A273" s="2963"/>
      <c r="B273" s="1122" t="s">
        <v>41</v>
      </c>
      <c r="C273" s="1124"/>
      <c r="D273" s="1126">
        <f t="shared" ref="D273:L273" si="192">D20-D272</f>
        <v>0</v>
      </c>
      <c r="E273" s="1126">
        <f t="shared" si="192"/>
        <v>0</v>
      </c>
      <c r="F273" s="1126">
        <f t="shared" si="192"/>
        <v>0</v>
      </c>
      <c r="G273" s="1126">
        <f t="shared" si="192"/>
        <v>0</v>
      </c>
      <c r="H273" s="1126">
        <f t="shared" si="192"/>
        <v>0</v>
      </c>
      <c r="I273" s="1126">
        <f t="shared" si="192"/>
        <v>0</v>
      </c>
      <c r="J273" s="1126">
        <f t="shared" si="192"/>
        <v>0</v>
      </c>
      <c r="K273" s="1126">
        <f t="shared" si="192"/>
        <v>0</v>
      </c>
      <c r="L273" s="1126">
        <f t="shared" si="192"/>
        <v>0</v>
      </c>
      <c r="M273" s="2963"/>
      <c r="N273" s="2963"/>
      <c r="O273" s="2963"/>
    </row>
    <row r="274" spans="1:15" ht="31.5" customHeight="1">
      <c r="A274" s="2963"/>
      <c r="B274" s="2963"/>
      <c r="C274" s="2963"/>
      <c r="D274" s="2963"/>
      <c r="E274" s="2963"/>
      <c r="F274" s="2963"/>
      <c r="G274" s="2963"/>
      <c r="H274" s="2963"/>
      <c r="I274" s="2963"/>
      <c r="J274" s="2963"/>
      <c r="K274" s="2963"/>
      <c r="L274" s="2963"/>
      <c r="M274" s="2963"/>
      <c r="N274" s="2963"/>
      <c r="O274" s="2963"/>
    </row>
    <row r="275" spans="1:15" ht="31.5" customHeight="1">
      <c r="A275" s="2963"/>
      <c r="B275" s="2963"/>
      <c r="C275" s="2963"/>
      <c r="D275" s="2963"/>
      <c r="E275" s="2963"/>
      <c r="F275" s="2963"/>
      <c r="G275" s="2963"/>
      <c r="H275" s="2963"/>
      <c r="I275" s="2963"/>
      <c r="J275" s="2963"/>
      <c r="K275" s="2963"/>
      <c r="L275" s="2963"/>
      <c r="M275" s="2963"/>
      <c r="N275" s="2963"/>
      <c r="O275" s="2963"/>
    </row>
    <row r="276" spans="1:15">
      <c r="B276" s="3153" t="s">
        <v>41</v>
      </c>
    </row>
    <row r="277" spans="1:15">
      <c r="B277" s="3770" t="s">
        <v>241</v>
      </c>
      <c r="C277" s="2798" t="s">
        <v>101</v>
      </c>
      <c r="D277" s="2800" t="e">
        <f>D115-#REF!-#REF!-F115-G115-H115-I115-J115-K115-L115</f>
        <v>#REF!</v>
      </c>
      <c r="E277" s="2798" t="s">
        <v>101</v>
      </c>
    </row>
    <row r="278" spans="1:15">
      <c r="B278" s="3770"/>
      <c r="C278" s="2798" t="s">
        <v>74</v>
      </c>
      <c r="D278" s="2800" t="e">
        <f>D134-#REF!-#REF!-F134-G134-H134-I134-J134-K134-L134</f>
        <v>#REF!</v>
      </c>
      <c r="E278" s="2798" t="s">
        <v>74</v>
      </c>
    </row>
    <row r="279" spans="1:15">
      <c r="B279" s="3770"/>
      <c r="D279" s="345" t="e">
        <f>D277+D278</f>
        <v>#REF!</v>
      </c>
    </row>
    <row r="281" spans="1:15">
      <c r="B281" s="3154" t="s">
        <v>774</v>
      </c>
      <c r="C281" s="2798" t="s">
        <v>101</v>
      </c>
      <c r="D281" s="2800" t="e">
        <f>+D105-#REF!-#REF!-F105-G105-H105-I105-J105-K105-L105</f>
        <v>#REF!</v>
      </c>
    </row>
    <row r="282" spans="1:15">
      <c r="C282" s="2798" t="s">
        <v>74</v>
      </c>
      <c r="D282" s="2800" t="e">
        <f>D124-#REF!-#REF!-F124-G124-H124-I124-J124-K124-L124</f>
        <v>#REF!</v>
      </c>
    </row>
    <row r="283" spans="1:15">
      <c r="D283" s="345" t="e">
        <f>D281+D282</f>
        <v>#REF!</v>
      </c>
    </row>
    <row r="285" spans="1:15">
      <c r="B285" s="3154" t="s">
        <v>243</v>
      </c>
      <c r="D285" s="345" t="e">
        <f>+D96-#REF!-#REF!-F96-G96-H96-I96-J96-K96-L96</f>
        <v>#REF!</v>
      </c>
    </row>
    <row r="287" spans="1:15">
      <c r="B287" s="2798" t="s">
        <v>242</v>
      </c>
      <c r="D287" s="345" t="e">
        <f>D283+D285</f>
        <v>#REF!</v>
      </c>
    </row>
    <row r="288" spans="1:15">
      <c r="E288" s="2800"/>
    </row>
    <row r="289" spans="2:14">
      <c r="B289" s="2798" t="s">
        <v>356</v>
      </c>
      <c r="D289" s="2800">
        <f t="shared" ref="D289:L289" si="193">+D96+D106</f>
        <v>217427656</v>
      </c>
      <c r="E289" s="2800">
        <f t="shared" si="193"/>
        <v>23889218</v>
      </c>
      <c r="F289" s="2800">
        <f t="shared" si="193"/>
        <v>25563976</v>
      </c>
      <c r="G289" s="2800">
        <f t="shared" si="193"/>
        <v>29167993</v>
      </c>
      <c r="H289" s="2800">
        <f t="shared" si="193"/>
        <v>31341732</v>
      </c>
      <c r="I289" s="2800">
        <f t="shared" si="193"/>
        <v>30064390</v>
      </c>
      <c r="J289" s="2800">
        <f t="shared" si="193"/>
        <v>26593043</v>
      </c>
      <c r="K289" s="2800">
        <f t="shared" si="193"/>
        <v>25498869</v>
      </c>
      <c r="L289" s="2800">
        <f t="shared" si="193"/>
        <v>25308435</v>
      </c>
      <c r="M289" s="2800">
        <f>SUM(D289:K289)-C289</f>
        <v>409546877</v>
      </c>
      <c r="N289" s="2800">
        <f>SUM(E289:L289)-D289</f>
        <v>0</v>
      </c>
    </row>
    <row r="290" spans="2:14">
      <c r="B290" s="2798" t="s">
        <v>357</v>
      </c>
      <c r="D290" s="2800">
        <f t="shared" ref="D290:L290" si="194">+D125</f>
        <v>2741069</v>
      </c>
      <c r="E290" s="2800">
        <f t="shared" si="194"/>
        <v>357504</v>
      </c>
      <c r="F290" s="2800">
        <f t="shared" si="194"/>
        <v>421938</v>
      </c>
      <c r="G290" s="2800">
        <f t="shared" si="194"/>
        <v>600000</v>
      </c>
      <c r="H290" s="2800">
        <f t="shared" si="194"/>
        <v>617127</v>
      </c>
      <c r="I290" s="2800">
        <f t="shared" si="194"/>
        <v>200000</v>
      </c>
      <c r="J290" s="2800">
        <f t="shared" si="194"/>
        <v>200000</v>
      </c>
      <c r="K290" s="2800">
        <f t="shared" si="194"/>
        <v>200000</v>
      </c>
      <c r="L290" s="2800">
        <f t="shared" si="194"/>
        <v>144500</v>
      </c>
      <c r="M290" s="2800">
        <f>SUM(D290:K290)-C290</f>
        <v>5337638</v>
      </c>
      <c r="N290" s="2800">
        <f>SUM(E290:L290)-D290</f>
        <v>0</v>
      </c>
    </row>
    <row r="292" spans="2:14">
      <c r="B292" s="2798" t="s">
        <v>355</v>
      </c>
      <c r="D292" s="2800">
        <f>+D115+'Tab. 6B Polit społ i rozwój prz'!D92+D134+'Tab. 6B Polit społ i rozwój prz'!D104</f>
        <v>249298062</v>
      </c>
      <c r="F292" s="2800">
        <f>+F115+'Tab. 6B Polit społ i rozwój prz'!F92+F134+'Tab. 6B Polit społ i rozwój prz'!F104</f>
        <v>31107442</v>
      </c>
      <c r="G292" s="2800">
        <f>+G115+'Tab. 6B Polit społ i rozwój prz'!G92+G134+'Tab. 6B Polit społ i rozwój prz'!G104</f>
        <v>31772176</v>
      </c>
      <c r="H292" s="2800">
        <f>+H115+'Tab. 6B Polit społ i rozwój prz'!H92+H134+'Tab. 6B Polit społ i rozwój prz'!H104</f>
        <v>37179474</v>
      </c>
      <c r="I292" s="2800">
        <f>+I115+'Tab. 6B Polit społ i rozwój prz'!I92+I134+'Tab. 6B Polit społ i rozwój prz'!I104</f>
        <v>22696965</v>
      </c>
      <c r="J292" s="2800">
        <f>+J115+'Tab. 6B Polit społ i rozwój prz'!J92+J134+'Tab. 6B Polit społ i rozwój prz'!J104</f>
        <v>31000000</v>
      </c>
      <c r="K292" s="2800">
        <f>+K115+'Tab. 6B Polit społ i rozwój prz'!K92+K134+'Tab. 6B Polit społ i rozwój prz'!K104</f>
        <v>31000000</v>
      </c>
      <c r="L292" s="2800">
        <f>+L115+'Tab. 6B Polit społ i rozwój prz'!L92+L134+'Tab. 6B Polit społ i rozwój prz'!L104</f>
        <v>28958648</v>
      </c>
      <c r="M292" s="2800">
        <f>SUM(D292:K292)-C292</f>
        <v>434054119</v>
      </c>
      <c r="N292" s="2800">
        <f>SUM(E292:L292)-D292</f>
        <v>-35583357</v>
      </c>
    </row>
    <row r="293" spans="2:14">
      <c r="B293" s="2798" t="s">
        <v>354</v>
      </c>
      <c r="D293" s="2800">
        <f>+D94+D119+'Tab. 6B Polit społ i rozwój prz'!D86+'Tab. 6B Polit społ i rozwój prz'!D98</f>
        <v>296468308</v>
      </c>
      <c r="E293" s="2800">
        <f>+E94+E119+'Tab. 6B Polit społ i rozwój prz'!E86+'Tab. 6B Polit społ i rozwój prz'!E98</f>
        <v>33319105</v>
      </c>
      <c r="F293" s="2800">
        <f>+F94+F119+'Tab. 6B Polit społ i rozwój prz'!F86+'Tab. 6B Polit społ i rozwój prz'!F98</f>
        <v>35816680</v>
      </c>
      <c r="G293" s="2800">
        <f>+G94+G119+'Tab. 6B Polit społ i rozwój prz'!G86+'Tab. 6B Polit społ i rozwój prz'!G98</f>
        <v>40317986</v>
      </c>
      <c r="H293" s="2800">
        <f>+H94+H119+'Tab. 6B Polit społ i rozwój prz'!H86+'Tab. 6B Polit społ i rozwój prz'!H98</f>
        <v>42647402</v>
      </c>
      <c r="I293" s="2800">
        <f>+I94+I119+'Tab. 6B Polit społ i rozwój prz'!I86+'Tab. 6B Polit społ i rozwój prz'!I98</f>
        <v>40043130</v>
      </c>
      <c r="J293" s="2800">
        <f>+J94+J119+'Tab. 6B Polit społ i rozwój prz'!J86+'Tab. 6B Polit społ i rozwój prz'!J98</f>
        <v>36454337</v>
      </c>
      <c r="K293" s="2800">
        <f>+K94+K119+'Tab. 6B Polit społ i rozwój prz'!K86+'Tab. 6B Polit społ i rozwój prz'!K98</f>
        <v>34640162</v>
      </c>
      <c r="L293" s="2800">
        <f>+L94+L119+'Tab. 6B Polit społ i rozwój prz'!L86+'Tab. 6B Polit społ i rozwój prz'!L98</f>
        <v>33229506</v>
      </c>
      <c r="M293" s="2800">
        <f>SUM(D293:K293)-C293</f>
        <v>559707110</v>
      </c>
      <c r="N293" s="2800">
        <f>SUM(E293:L293)-D293</f>
        <v>0</v>
      </c>
    </row>
    <row r="298" spans="2:14">
      <c r="B298" s="2798" t="s">
        <v>280</v>
      </c>
      <c r="C298" s="2798" t="s">
        <v>278</v>
      </c>
      <c r="D298" s="2800">
        <f>+D210+D176</f>
        <v>18000000</v>
      </c>
      <c r="F298" s="2800">
        <f t="shared" ref="F298:K298" si="195">+F210+F176</f>
        <v>986569</v>
      </c>
      <c r="G298" s="2800">
        <f t="shared" si="195"/>
        <v>1782033</v>
      </c>
      <c r="H298" s="2800">
        <f t="shared" si="195"/>
        <v>5574771</v>
      </c>
      <c r="I298" s="2800">
        <f t="shared" si="195"/>
        <v>9303035</v>
      </c>
      <c r="J298" s="2800">
        <f t="shared" si="195"/>
        <v>0</v>
      </c>
      <c r="K298" s="2800">
        <f t="shared" si="195"/>
        <v>0</v>
      </c>
      <c r="M298" s="2800" t="e">
        <f t="shared" ref="M298:N301" si="196">SUM(D298:K298)-C298</f>
        <v>#VALUE!</v>
      </c>
      <c r="N298" s="2800">
        <f t="shared" si="196"/>
        <v>-353592</v>
      </c>
    </row>
    <row r="299" spans="2:14">
      <c r="C299" s="2798" t="s">
        <v>279</v>
      </c>
      <c r="D299" s="2800">
        <f>+D168+D195</f>
        <v>0</v>
      </c>
      <c r="F299" s="2800">
        <f t="shared" ref="F299:K299" si="197">+F168+F195</f>
        <v>0</v>
      </c>
      <c r="G299" s="2800">
        <f t="shared" si="197"/>
        <v>0</v>
      </c>
      <c r="H299" s="2800">
        <f t="shared" si="197"/>
        <v>0</v>
      </c>
      <c r="I299" s="2800">
        <f t="shared" si="197"/>
        <v>0</v>
      </c>
      <c r="J299" s="2800">
        <f t="shared" si="197"/>
        <v>0</v>
      </c>
      <c r="K299" s="2800">
        <f t="shared" si="197"/>
        <v>0</v>
      </c>
      <c r="M299" s="2800" t="e">
        <f t="shared" si="196"/>
        <v>#VALUE!</v>
      </c>
      <c r="N299" s="2800">
        <f t="shared" si="196"/>
        <v>0</v>
      </c>
    </row>
    <row r="300" spans="2:14">
      <c r="D300" s="2800">
        <f>SUM(D298:D299)</f>
        <v>18000000</v>
      </c>
      <c r="E300" s="2800">
        <f t="shared" ref="E300:K300" si="198">SUM(E298:E299)</f>
        <v>0</v>
      </c>
      <c r="F300" s="2800">
        <f t="shared" si="198"/>
        <v>986569</v>
      </c>
      <c r="G300" s="2800">
        <f t="shared" si="198"/>
        <v>1782033</v>
      </c>
      <c r="H300" s="2800">
        <f t="shared" si="198"/>
        <v>5574771</v>
      </c>
      <c r="I300" s="2800">
        <f t="shared" si="198"/>
        <v>9303035</v>
      </c>
      <c r="J300" s="2800">
        <f t="shared" si="198"/>
        <v>0</v>
      </c>
      <c r="K300" s="2800">
        <f t="shared" si="198"/>
        <v>0</v>
      </c>
      <c r="M300" s="2800">
        <f t="shared" si="196"/>
        <v>35646408</v>
      </c>
      <c r="N300" s="2800">
        <f t="shared" si="196"/>
        <v>-353592</v>
      </c>
    </row>
    <row r="301" spans="2:14">
      <c r="B301" s="2798" t="s">
        <v>358</v>
      </c>
      <c r="D301" s="2800">
        <f t="shared" ref="D301:K301" si="199">D144</f>
        <v>18000000</v>
      </c>
      <c r="E301" s="2800">
        <f t="shared" si="199"/>
        <v>353592</v>
      </c>
      <c r="F301" s="2800">
        <f t="shared" si="199"/>
        <v>986569</v>
      </c>
      <c r="G301" s="2800">
        <f t="shared" si="199"/>
        <v>1782033</v>
      </c>
      <c r="H301" s="2800">
        <f t="shared" si="199"/>
        <v>5574771</v>
      </c>
      <c r="I301" s="2800">
        <f t="shared" si="199"/>
        <v>9303035</v>
      </c>
      <c r="J301" s="2800">
        <f t="shared" si="199"/>
        <v>0</v>
      </c>
      <c r="K301" s="2800">
        <f t="shared" si="199"/>
        <v>0</v>
      </c>
      <c r="M301" s="2800">
        <f t="shared" si="196"/>
        <v>36000000</v>
      </c>
      <c r="N301" s="2800">
        <f t="shared" si="196"/>
        <v>0</v>
      </c>
    </row>
    <row r="303" spans="2:14">
      <c r="B303" s="2798" t="s">
        <v>359</v>
      </c>
      <c r="D303" s="2800">
        <f>+D292+D300</f>
        <v>267298062</v>
      </c>
      <c r="E303" s="2800">
        <f t="shared" ref="E303:L303" si="200">+E292+E300</f>
        <v>0</v>
      </c>
      <c r="F303" s="2800">
        <f t="shared" si="200"/>
        <v>32094011</v>
      </c>
      <c r="G303" s="2800">
        <f t="shared" si="200"/>
        <v>33554209</v>
      </c>
      <c r="H303" s="2800">
        <f t="shared" si="200"/>
        <v>42754245</v>
      </c>
      <c r="I303" s="2800">
        <f t="shared" si="200"/>
        <v>32000000</v>
      </c>
      <c r="J303" s="2800">
        <f t="shared" si="200"/>
        <v>31000000</v>
      </c>
      <c r="K303" s="2800">
        <f t="shared" si="200"/>
        <v>31000000</v>
      </c>
      <c r="L303" s="2800">
        <f t="shared" si="200"/>
        <v>28958648</v>
      </c>
      <c r="M303" s="2800">
        <f>SUM(D303:K303)-C303</f>
        <v>469700527</v>
      </c>
      <c r="N303" s="2800">
        <f>SUM(E303:L303)-D303</f>
        <v>-35936949</v>
      </c>
    </row>
    <row r="304" spans="2:14">
      <c r="B304" s="2798" t="s">
        <v>360</v>
      </c>
      <c r="D304" s="2800">
        <f>+D293+D301</f>
        <v>314468308</v>
      </c>
      <c r="E304" s="2800">
        <f t="shared" ref="E304:L304" si="201">+E293+E301</f>
        <v>33672697</v>
      </c>
      <c r="F304" s="2800">
        <f t="shared" si="201"/>
        <v>36803249</v>
      </c>
      <c r="G304" s="2800">
        <f t="shared" si="201"/>
        <v>42100019</v>
      </c>
      <c r="H304" s="2800">
        <f t="shared" si="201"/>
        <v>48222173</v>
      </c>
      <c r="I304" s="2800">
        <f t="shared" si="201"/>
        <v>49346165</v>
      </c>
      <c r="J304" s="2800">
        <f t="shared" si="201"/>
        <v>36454337</v>
      </c>
      <c r="K304" s="2800">
        <f t="shared" si="201"/>
        <v>34640162</v>
      </c>
      <c r="L304" s="2800">
        <f t="shared" si="201"/>
        <v>33229506</v>
      </c>
      <c r="M304" s="2800">
        <f>SUM(D304:K304)-C304</f>
        <v>595707110</v>
      </c>
      <c r="N304" s="2800">
        <f>SUM(E304:L304)-D304</f>
        <v>0</v>
      </c>
    </row>
    <row r="403" spans="1:15" ht="13.5" thickBot="1">
      <c r="A403" s="2015"/>
    </row>
    <row r="404" spans="1:15" ht="13.5" thickBot="1">
      <c r="A404" s="2361"/>
    </row>
    <row r="405" spans="1:15" ht="13.5" thickBot="1">
      <c r="A405" s="2361"/>
    </row>
    <row r="406" spans="1:15" ht="13.5" thickBot="1">
      <c r="A406" s="2361"/>
    </row>
    <row r="407" spans="1:15" ht="13.5" thickBot="1">
      <c r="A407" s="2361"/>
    </row>
    <row r="408" spans="1:15" ht="13.5" thickBot="1">
      <c r="A408" s="2361"/>
    </row>
    <row r="409" spans="1:15" ht="13.5" thickBot="1">
      <c r="A409" s="2361"/>
      <c r="N409" s="2801"/>
      <c r="O409" s="2802"/>
    </row>
    <row r="410" spans="1:15" ht="13.5" thickBot="1">
      <c r="A410" s="2361"/>
      <c r="C410" s="2801"/>
      <c r="N410" s="2803"/>
      <c r="O410" s="2804"/>
    </row>
    <row r="411" spans="1:15" ht="13.5" thickBot="1">
      <c r="A411" s="2361"/>
      <c r="C411" s="2803"/>
      <c r="D411" s="2801"/>
      <c r="E411" s="2801"/>
      <c r="F411" s="2801"/>
      <c r="G411" s="2801"/>
      <c r="H411" s="2801"/>
      <c r="I411" s="2801"/>
      <c r="J411" s="2801"/>
      <c r="K411" s="2801"/>
      <c r="L411" s="2801"/>
      <c r="N411" s="2803"/>
      <c r="O411" s="2804"/>
    </row>
    <row r="412" spans="1:15" ht="13.5" thickBot="1">
      <c r="A412" s="2361"/>
      <c r="C412" s="2805"/>
      <c r="D412" s="2805"/>
      <c r="E412" s="2805"/>
      <c r="F412" s="2805"/>
      <c r="G412" s="2805"/>
      <c r="H412" s="2805"/>
      <c r="I412" s="2805"/>
      <c r="J412" s="2805"/>
      <c r="K412" s="2805"/>
      <c r="L412" s="2805"/>
      <c r="N412" s="2805"/>
      <c r="O412" s="2804"/>
    </row>
    <row r="413" spans="1:15" ht="13.5" thickBot="1">
      <c r="A413" s="2361"/>
      <c r="O413" s="2804"/>
    </row>
    <row r="414" spans="1:15" ht="13.5" thickBot="1">
      <c r="A414" s="2361"/>
      <c r="O414" s="2804"/>
    </row>
    <row r="415" spans="1:15" ht="13.5" thickBot="1">
      <c r="A415" s="2361"/>
      <c r="O415" s="2804"/>
    </row>
    <row r="416" spans="1:15" ht="13.5" thickBot="1">
      <c r="A416" s="2361"/>
      <c r="O416" s="2804"/>
    </row>
    <row r="417" spans="1:15" ht="13.5" thickBot="1">
      <c r="A417" s="2361"/>
      <c r="O417" s="2806"/>
    </row>
    <row r="418" spans="1:15" ht="13.5" thickBot="1">
      <c r="A418" s="2361"/>
    </row>
    <row r="419" spans="1:15" ht="13.5" thickBot="1">
      <c r="A419" s="2361"/>
    </row>
    <row r="420" spans="1:15">
      <c r="A420" s="2362"/>
    </row>
    <row r="518" spans="1:15" ht="13.5" thickBot="1">
      <c r="O518" s="2802"/>
    </row>
    <row r="519" spans="1:15" ht="13.5" thickBot="1">
      <c r="O519" s="2804"/>
    </row>
    <row r="520" spans="1:15" ht="13.5" thickBot="1">
      <c r="O520" s="2804"/>
    </row>
    <row r="521" spans="1:15" ht="13.5" thickBot="1">
      <c r="O521" s="2804"/>
    </row>
    <row r="522" spans="1:15" ht="13.5" thickBot="1">
      <c r="N522" s="2801"/>
      <c r="O522" s="2804"/>
    </row>
    <row r="523" spans="1:15" ht="13.5" thickBot="1">
      <c r="N523" s="2803"/>
      <c r="O523" s="2804"/>
    </row>
    <row r="524" spans="1:15" ht="13.5" thickBot="1">
      <c r="N524" s="2803"/>
      <c r="O524" s="2804"/>
    </row>
    <row r="525" spans="1:15" ht="13.5" thickBot="1">
      <c r="N525" s="2803"/>
      <c r="O525" s="2804"/>
    </row>
    <row r="526" spans="1:15" ht="13.5" thickBot="1">
      <c r="N526" s="2803"/>
      <c r="O526" s="2804"/>
    </row>
    <row r="527" spans="1:15" ht="13.5" thickBot="1">
      <c r="A527" s="2015"/>
      <c r="B527" s="2801"/>
      <c r="C527" s="2801"/>
      <c r="D527" s="2801"/>
      <c r="E527" s="2801"/>
      <c r="F527" s="2801"/>
      <c r="G527" s="2801"/>
      <c r="H527" s="2801"/>
      <c r="I527" s="2801"/>
      <c r="J527" s="2801"/>
      <c r="K527" s="2801"/>
      <c r="L527" s="2801"/>
      <c r="N527" s="2803"/>
      <c r="O527" s="2804"/>
    </row>
    <row r="528" spans="1:15" ht="13.5" thickBot="1">
      <c r="A528" s="2361"/>
      <c r="B528" s="2805"/>
      <c r="C528" s="2805"/>
      <c r="D528" s="2805"/>
      <c r="E528" s="2805"/>
      <c r="F528" s="2805"/>
      <c r="G528" s="2805"/>
      <c r="H528" s="2805"/>
      <c r="I528" s="2805"/>
      <c r="J528" s="2805"/>
      <c r="K528" s="2805"/>
      <c r="L528" s="2805"/>
      <c r="N528" s="2805"/>
      <c r="O528" s="2804"/>
    </row>
    <row r="529" spans="1:15" ht="13.5" thickBot="1">
      <c r="A529" s="2361"/>
      <c r="O529" s="2804"/>
    </row>
    <row r="530" spans="1:15" ht="13.5" thickBot="1">
      <c r="A530" s="2361"/>
      <c r="O530" s="2804"/>
    </row>
    <row r="531" spans="1:15" ht="13.5" thickBot="1">
      <c r="A531" s="2361"/>
      <c r="O531" s="2804"/>
    </row>
    <row r="532" spans="1:15" ht="13.5" thickBot="1">
      <c r="A532" s="2361"/>
      <c r="O532" s="2804"/>
    </row>
    <row r="533" spans="1:15" ht="13.5" thickBot="1">
      <c r="A533" s="2361"/>
      <c r="O533" s="2804"/>
    </row>
    <row r="534" spans="1:15" ht="13.5" thickBot="1">
      <c r="A534" s="2361"/>
      <c r="O534" s="2804"/>
    </row>
    <row r="535" spans="1:15">
      <c r="A535" s="2362"/>
      <c r="O535" s="2806"/>
    </row>
    <row r="542" spans="1:15" ht="13.5" thickBot="1"/>
    <row r="543" spans="1:15" ht="33.75">
      <c r="A543" s="346"/>
      <c r="B543" s="347" t="s">
        <v>61</v>
      </c>
      <c r="C543" s="347"/>
      <c r="D543" s="2805"/>
      <c r="E543" s="2805"/>
      <c r="F543" s="2805"/>
      <c r="G543" s="2805"/>
      <c r="H543" s="2805"/>
      <c r="I543" s="2805"/>
      <c r="J543" s="2805"/>
      <c r="K543" s="2805"/>
      <c r="L543" s="2805"/>
      <c r="M543" s="2805"/>
      <c r="N543" s="2805"/>
      <c r="O543" s="2822"/>
    </row>
    <row r="544" spans="1:15">
      <c r="A544" s="348"/>
      <c r="O544" s="2823"/>
    </row>
    <row r="545" spans="1:15">
      <c r="A545" s="348"/>
      <c r="O545" s="2823"/>
    </row>
    <row r="546" spans="1:15">
      <c r="A546" s="348"/>
      <c r="O546" s="2823"/>
    </row>
    <row r="547" spans="1:15">
      <c r="A547" s="348"/>
      <c r="O547" s="2823"/>
    </row>
    <row r="548" spans="1:15">
      <c r="A548" s="348"/>
      <c r="O548" s="2823"/>
    </row>
    <row r="549" spans="1:15">
      <c r="A549" s="348"/>
      <c r="O549" s="2823"/>
    </row>
    <row r="550" spans="1:15">
      <c r="A550" s="348"/>
      <c r="O550" s="2823"/>
    </row>
    <row r="551" spans="1:15">
      <c r="A551" s="348"/>
      <c r="O551" s="2823"/>
    </row>
    <row r="552" spans="1:15">
      <c r="A552" s="348"/>
      <c r="O552" s="2823"/>
    </row>
    <row r="553" spans="1:15">
      <c r="A553" s="348"/>
      <c r="O553" s="2823"/>
    </row>
    <row r="554" spans="1:15" ht="13.5" thickBot="1">
      <c r="A554" s="349"/>
      <c r="B554" s="2801"/>
      <c r="C554" s="2801"/>
      <c r="D554" s="2801"/>
      <c r="E554" s="2801"/>
      <c r="F554" s="2801"/>
      <c r="G554" s="2801"/>
      <c r="H554" s="2801"/>
      <c r="I554" s="2801"/>
      <c r="J554" s="2801"/>
      <c r="K554" s="2801"/>
      <c r="L554" s="2801"/>
      <c r="M554" s="2801"/>
      <c r="N554" s="2801"/>
      <c r="O554" s="2824"/>
    </row>
  </sheetData>
  <mergeCells count="117">
    <mergeCell ref="M6:M7"/>
    <mergeCell ref="M20:M25"/>
    <mergeCell ref="M35:M37"/>
    <mergeCell ref="M54:M58"/>
    <mergeCell ref="M66:M70"/>
    <mergeCell ref="P115:S136"/>
    <mergeCell ref="O137:O151"/>
    <mergeCell ref="O93:O117"/>
    <mergeCell ref="N115:N117"/>
    <mergeCell ref="N66:N70"/>
    <mergeCell ref="N77:N81"/>
    <mergeCell ref="M77:M81"/>
    <mergeCell ref="N88:N92"/>
    <mergeCell ref="O71:O81"/>
    <mergeCell ref="M147:M151"/>
    <mergeCell ref="A93:A117"/>
    <mergeCell ref="A118:A136"/>
    <mergeCell ref="C135:C136"/>
    <mergeCell ref="C120:C125"/>
    <mergeCell ref="C116:C117"/>
    <mergeCell ref="C95:C106"/>
    <mergeCell ref="O118:O136"/>
    <mergeCell ref="N134:N136"/>
    <mergeCell ref="C148:C151"/>
    <mergeCell ref="N147:N151"/>
    <mergeCell ref="M115:M117"/>
    <mergeCell ref="M134:M136"/>
    <mergeCell ref="A196:A208"/>
    <mergeCell ref="A212:A224"/>
    <mergeCell ref="A225:A235"/>
    <mergeCell ref="N245:N247"/>
    <mergeCell ref="C139:C146"/>
    <mergeCell ref="C164:C165"/>
    <mergeCell ref="N178:N184"/>
    <mergeCell ref="N163:N168"/>
    <mergeCell ref="A137:A151"/>
    <mergeCell ref="A155:A167"/>
    <mergeCell ref="C232:C235"/>
    <mergeCell ref="A169:A182"/>
    <mergeCell ref="A185:A194"/>
    <mergeCell ref="N205:N211"/>
    <mergeCell ref="C179:C180"/>
    <mergeCell ref="C187:C188"/>
    <mergeCell ref="N231:N235"/>
    <mergeCell ref="M220:M224"/>
    <mergeCell ref="M231:M235"/>
    <mergeCell ref="M245:M247"/>
    <mergeCell ref="M163:M168"/>
    <mergeCell ref="M178:M184"/>
    <mergeCell ref="M192:M194"/>
    <mergeCell ref="M205:M211"/>
    <mergeCell ref="A26:A37"/>
    <mergeCell ref="O26:O37"/>
    <mergeCell ref="C28:C31"/>
    <mergeCell ref="C36:C37"/>
    <mergeCell ref="A59:A70"/>
    <mergeCell ref="O59:O70"/>
    <mergeCell ref="C61:C65"/>
    <mergeCell ref="C67:C70"/>
    <mergeCell ref="O38:O58"/>
    <mergeCell ref="C40:C50"/>
    <mergeCell ref="N54:N58"/>
    <mergeCell ref="C55:C58"/>
    <mergeCell ref="A38:A58"/>
    <mergeCell ref="C73:C76"/>
    <mergeCell ref="C78:C81"/>
    <mergeCell ref="A71:A81"/>
    <mergeCell ref="M88:M92"/>
    <mergeCell ref="A268:O268"/>
    <mergeCell ref="A5:O5"/>
    <mergeCell ref="B6:B7"/>
    <mergeCell ref="C6:C7"/>
    <mergeCell ref="D6:D7"/>
    <mergeCell ref="O6:O7"/>
    <mergeCell ref="N6:N7"/>
    <mergeCell ref="N20:N25"/>
    <mergeCell ref="N35:N37"/>
    <mergeCell ref="G6:L6"/>
    <mergeCell ref="F6:F7"/>
    <mergeCell ref="E6:E7"/>
    <mergeCell ref="A82:A92"/>
    <mergeCell ref="O82:O92"/>
    <mergeCell ref="C84:C87"/>
    <mergeCell ref="C89:C92"/>
    <mergeCell ref="C166:C168"/>
    <mergeCell ref="C157:C162"/>
    <mergeCell ref="O225:O235"/>
    <mergeCell ref="C227:C230"/>
    <mergeCell ref="B277:B279"/>
    <mergeCell ref="A266:O266"/>
    <mergeCell ref="A248:A251"/>
    <mergeCell ref="O248:O251"/>
    <mergeCell ref="O238:O247"/>
    <mergeCell ref="C242:C244"/>
    <mergeCell ref="C246:C247"/>
    <mergeCell ref="C264:C265"/>
    <mergeCell ref="N263:N265"/>
    <mergeCell ref="C250:C251"/>
    <mergeCell ref="A258:A261"/>
    <mergeCell ref="C260:C261"/>
    <mergeCell ref="O258:O261"/>
    <mergeCell ref="M263:M265"/>
    <mergeCell ref="A267:O267"/>
    <mergeCell ref="O252:O257"/>
    <mergeCell ref="C254:C257"/>
    <mergeCell ref="A252:A257"/>
    <mergeCell ref="O212:O224"/>
    <mergeCell ref="C214:C219"/>
    <mergeCell ref="N220:N224"/>
    <mergeCell ref="C221:C224"/>
    <mergeCell ref="C206:C209"/>
    <mergeCell ref="C193:C194"/>
    <mergeCell ref="N192:N194"/>
    <mergeCell ref="C171:C177"/>
    <mergeCell ref="C189:C191"/>
    <mergeCell ref="C198:C204"/>
    <mergeCell ref="C181:C182"/>
  </mergeCells>
  <printOptions horizontalCentered="1"/>
  <pageMargins left="3.937007874015748E-2" right="7.874015748031496E-2" top="0.51181102362204722" bottom="0.51181102362204722" header="0.15748031496062992" footer="0.15748031496062992"/>
  <pageSetup paperSize="9" scale="64" firstPageNumber="45" fitToHeight="3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</oddHeader>
    <oddFooter>&amp;C&amp;8&amp;P</oddFooter>
  </headerFooter>
  <rowBreaks count="2" manualBreakCount="2">
    <brk id="70" max="14" man="1"/>
    <brk id="151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BY535"/>
  <sheetViews>
    <sheetView showGridLines="0" view="pageBreakPreview" zoomScaleSheetLayoutView="100" workbookViewId="0">
      <pane xSplit="3" ySplit="6" topLeftCell="D45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B91" sqref="B91"/>
    </sheetView>
  </sheetViews>
  <sheetFormatPr defaultColWidth="9.140625" defaultRowHeight="11.25"/>
  <cols>
    <col min="1" max="1" width="4.140625" style="357" customWidth="1"/>
    <col min="2" max="2" width="59.28515625" style="291" customWidth="1"/>
    <col min="3" max="3" width="10.5703125" style="291" customWidth="1"/>
    <col min="4" max="4" width="16.140625" style="291" customWidth="1"/>
    <col min="5" max="5" width="12.42578125" style="291" customWidth="1"/>
    <col min="6" max="6" width="10.42578125" style="291" customWidth="1"/>
    <col min="7" max="7" width="10" style="291" customWidth="1"/>
    <col min="8" max="8" width="10.28515625" style="291" customWidth="1"/>
    <col min="9" max="10" width="9.85546875" style="291" customWidth="1"/>
    <col min="11" max="11" width="10" style="291" customWidth="1"/>
    <col min="12" max="12" width="8.28515625" style="291" customWidth="1"/>
    <col min="13" max="13" width="12.42578125" style="291" hidden="1" customWidth="1"/>
    <col min="14" max="14" width="12.42578125" style="291" customWidth="1"/>
    <col min="15" max="15" width="15.28515625" style="425" customWidth="1"/>
    <col min="16" max="16" width="3.28515625" style="291" customWidth="1"/>
    <col min="17" max="17" width="13.42578125" style="291" customWidth="1"/>
    <col min="18" max="34" width="18.28515625" style="291" customWidth="1"/>
    <col min="35" max="76" width="3.28515625" style="291" customWidth="1"/>
    <col min="77" max="16384" width="9.140625" style="291"/>
  </cols>
  <sheetData>
    <row r="1" spans="1:77" s="424" customFormat="1" ht="18" customHeight="1">
      <c r="A1" s="434"/>
      <c r="B1" s="435"/>
      <c r="C1" s="434"/>
      <c r="D1" s="434"/>
      <c r="E1" s="434"/>
      <c r="F1" s="434"/>
      <c r="G1" s="287" t="s">
        <v>520</v>
      </c>
      <c r="H1" s="287"/>
      <c r="I1" s="287"/>
      <c r="J1" s="287"/>
      <c r="K1" s="287"/>
      <c r="L1" s="287"/>
      <c r="M1" s="6"/>
      <c r="N1" s="6"/>
      <c r="O1" s="7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3"/>
      <c r="AO1" s="423"/>
      <c r="AP1" s="423"/>
      <c r="AQ1" s="423"/>
      <c r="AR1" s="423"/>
      <c r="AS1" s="423"/>
      <c r="AT1" s="423"/>
      <c r="AU1" s="423"/>
      <c r="AV1" s="423"/>
      <c r="AW1" s="423"/>
      <c r="AX1" s="423"/>
      <c r="AY1" s="423"/>
      <c r="AZ1" s="423"/>
      <c r="BA1" s="423"/>
      <c r="BB1" s="423"/>
      <c r="BC1" s="423"/>
      <c r="BD1" s="423"/>
      <c r="BE1" s="423"/>
      <c r="BF1" s="423"/>
      <c r="BG1" s="423"/>
      <c r="BH1" s="423"/>
      <c r="BI1" s="423"/>
      <c r="BJ1" s="423"/>
      <c r="BK1" s="423"/>
      <c r="BL1" s="423"/>
      <c r="BM1" s="423"/>
      <c r="BN1" s="423"/>
      <c r="BO1" s="423"/>
      <c r="BP1" s="423"/>
      <c r="BQ1" s="423"/>
      <c r="BR1" s="423"/>
      <c r="BS1" s="423"/>
      <c r="BT1" s="423"/>
      <c r="BU1" s="423"/>
      <c r="BV1" s="423"/>
      <c r="BW1" s="423"/>
      <c r="BX1" s="423"/>
      <c r="BY1" s="290"/>
    </row>
    <row r="2" spans="1:77" s="424" customFormat="1" ht="16.5" customHeight="1">
      <c r="A2" s="436"/>
      <c r="B2" s="435"/>
      <c r="C2" s="434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7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423"/>
      <c r="AJ2" s="423"/>
      <c r="AK2" s="423"/>
      <c r="AL2" s="423"/>
      <c r="AM2" s="423"/>
      <c r="AN2" s="423"/>
      <c r="AO2" s="423"/>
      <c r="AP2" s="423"/>
      <c r="AQ2" s="423"/>
      <c r="AR2" s="423"/>
      <c r="AS2" s="423"/>
      <c r="AT2" s="423"/>
      <c r="AU2" s="423"/>
      <c r="AV2" s="423"/>
      <c r="AW2" s="423"/>
      <c r="AX2" s="423"/>
      <c r="AY2" s="423"/>
      <c r="AZ2" s="423"/>
      <c r="BA2" s="423"/>
      <c r="BB2" s="423"/>
      <c r="BC2" s="423"/>
      <c r="BD2" s="423"/>
      <c r="BE2" s="423"/>
      <c r="BF2" s="423"/>
      <c r="BG2" s="423"/>
      <c r="BH2" s="423"/>
      <c r="BI2" s="423"/>
      <c r="BJ2" s="423"/>
      <c r="BK2" s="423"/>
      <c r="BL2" s="423"/>
      <c r="BM2" s="423"/>
      <c r="BN2" s="423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290"/>
    </row>
    <row r="3" spans="1:77" s="424" customFormat="1" ht="18" customHeight="1" thickBot="1">
      <c r="A3" s="768" t="s">
        <v>148</v>
      </c>
      <c r="B3" s="769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6"/>
      <c r="N3" s="6"/>
      <c r="O3" s="7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423"/>
      <c r="AJ3" s="423"/>
      <c r="AK3" s="423"/>
      <c r="AL3" s="423"/>
      <c r="AM3" s="423"/>
      <c r="AN3" s="423"/>
      <c r="AO3" s="423"/>
      <c r="AP3" s="423"/>
      <c r="AQ3" s="423"/>
      <c r="AR3" s="423"/>
      <c r="AS3" s="423"/>
      <c r="AT3" s="423"/>
      <c r="AU3" s="423"/>
      <c r="AV3" s="423"/>
      <c r="AW3" s="423"/>
      <c r="AX3" s="423"/>
      <c r="AY3" s="423"/>
      <c r="AZ3" s="423"/>
      <c r="BA3" s="423"/>
      <c r="BB3" s="423"/>
      <c r="BC3" s="423"/>
      <c r="BD3" s="423"/>
      <c r="BE3" s="423"/>
      <c r="BF3" s="423"/>
      <c r="BG3" s="423"/>
      <c r="BH3" s="423"/>
      <c r="BI3" s="423"/>
      <c r="BJ3" s="423"/>
      <c r="BK3" s="423"/>
      <c r="BL3" s="423"/>
      <c r="BM3" s="423"/>
      <c r="BN3" s="423"/>
      <c r="BO3" s="423"/>
      <c r="BP3" s="423"/>
      <c r="BQ3" s="423"/>
      <c r="BR3" s="423"/>
      <c r="BS3" s="423"/>
      <c r="BT3" s="423"/>
      <c r="BU3" s="423"/>
      <c r="BV3" s="423"/>
      <c r="BW3" s="423"/>
      <c r="BX3" s="423"/>
      <c r="BY3" s="290"/>
    </row>
    <row r="4" spans="1:77" ht="71.25" customHeight="1" thickBot="1">
      <c r="A4" s="438"/>
      <c r="B4" s="3869" t="s">
        <v>67</v>
      </c>
      <c r="C4" s="3870" t="s">
        <v>63</v>
      </c>
      <c r="D4" s="3793" t="s">
        <v>64</v>
      </c>
      <c r="E4" s="3799" t="s">
        <v>517</v>
      </c>
      <c r="F4" s="3293" t="s">
        <v>573</v>
      </c>
      <c r="G4" s="3485" t="s">
        <v>513</v>
      </c>
      <c r="H4" s="3486"/>
      <c r="I4" s="3486"/>
      <c r="J4" s="3486"/>
      <c r="K4" s="3486"/>
      <c r="L4" s="3487"/>
      <c r="M4" s="3879" t="s">
        <v>528</v>
      </c>
      <c r="N4" s="3879" t="s">
        <v>514</v>
      </c>
      <c r="O4" s="3795" t="s">
        <v>65</v>
      </c>
      <c r="P4" s="290"/>
      <c r="Q4" s="290"/>
      <c r="R4" s="290"/>
      <c r="S4" s="290"/>
      <c r="T4" s="290"/>
      <c r="U4" s="290"/>
      <c r="V4" s="290"/>
      <c r="W4" s="290"/>
      <c r="X4" s="290"/>
      <c r="Y4" s="290"/>
      <c r="Z4" s="290"/>
      <c r="AA4" s="290"/>
      <c r="AB4" s="290"/>
      <c r="AC4" s="290"/>
      <c r="AD4" s="290"/>
      <c r="AE4" s="290"/>
      <c r="AF4" s="290"/>
      <c r="AG4" s="290"/>
      <c r="AH4" s="290"/>
      <c r="AI4" s="290"/>
      <c r="AJ4" s="290"/>
      <c r="AK4" s="290"/>
      <c r="AL4" s="290"/>
      <c r="AM4" s="290"/>
      <c r="AN4" s="290"/>
      <c r="AO4" s="290"/>
      <c r="AP4" s="290"/>
      <c r="AQ4" s="290"/>
      <c r="AR4" s="290"/>
      <c r="AS4" s="290"/>
      <c r="AT4" s="290"/>
      <c r="AU4" s="290"/>
      <c r="AV4" s="290"/>
      <c r="AW4" s="290"/>
      <c r="AX4" s="290"/>
      <c r="AY4" s="290"/>
      <c r="AZ4" s="290"/>
      <c r="BA4" s="290"/>
      <c r="BB4" s="290"/>
      <c r="BC4" s="290"/>
      <c r="BD4" s="290"/>
      <c r="BE4" s="290"/>
      <c r="BF4" s="290"/>
      <c r="BG4" s="290"/>
      <c r="BH4" s="290"/>
      <c r="BI4" s="290"/>
      <c r="BJ4" s="290"/>
      <c r="BK4" s="290"/>
      <c r="BL4" s="290"/>
      <c r="BM4" s="290"/>
      <c r="BN4" s="290"/>
      <c r="BO4" s="290"/>
      <c r="BP4" s="290"/>
      <c r="BQ4" s="290"/>
      <c r="BR4" s="290"/>
      <c r="BS4" s="290"/>
      <c r="BT4" s="290"/>
      <c r="BU4" s="290"/>
      <c r="BV4" s="290"/>
      <c r="BW4" s="290"/>
      <c r="BX4" s="290"/>
      <c r="BY4" s="290"/>
    </row>
    <row r="5" spans="1:77" ht="18" customHeight="1" thickBot="1">
      <c r="A5" s="439"/>
      <c r="B5" s="3869"/>
      <c r="C5" s="3871"/>
      <c r="D5" s="3794"/>
      <c r="E5" s="3800"/>
      <c r="F5" s="3295"/>
      <c r="G5" s="2931" t="s">
        <v>6</v>
      </c>
      <c r="H5" s="292" t="s">
        <v>202</v>
      </c>
      <c r="I5" s="292" t="s">
        <v>203</v>
      </c>
      <c r="J5" s="292" t="s">
        <v>248</v>
      </c>
      <c r="K5" s="292" t="s">
        <v>249</v>
      </c>
      <c r="L5" s="292" t="s">
        <v>250</v>
      </c>
      <c r="M5" s="3880"/>
      <c r="N5" s="3880"/>
      <c r="O5" s="3796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  <c r="AB5" s="290"/>
      <c r="AC5" s="290"/>
      <c r="AD5" s="290"/>
      <c r="AE5" s="290"/>
      <c r="AF5" s="290"/>
      <c r="AG5" s="290"/>
      <c r="AH5" s="290"/>
      <c r="AI5" s="290"/>
      <c r="AJ5" s="290"/>
      <c r="AK5" s="290"/>
      <c r="AL5" s="290"/>
      <c r="AM5" s="290"/>
      <c r="AN5" s="290"/>
      <c r="AO5" s="290"/>
      <c r="AP5" s="290"/>
      <c r="AQ5" s="290"/>
      <c r="AR5" s="290"/>
      <c r="AS5" s="290"/>
      <c r="AT5" s="290"/>
      <c r="AU5" s="290"/>
      <c r="AV5" s="290"/>
      <c r="AW5" s="290"/>
      <c r="AX5" s="290"/>
      <c r="AY5" s="290"/>
      <c r="AZ5" s="290"/>
      <c r="BA5" s="290"/>
      <c r="BB5" s="290"/>
      <c r="BC5" s="290"/>
      <c r="BD5" s="290"/>
      <c r="BE5" s="290"/>
      <c r="BF5" s="290"/>
      <c r="BG5" s="290"/>
      <c r="BH5" s="290"/>
      <c r="BI5" s="290"/>
      <c r="BJ5" s="290"/>
      <c r="BK5" s="290"/>
      <c r="BL5" s="290"/>
      <c r="BM5" s="290"/>
      <c r="BN5" s="290"/>
      <c r="BO5" s="290"/>
      <c r="BP5" s="290"/>
      <c r="BQ5" s="290"/>
      <c r="BR5" s="290"/>
      <c r="BS5" s="290"/>
      <c r="BT5" s="290"/>
      <c r="BU5" s="290"/>
      <c r="BV5" s="290"/>
      <c r="BW5" s="290"/>
      <c r="BX5" s="290"/>
      <c r="BY5" s="290"/>
    </row>
    <row r="6" spans="1:77" ht="14.25" customHeight="1">
      <c r="A6" s="844">
        <v>1</v>
      </c>
      <c r="B6" s="845">
        <v>2</v>
      </c>
      <c r="C6" s="846" t="s">
        <v>110</v>
      </c>
      <c r="D6" s="846" t="s">
        <v>111</v>
      </c>
      <c r="E6" s="1215">
        <v>5</v>
      </c>
      <c r="F6" s="846">
        <v>6</v>
      </c>
      <c r="G6" s="846">
        <v>7</v>
      </c>
      <c r="H6" s="846">
        <v>8</v>
      </c>
      <c r="I6" s="846">
        <v>9</v>
      </c>
      <c r="J6" s="846">
        <v>10</v>
      </c>
      <c r="K6" s="846">
        <v>11</v>
      </c>
      <c r="L6" s="846">
        <v>12</v>
      </c>
      <c r="M6" s="847">
        <v>13</v>
      </c>
      <c r="N6" s="847">
        <v>13</v>
      </c>
      <c r="O6" s="848">
        <v>14</v>
      </c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290"/>
      <c r="AH6" s="290"/>
      <c r="AI6" s="290"/>
      <c r="AJ6" s="290"/>
      <c r="AK6" s="290"/>
      <c r="AL6" s="290"/>
      <c r="AM6" s="290"/>
      <c r="AN6" s="290"/>
      <c r="AO6" s="290"/>
      <c r="AP6" s="290"/>
      <c r="AQ6" s="290"/>
      <c r="AR6" s="290"/>
      <c r="AS6" s="290"/>
      <c r="AT6" s="290"/>
      <c r="AU6" s="290"/>
      <c r="AV6" s="290"/>
      <c r="AW6" s="290"/>
      <c r="AX6" s="290"/>
      <c r="AY6" s="290"/>
      <c r="AZ6" s="290"/>
      <c r="BA6" s="290"/>
      <c r="BB6" s="290"/>
      <c r="BC6" s="290"/>
      <c r="BD6" s="290"/>
      <c r="BE6" s="290"/>
      <c r="BF6" s="290"/>
      <c r="BG6" s="290"/>
      <c r="BH6" s="290"/>
      <c r="BI6" s="290"/>
      <c r="BJ6" s="290"/>
      <c r="BK6" s="290"/>
      <c r="BL6" s="290"/>
      <c r="BM6" s="290"/>
      <c r="BN6" s="290"/>
      <c r="BO6" s="290"/>
      <c r="BP6" s="290"/>
      <c r="BQ6" s="290"/>
      <c r="BR6" s="290"/>
      <c r="BS6" s="290"/>
      <c r="BT6" s="290"/>
      <c r="BU6" s="290"/>
      <c r="BV6" s="290"/>
      <c r="BW6" s="290"/>
      <c r="BX6" s="290"/>
      <c r="BY6" s="290"/>
    </row>
    <row r="7" spans="1:77" ht="14.25" customHeight="1">
      <c r="A7" s="566"/>
      <c r="B7" s="2674" t="s">
        <v>68</v>
      </c>
      <c r="C7" s="2675"/>
      <c r="D7" s="2676">
        <f>+D9+D8</f>
        <v>133145158</v>
      </c>
      <c r="E7" s="2676">
        <f t="shared" ref="E7:L7" si="0">+E9+E8</f>
        <v>474568</v>
      </c>
      <c r="F7" s="2676">
        <f t="shared" si="0"/>
        <v>5274823</v>
      </c>
      <c r="G7" s="2676">
        <f t="shared" si="0"/>
        <v>14580273</v>
      </c>
      <c r="H7" s="2676">
        <f t="shared" si="0"/>
        <v>64253930</v>
      </c>
      <c r="I7" s="2676">
        <f t="shared" si="0"/>
        <v>30232378</v>
      </c>
      <c r="J7" s="2676">
        <f>+J9+J8</f>
        <v>16856941</v>
      </c>
      <c r="K7" s="2676">
        <f t="shared" si="0"/>
        <v>1472245</v>
      </c>
      <c r="L7" s="2676">
        <f t="shared" si="0"/>
        <v>0</v>
      </c>
      <c r="M7" s="145">
        <f>+M9+M8</f>
        <v>96513253</v>
      </c>
      <c r="N7" s="145">
        <f t="shared" ref="N7" si="1">+N9</f>
        <v>115025118</v>
      </c>
      <c r="O7" s="440"/>
      <c r="P7" s="290"/>
      <c r="Q7" s="174">
        <f>+F7+G7</f>
        <v>19855096</v>
      </c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/>
      <c r="AF7" s="290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  <c r="AV7" s="290"/>
      <c r="AW7" s="290"/>
      <c r="AX7" s="290"/>
      <c r="AY7" s="290"/>
      <c r="AZ7" s="290"/>
      <c r="BA7" s="290"/>
      <c r="BB7" s="290"/>
      <c r="BC7" s="290"/>
      <c r="BD7" s="290"/>
      <c r="BE7" s="290"/>
      <c r="BF7" s="290"/>
      <c r="BG7" s="290"/>
      <c r="BH7" s="290"/>
      <c r="BI7" s="290"/>
      <c r="BJ7" s="290"/>
      <c r="BK7" s="290"/>
      <c r="BL7" s="290"/>
      <c r="BM7" s="290"/>
      <c r="BN7" s="290"/>
      <c r="BO7" s="290"/>
      <c r="BP7" s="290"/>
      <c r="BQ7" s="290"/>
      <c r="BR7" s="290"/>
      <c r="BS7" s="290"/>
      <c r="BT7" s="290"/>
      <c r="BU7" s="290"/>
      <c r="BV7" s="290"/>
      <c r="BW7" s="290"/>
      <c r="BX7" s="290"/>
      <c r="BY7" s="290"/>
    </row>
    <row r="8" spans="1:77" ht="14.25" customHeight="1">
      <c r="A8" s="566"/>
      <c r="B8" s="2677" t="s">
        <v>69</v>
      </c>
      <c r="C8" s="2678"/>
      <c r="D8" s="207">
        <f>D35+D159+D70</f>
        <v>13331341</v>
      </c>
      <c r="E8" s="207">
        <f t="shared" ref="E8:L8" si="2">E35+E159+E70</f>
        <v>0</v>
      </c>
      <c r="F8" s="207">
        <f t="shared" si="2"/>
        <v>4099273</v>
      </c>
      <c r="G8" s="207">
        <f t="shared" si="2"/>
        <v>6849872</v>
      </c>
      <c r="H8" s="207">
        <f t="shared" si="2"/>
        <v>2024663</v>
      </c>
      <c r="I8" s="207">
        <f t="shared" si="2"/>
        <v>356812</v>
      </c>
      <c r="J8" s="207">
        <f>J35+J159+J70</f>
        <v>721</v>
      </c>
      <c r="K8" s="207">
        <f t="shared" si="2"/>
        <v>0</v>
      </c>
      <c r="L8" s="207">
        <f t="shared" si="2"/>
        <v>0</v>
      </c>
      <c r="M8" s="1573">
        <f t="shared" ref="M8" si="3">M35+M159</f>
        <v>13238150</v>
      </c>
      <c r="N8" s="18">
        <v>0</v>
      </c>
      <c r="O8" s="440"/>
      <c r="P8" s="290"/>
      <c r="Q8" s="290"/>
      <c r="R8" s="290"/>
      <c r="S8" s="290"/>
      <c r="T8" s="290"/>
      <c r="U8" s="290"/>
      <c r="V8" s="290"/>
      <c r="W8" s="290"/>
      <c r="X8" s="290"/>
      <c r="Y8" s="290"/>
      <c r="Z8" s="290"/>
      <c r="AA8" s="290"/>
      <c r="AB8" s="290"/>
      <c r="AC8" s="290"/>
      <c r="AD8" s="290"/>
      <c r="AE8" s="290"/>
      <c r="AF8" s="290"/>
      <c r="AG8" s="290"/>
      <c r="AH8" s="290"/>
      <c r="AI8" s="290"/>
      <c r="AJ8" s="290"/>
      <c r="AK8" s="290"/>
      <c r="AL8" s="290"/>
      <c r="AM8" s="290"/>
      <c r="AN8" s="290"/>
      <c r="AO8" s="290"/>
      <c r="AP8" s="290"/>
      <c r="AQ8" s="290"/>
      <c r="AR8" s="290"/>
      <c r="AS8" s="290"/>
      <c r="AT8" s="290"/>
      <c r="AU8" s="290"/>
      <c r="AV8" s="290"/>
      <c r="AW8" s="290"/>
      <c r="AX8" s="290"/>
      <c r="AY8" s="290"/>
      <c r="AZ8" s="290"/>
      <c r="BA8" s="290"/>
      <c r="BB8" s="290"/>
      <c r="BC8" s="290"/>
      <c r="BD8" s="290"/>
      <c r="BE8" s="290"/>
      <c r="BF8" s="290"/>
      <c r="BG8" s="290"/>
      <c r="BH8" s="290"/>
      <c r="BI8" s="290"/>
      <c r="BJ8" s="290"/>
      <c r="BK8" s="290"/>
      <c r="BL8" s="290"/>
      <c r="BM8" s="290"/>
      <c r="BN8" s="290"/>
      <c r="BO8" s="290"/>
      <c r="BP8" s="290"/>
      <c r="BQ8" s="290"/>
      <c r="BR8" s="290"/>
      <c r="BS8" s="290"/>
      <c r="BT8" s="290"/>
      <c r="BU8" s="290"/>
      <c r="BV8" s="290"/>
      <c r="BW8" s="290"/>
      <c r="BX8" s="290"/>
      <c r="BY8" s="290"/>
    </row>
    <row r="9" spans="1:77" ht="14.25" customHeight="1" thickBot="1">
      <c r="A9" s="566"/>
      <c r="B9" s="2679" t="s">
        <v>9</v>
      </c>
      <c r="C9" s="2680"/>
      <c r="D9" s="217">
        <f>+D26+D47+D58+D83+D109+D121+D133+D145+D171+D95</f>
        <v>119813817</v>
      </c>
      <c r="E9" s="217">
        <f t="shared" ref="E9:L9" si="4">+E26+E47+E58+E83+E109+E121+E133+E145+E171+E95</f>
        <v>474568</v>
      </c>
      <c r="F9" s="217">
        <f t="shared" si="4"/>
        <v>1175550</v>
      </c>
      <c r="G9" s="217">
        <f t="shared" si="4"/>
        <v>7730401</v>
      </c>
      <c r="H9" s="217">
        <f t="shared" si="4"/>
        <v>62229267</v>
      </c>
      <c r="I9" s="217">
        <f t="shared" si="4"/>
        <v>29875566</v>
      </c>
      <c r="J9" s="217">
        <f t="shared" si="4"/>
        <v>16856220</v>
      </c>
      <c r="K9" s="217">
        <f t="shared" si="4"/>
        <v>1472245</v>
      </c>
      <c r="L9" s="217">
        <f t="shared" si="4"/>
        <v>0</v>
      </c>
      <c r="M9" s="147">
        <f t="shared" ref="M9" si="5">+M26+M47+M58+M70+M83+M109+M121+M133+M145+M171</f>
        <v>83275103</v>
      </c>
      <c r="N9" s="147">
        <f>+N26+N47+N58+N70+N83+N109</f>
        <v>115025118</v>
      </c>
      <c r="O9" s="44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90"/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0"/>
      <c r="AW9" s="290"/>
      <c r="AX9" s="290"/>
      <c r="AY9" s="290"/>
      <c r="AZ9" s="290"/>
      <c r="BA9" s="290"/>
      <c r="BB9" s="290"/>
      <c r="BC9" s="290"/>
      <c r="BD9" s="290"/>
      <c r="BE9" s="290"/>
      <c r="BF9" s="290"/>
      <c r="BG9" s="290"/>
      <c r="BH9" s="290"/>
      <c r="BI9" s="290"/>
      <c r="BJ9" s="290"/>
      <c r="BK9" s="290"/>
      <c r="BL9" s="290"/>
      <c r="BM9" s="290"/>
      <c r="BN9" s="290"/>
      <c r="BO9" s="290"/>
      <c r="BP9" s="290"/>
      <c r="BQ9" s="290"/>
      <c r="BR9" s="290"/>
      <c r="BS9" s="290"/>
      <c r="BT9" s="290"/>
      <c r="BU9" s="290"/>
      <c r="BV9" s="290"/>
      <c r="BW9" s="290"/>
      <c r="BX9" s="290"/>
      <c r="BY9" s="290"/>
    </row>
    <row r="10" spans="1:77" s="463" customFormat="1" ht="12">
      <c r="A10" s="566"/>
      <c r="B10" s="1187" t="s">
        <v>10</v>
      </c>
      <c r="C10" s="1187"/>
      <c r="D10" s="1186">
        <f>+D11+D15</f>
        <v>249393701</v>
      </c>
      <c r="E10" s="1186">
        <f t="shared" ref="E10" si="6">+E11+E15</f>
        <v>1016201</v>
      </c>
      <c r="F10" s="1186">
        <f t="shared" ref="F10:L10" si="7">+F11+F15</f>
        <v>5356113</v>
      </c>
      <c r="G10" s="1186">
        <f t="shared" si="7"/>
        <v>21150918</v>
      </c>
      <c r="H10" s="1186">
        <f t="shared" si="7"/>
        <v>99156698</v>
      </c>
      <c r="I10" s="1186">
        <f t="shared" si="7"/>
        <v>77947477</v>
      </c>
      <c r="J10" s="1186">
        <f t="shared" si="7"/>
        <v>33201433</v>
      </c>
      <c r="K10" s="1186">
        <f t="shared" si="7"/>
        <v>11564745</v>
      </c>
      <c r="L10" s="1186">
        <f t="shared" si="7"/>
        <v>0</v>
      </c>
      <c r="M10" s="336">
        <f>+M11</f>
        <v>132670590</v>
      </c>
      <c r="N10" s="336">
        <f>+N11</f>
        <v>127395767</v>
      </c>
      <c r="O10" s="3872"/>
      <c r="P10" s="290"/>
      <c r="Q10" s="174"/>
      <c r="R10" s="174">
        <f>+D24+D44+D56+D68+D80+D106</f>
        <v>221640688</v>
      </c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0"/>
      <c r="AW10" s="290"/>
      <c r="AX10" s="290"/>
      <c r="AY10" s="290"/>
      <c r="AZ10" s="290"/>
      <c r="BA10" s="290"/>
      <c r="BB10" s="290"/>
      <c r="BC10" s="290"/>
      <c r="BD10" s="290"/>
      <c r="BE10" s="290"/>
      <c r="BF10" s="290"/>
      <c r="BG10" s="290"/>
      <c r="BH10" s="290"/>
      <c r="BI10" s="290"/>
      <c r="BJ10" s="290"/>
      <c r="BK10" s="290"/>
      <c r="BL10" s="290"/>
      <c r="BM10" s="290"/>
      <c r="BN10" s="290"/>
      <c r="BO10" s="290"/>
      <c r="BP10" s="290"/>
      <c r="BQ10" s="290"/>
      <c r="BR10" s="290"/>
      <c r="BS10" s="290"/>
      <c r="BT10" s="290"/>
      <c r="BU10" s="290"/>
      <c r="BV10" s="290"/>
      <c r="BW10" s="290"/>
      <c r="BX10" s="290"/>
      <c r="BY10" s="290"/>
    </row>
    <row r="11" spans="1:77" s="463" customFormat="1" ht="14.1" customHeight="1">
      <c r="A11" s="566"/>
      <c r="B11" s="2681" t="s">
        <v>11</v>
      </c>
      <c r="C11" s="3874" t="s">
        <v>53</v>
      </c>
      <c r="D11" s="2682">
        <f>+D12+D13+D14</f>
        <v>134023122</v>
      </c>
      <c r="E11" s="2682">
        <f t="shared" ref="E11:L11" si="8">+E12+E13+E14</f>
        <v>491301</v>
      </c>
      <c r="F11" s="2682">
        <f>+F12+F13+F14</f>
        <v>5320081</v>
      </c>
      <c r="G11" s="2682">
        <f>+G12+G13+G14</f>
        <v>14773165</v>
      </c>
      <c r="H11" s="2682">
        <f t="shared" si="8"/>
        <v>64876895</v>
      </c>
      <c r="I11" s="2682">
        <f t="shared" si="8"/>
        <v>30232378</v>
      </c>
      <c r="J11" s="2682">
        <f t="shared" si="8"/>
        <v>16856941</v>
      </c>
      <c r="K11" s="2682">
        <f t="shared" si="8"/>
        <v>1472245</v>
      </c>
      <c r="L11" s="2682">
        <f t="shared" si="8"/>
        <v>0</v>
      </c>
      <c r="M11" s="2683">
        <f>+M13</f>
        <v>132670590</v>
      </c>
      <c r="N11" s="2683">
        <f>+N13</f>
        <v>127395767</v>
      </c>
      <c r="O11" s="3872"/>
      <c r="P11" s="290"/>
      <c r="Q11" s="174"/>
      <c r="R11" s="174">
        <f>+R10-D10</f>
        <v>-27753013</v>
      </c>
      <c r="S11" s="290"/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/>
      <c r="AW11" s="290"/>
      <c r="AX11" s="290"/>
      <c r="AY11" s="290"/>
      <c r="AZ11" s="290"/>
      <c r="BA11" s="290"/>
      <c r="BB11" s="290"/>
      <c r="BC11" s="290"/>
      <c r="BD11" s="290"/>
      <c r="BE11" s="290"/>
      <c r="BF11" s="290"/>
      <c r="BG11" s="290"/>
      <c r="BH11" s="290"/>
      <c r="BI11" s="290"/>
      <c r="BJ11" s="290"/>
      <c r="BK11" s="290"/>
      <c r="BL11" s="290"/>
      <c r="BM11" s="290"/>
      <c r="BN11" s="290"/>
      <c r="BO11" s="290"/>
      <c r="BP11" s="290"/>
      <c r="BQ11" s="290"/>
      <c r="BR11" s="290"/>
      <c r="BS11" s="290"/>
      <c r="BT11" s="290"/>
      <c r="BU11" s="290"/>
      <c r="BV11" s="290"/>
      <c r="BW11" s="290"/>
      <c r="BX11" s="290"/>
      <c r="BY11" s="290"/>
    </row>
    <row r="12" spans="1:77" s="463" customFormat="1" ht="12">
      <c r="A12" s="566"/>
      <c r="B12" s="2684" t="s">
        <v>31</v>
      </c>
      <c r="C12" s="3874"/>
      <c r="D12" s="2685">
        <f>D144+D158+D170+D120+D108+D94+D71+D82</f>
        <v>145381</v>
      </c>
      <c r="E12" s="2685">
        <f t="shared" ref="E12:L12" si="9">E144+E158+E170+E120+E108+E94</f>
        <v>16733</v>
      </c>
      <c r="F12" s="2685">
        <f t="shared" si="9"/>
        <v>40908</v>
      </c>
      <c r="G12" s="2685">
        <f t="shared" si="9"/>
        <v>47624</v>
      </c>
      <c r="H12" s="2685">
        <f t="shared" si="9"/>
        <v>40000</v>
      </c>
      <c r="I12" s="2685">
        <f t="shared" si="9"/>
        <v>0</v>
      </c>
      <c r="J12" s="2685">
        <f t="shared" si="9"/>
        <v>0</v>
      </c>
      <c r="K12" s="2685">
        <f t="shared" si="9"/>
        <v>0</v>
      </c>
      <c r="L12" s="2685">
        <f t="shared" si="9"/>
        <v>0</v>
      </c>
      <c r="M12" s="2686" t="s">
        <v>53</v>
      </c>
      <c r="N12" s="2686" t="s">
        <v>53</v>
      </c>
      <c r="O12" s="3872"/>
      <c r="P12" s="290"/>
      <c r="Q12" s="174"/>
      <c r="R12" s="290"/>
      <c r="S12" s="290"/>
      <c r="T12" s="290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  <c r="AN12" s="290"/>
      <c r="AO12" s="290"/>
      <c r="AP12" s="290"/>
      <c r="AQ12" s="290"/>
      <c r="AR12" s="290"/>
      <c r="AS12" s="290"/>
      <c r="AT12" s="290"/>
      <c r="AU12" s="290"/>
      <c r="AV12" s="290"/>
      <c r="AW12" s="290"/>
      <c r="AX12" s="290"/>
      <c r="AY12" s="290"/>
      <c r="AZ12" s="290"/>
      <c r="BA12" s="290"/>
      <c r="BB12" s="290"/>
      <c r="BC12" s="290"/>
      <c r="BD12" s="290"/>
      <c r="BE12" s="290"/>
      <c r="BF12" s="290"/>
      <c r="BG12" s="290"/>
      <c r="BH12" s="290"/>
      <c r="BI12" s="290"/>
      <c r="BJ12" s="290"/>
      <c r="BK12" s="290"/>
      <c r="BL12" s="290"/>
      <c r="BM12" s="290"/>
      <c r="BN12" s="290"/>
      <c r="BO12" s="290"/>
      <c r="BP12" s="290"/>
      <c r="BQ12" s="290"/>
      <c r="BR12" s="290"/>
      <c r="BS12" s="290"/>
      <c r="BT12" s="290"/>
      <c r="BU12" s="290"/>
      <c r="BV12" s="290"/>
      <c r="BW12" s="290"/>
      <c r="BX12" s="290"/>
      <c r="BY12" s="290"/>
    </row>
    <row r="13" spans="1:77" s="463" customFormat="1" ht="12">
      <c r="A13" s="566"/>
      <c r="B13" s="2684" t="s">
        <v>149</v>
      </c>
      <c r="C13" s="3874"/>
      <c r="D13" s="2685">
        <f>+D26+D47+D58+D70+D109+D83+D121+D133+D35+D145+D159+D171+D95</f>
        <v>133145158</v>
      </c>
      <c r="E13" s="2685">
        <f t="shared" ref="E13:L13" si="10">+E26+E47+E58+E70+E109+E83+E121+E133+E35+E145+E159+E171+E95</f>
        <v>474568</v>
      </c>
      <c r="F13" s="2685">
        <f t="shared" si="10"/>
        <v>5274823</v>
      </c>
      <c r="G13" s="2685">
        <f>+G26+G47+G58+G70+G109+G83+G121+G133+G35+G145+G159+G171+G95</f>
        <v>14580273</v>
      </c>
      <c r="H13" s="2685">
        <f>+H26+H47+H58+H70+H109+H83+H121+H133+H35+H145+H159+H171+H95</f>
        <v>64253930</v>
      </c>
      <c r="I13" s="2685">
        <f t="shared" si="10"/>
        <v>30232378</v>
      </c>
      <c r="J13" s="2685">
        <f>+J26+J47+J58+J70+J109+J83+J121+J133+J35+J145+J159+J171+J95</f>
        <v>16856941</v>
      </c>
      <c r="K13" s="2685">
        <f t="shared" si="10"/>
        <v>1472245</v>
      </c>
      <c r="L13" s="2685">
        <f t="shared" si="10"/>
        <v>0</v>
      </c>
      <c r="M13" s="441">
        <f>SUM(F13:L13)</f>
        <v>132670590</v>
      </c>
      <c r="N13" s="441">
        <f>SUM(G13:L13)</f>
        <v>127395767</v>
      </c>
      <c r="O13" s="3872"/>
      <c r="P13" s="290"/>
      <c r="Q13" s="174"/>
      <c r="R13" s="174"/>
      <c r="S13" s="290"/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0"/>
      <c r="AR13" s="290"/>
      <c r="AS13" s="290"/>
      <c r="AT13" s="290"/>
      <c r="AU13" s="290"/>
      <c r="AV13" s="290"/>
      <c r="AW13" s="290"/>
      <c r="AX13" s="290"/>
      <c r="AY13" s="290"/>
      <c r="AZ13" s="290"/>
      <c r="BA13" s="290"/>
      <c r="BB13" s="290"/>
      <c r="BC13" s="290"/>
      <c r="BD13" s="290"/>
      <c r="BE13" s="290"/>
      <c r="BF13" s="290"/>
      <c r="BG13" s="290"/>
      <c r="BH13" s="290"/>
      <c r="BI13" s="290"/>
      <c r="BJ13" s="290"/>
      <c r="BK13" s="290"/>
      <c r="BL13" s="290"/>
      <c r="BM13" s="290"/>
      <c r="BN13" s="290"/>
      <c r="BO13" s="290"/>
      <c r="BP13" s="290"/>
      <c r="BQ13" s="290"/>
      <c r="BR13" s="290"/>
      <c r="BS13" s="290"/>
      <c r="BT13" s="290"/>
      <c r="BU13" s="290"/>
      <c r="BV13" s="290"/>
      <c r="BW13" s="290"/>
      <c r="BX13" s="290"/>
      <c r="BY13" s="290"/>
    </row>
    <row r="14" spans="1:77" s="463" customFormat="1" ht="12">
      <c r="A14" s="566"/>
      <c r="B14" s="2617" t="s">
        <v>538</v>
      </c>
      <c r="C14" s="3875"/>
      <c r="D14" s="2618">
        <f>D146+D96</f>
        <v>732583</v>
      </c>
      <c r="E14" s="2618">
        <f t="shared" ref="E14:L14" si="11">E146+E96</f>
        <v>0</v>
      </c>
      <c r="F14" s="2618">
        <f t="shared" si="11"/>
        <v>4350</v>
      </c>
      <c r="G14" s="2618">
        <f t="shared" si="11"/>
        <v>145268</v>
      </c>
      <c r="H14" s="2618">
        <f t="shared" si="11"/>
        <v>582965</v>
      </c>
      <c r="I14" s="2618">
        <f t="shared" si="11"/>
        <v>0</v>
      </c>
      <c r="J14" s="2618">
        <f t="shared" si="11"/>
        <v>0</v>
      </c>
      <c r="K14" s="2618">
        <f t="shared" si="11"/>
        <v>0</v>
      </c>
      <c r="L14" s="2618">
        <f t="shared" si="11"/>
        <v>0</v>
      </c>
      <c r="M14" s="1378"/>
      <c r="N14" s="1378"/>
      <c r="O14" s="3872"/>
      <c r="P14" s="290"/>
      <c r="Q14" s="174"/>
      <c r="R14" s="174"/>
      <c r="S14" s="290"/>
      <c r="T14" s="290"/>
      <c r="U14" s="290"/>
      <c r="V14" s="290"/>
      <c r="W14" s="290"/>
      <c r="X14" s="290"/>
      <c r="Y14" s="290"/>
      <c r="Z14" s="290"/>
      <c r="AA14" s="290"/>
      <c r="AB14" s="290"/>
      <c r="AC14" s="290"/>
      <c r="AD14" s="290"/>
      <c r="AE14" s="290"/>
      <c r="AF14" s="290"/>
      <c r="AG14" s="290"/>
      <c r="AH14" s="290"/>
      <c r="AI14" s="290"/>
      <c r="AJ14" s="290"/>
      <c r="AK14" s="290"/>
      <c r="AL14" s="290"/>
      <c r="AM14" s="290"/>
      <c r="AN14" s="290"/>
      <c r="AO14" s="290"/>
      <c r="AP14" s="290"/>
      <c r="AQ14" s="290"/>
      <c r="AR14" s="290"/>
      <c r="AS14" s="290"/>
      <c r="AT14" s="290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290"/>
      <c r="BG14" s="290"/>
      <c r="BH14" s="290"/>
      <c r="BI14" s="290"/>
      <c r="BJ14" s="290"/>
      <c r="BK14" s="290"/>
      <c r="BL14" s="290"/>
      <c r="BM14" s="290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</row>
    <row r="15" spans="1:77" s="463" customFormat="1" ht="12">
      <c r="A15" s="566"/>
      <c r="B15" s="2681" t="s">
        <v>18</v>
      </c>
      <c r="C15" s="3874"/>
      <c r="D15" s="2682">
        <f>+D16</f>
        <v>115370579</v>
      </c>
      <c r="E15" s="2682">
        <f t="shared" ref="E15:L15" si="12">+E16</f>
        <v>524900</v>
      </c>
      <c r="F15" s="2682">
        <f t="shared" si="12"/>
        <v>36032</v>
      </c>
      <c r="G15" s="2682">
        <f t="shared" si="12"/>
        <v>6377753</v>
      </c>
      <c r="H15" s="2682">
        <f t="shared" si="12"/>
        <v>34279803</v>
      </c>
      <c r="I15" s="2682">
        <f t="shared" si="12"/>
        <v>47715099</v>
      </c>
      <c r="J15" s="2682">
        <f t="shared" si="12"/>
        <v>16344492</v>
      </c>
      <c r="K15" s="2682">
        <f t="shared" si="12"/>
        <v>10092500</v>
      </c>
      <c r="L15" s="2682">
        <f t="shared" si="12"/>
        <v>0</v>
      </c>
      <c r="M15" s="2687" t="str">
        <f>+M16</f>
        <v>x</v>
      </c>
      <c r="N15" s="2687" t="str">
        <f>+N16</f>
        <v>x</v>
      </c>
      <c r="O15" s="3872"/>
      <c r="P15" s="290"/>
      <c r="Q15" s="174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90"/>
      <c r="BE15" s="290"/>
      <c r="BF15" s="290"/>
      <c r="BG15" s="290"/>
      <c r="BH15" s="290"/>
      <c r="BI15" s="290"/>
      <c r="BJ15" s="290"/>
      <c r="BK15" s="290"/>
      <c r="BL15" s="290"/>
      <c r="BM15" s="290"/>
      <c r="BN15" s="290"/>
      <c r="BO15" s="290"/>
      <c r="BP15" s="290"/>
      <c r="BQ15" s="290"/>
      <c r="BR15" s="290"/>
      <c r="BS15" s="290"/>
      <c r="BT15" s="290"/>
      <c r="BU15" s="290"/>
      <c r="BV15" s="290"/>
      <c r="BW15" s="290"/>
      <c r="BX15" s="290"/>
      <c r="BY15" s="290"/>
    </row>
    <row r="16" spans="1:77" s="463" customFormat="1" ht="12">
      <c r="A16" s="566"/>
      <c r="B16" s="2688" t="s">
        <v>34</v>
      </c>
      <c r="C16" s="3874"/>
      <c r="D16" s="2685">
        <f t="shared" ref="D16:L16" si="13">D28+D49+D61+D85+D111+D73+D123+D148+D161+D173</f>
        <v>115370579</v>
      </c>
      <c r="E16" s="2685">
        <f t="shared" si="13"/>
        <v>524900</v>
      </c>
      <c r="F16" s="2685">
        <f t="shared" si="13"/>
        <v>36032</v>
      </c>
      <c r="G16" s="2685">
        <f t="shared" si="13"/>
        <v>6377753</v>
      </c>
      <c r="H16" s="2685">
        <f t="shared" si="13"/>
        <v>34279803</v>
      </c>
      <c r="I16" s="2685">
        <f t="shared" si="13"/>
        <v>47715099</v>
      </c>
      <c r="J16" s="2685">
        <f t="shared" si="13"/>
        <v>16344492</v>
      </c>
      <c r="K16" s="2685">
        <f t="shared" si="13"/>
        <v>10092500</v>
      </c>
      <c r="L16" s="2685">
        <f t="shared" si="13"/>
        <v>0</v>
      </c>
      <c r="M16" s="2689" t="s">
        <v>53</v>
      </c>
      <c r="N16" s="2689" t="s">
        <v>53</v>
      </c>
      <c r="O16" s="3872"/>
      <c r="P16" s="290"/>
      <c r="Q16" s="174"/>
      <c r="R16" s="290"/>
      <c r="S16" s="290"/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0"/>
      <c r="AX16" s="290"/>
      <c r="AY16" s="290"/>
      <c r="AZ16" s="290"/>
      <c r="BA16" s="290"/>
      <c r="BB16" s="290"/>
      <c r="BC16" s="290"/>
      <c r="BD16" s="290"/>
      <c r="BE16" s="290"/>
      <c r="BF16" s="290"/>
      <c r="BG16" s="290"/>
      <c r="BH16" s="290"/>
      <c r="BI16" s="290"/>
      <c r="BJ16" s="290"/>
      <c r="BK16" s="290"/>
      <c r="BL16" s="290"/>
      <c r="BM16" s="290"/>
      <c r="BN16" s="290"/>
      <c r="BO16" s="290"/>
      <c r="BP16" s="290"/>
      <c r="BQ16" s="290"/>
      <c r="BR16" s="290"/>
      <c r="BS16" s="290"/>
      <c r="BT16" s="290"/>
      <c r="BU16" s="290"/>
      <c r="BV16" s="290"/>
      <c r="BW16" s="290"/>
      <c r="BX16" s="290"/>
      <c r="BY16" s="290"/>
    </row>
    <row r="17" spans="1:77" s="463" customFormat="1" ht="12">
      <c r="A17" s="566"/>
      <c r="B17" s="417" t="s">
        <v>21</v>
      </c>
      <c r="C17" s="417"/>
      <c r="D17" s="442">
        <f>+D18+D21</f>
        <v>156430215</v>
      </c>
      <c r="E17" s="442">
        <f t="shared" ref="E17" si="14">+E18+E21</f>
        <v>644420</v>
      </c>
      <c r="F17" s="442">
        <f t="shared" ref="F17:L17" si="15">+F18+F21</f>
        <v>380606</v>
      </c>
      <c r="G17" s="442">
        <f t="shared" si="15"/>
        <v>10652597</v>
      </c>
      <c r="H17" s="442">
        <f t="shared" si="15"/>
        <v>50903749</v>
      </c>
      <c r="I17" s="442">
        <f t="shared" si="15"/>
        <v>60086049</v>
      </c>
      <c r="J17" s="442">
        <f t="shared" si="15"/>
        <v>22019565</v>
      </c>
      <c r="K17" s="442">
        <f t="shared" si="15"/>
        <v>11743229</v>
      </c>
      <c r="L17" s="442">
        <f t="shared" si="15"/>
        <v>0</v>
      </c>
      <c r="M17" s="3881" t="s">
        <v>53</v>
      </c>
      <c r="N17" s="3881" t="s">
        <v>53</v>
      </c>
      <c r="O17" s="3872"/>
      <c r="P17" s="290"/>
      <c r="Q17" s="174"/>
      <c r="R17" s="290"/>
      <c r="S17" s="290"/>
      <c r="T17" s="290"/>
      <c r="U17" s="290"/>
      <c r="V17" s="290"/>
      <c r="W17" s="290"/>
      <c r="X17" s="290"/>
      <c r="Y17" s="290"/>
      <c r="Z17" s="290"/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  <c r="AM17" s="290"/>
      <c r="AN17" s="290"/>
      <c r="AO17" s="290"/>
      <c r="AP17" s="290"/>
      <c r="AQ17" s="290"/>
      <c r="AR17" s="290"/>
      <c r="AS17" s="290"/>
      <c r="AT17" s="290"/>
      <c r="AU17" s="290"/>
      <c r="AV17" s="290"/>
      <c r="AW17" s="290"/>
      <c r="AX17" s="290"/>
      <c r="AY17" s="290"/>
      <c r="AZ17" s="290"/>
      <c r="BA17" s="290"/>
      <c r="BB17" s="290"/>
      <c r="BC17" s="290"/>
      <c r="BD17" s="290"/>
      <c r="BE17" s="290"/>
      <c r="BF17" s="290"/>
      <c r="BG17" s="290"/>
      <c r="BH17" s="290"/>
      <c r="BI17" s="290"/>
      <c r="BJ17" s="290"/>
      <c r="BK17" s="290"/>
      <c r="BL17" s="290"/>
      <c r="BM17" s="290"/>
      <c r="BN17" s="290"/>
      <c r="BO17" s="290"/>
      <c r="BP17" s="290"/>
      <c r="BQ17" s="290"/>
      <c r="BR17" s="290"/>
      <c r="BS17" s="290"/>
      <c r="BT17" s="290"/>
      <c r="BU17" s="290"/>
      <c r="BV17" s="290"/>
      <c r="BW17" s="290"/>
      <c r="BX17" s="290"/>
      <c r="BY17" s="290"/>
    </row>
    <row r="18" spans="1:77" s="463" customFormat="1" ht="12">
      <c r="A18" s="566"/>
      <c r="B18" s="2681" t="s">
        <v>23</v>
      </c>
      <c r="C18" s="3876" t="s">
        <v>53</v>
      </c>
      <c r="D18" s="2682">
        <f>+D19+D20</f>
        <v>41059636</v>
      </c>
      <c r="E18" s="2682">
        <f t="shared" ref="E18:L18" si="16">+E19+E20</f>
        <v>119520</v>
      </c>
      <c r="F18" s="2682">
        <f t="shared" si="16"/>
        <v>370406</v>
      </c>
      <c r="G18" s="2682">
        <f t="shared" si="16"/>
        <v>4579602</v>
      </c>
      <c r="H18" s="2682">
        <f t="shared" si="16"/>
        <v>16913356</v>
      </c>
      <c r="I18" s="2682">
        <f t="shared" si="16"/>
        <v>11750950</v>
      </c>
      <c r="J18" s="2682">
        <f t="shared" si="16"/>
        <v>5675073</v>
      </c>
      <c r="K18" s="2682">
        <f t="shared" si="16"/>
        <v>1650729</v>
      </c>
      <c r="L18" s="2682">
        <f t="shared" si="16"/>
        <v>0</v>
      </c>
      <c r="M18" s="3882"/>
      <c r="N18" s="3882"/>
      <c r="O18" s="3872"/>
      <c r="P18" s="290"/>
      <c r="Q18" s="174"/>
      <c r="R18" s="290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290"/>
      <c r="AU18" s="290"/>
      <c r="AV18" s="290"/>
      <c r="AW18" s="290"/>
      <c r="AX18" s="290"/>
      <c r="AY18" s="290"/>
      <c r="AZ18" s="290"/>
      <c r="BA18" s="290"/>
      <c r="BB18" s="290"/>
      <c r="BC18" s="290"/>
      <c r="BD18" s="290"/>
      <c r="BE18" s="290"/>
      <c r="BF18" s="290"/>
      <c r="BG18" s="290"/>
      <c r="BH18" s="290"/>
      <c r="BI18" s="290"/>
      <c r="BJ18" s="290"/>
      <c r="BK18" s="290"/>
      <c r="BL18" s="290"/>
      <c r="BM18" s="290"/>
      <c r="BN18" s="290"/>
      <c r="BO18" s="290"/>
      <c r="BP18" s="290"/>
      <c r="BQ18" s="290"/>
      <c r="BR18" s="290"/>
      <c r="BS18" s="290"/>
      <c r="BT18" s="290"/>
      <c r="BU18" s="290"/>
      <c r="BV18" s="290"/>
      <c r="BW18" s="290"/>
      <c r="BX18" s="290"/>
      <c r="BY18" s="290"/>
    </row>
    <row r="19" spans="1:77" s="463" customFormat="1" ht="12">
      <c r="A19" s="566"/>
      <c r="B19" s="2688" t="s">
        <v>138</v>
      </c>
      <c r="C19" s="3877"/>
      <c r="D19" s="2685">
        <f t="shared" ref="D19:L19" si="17">+D64+D114+D52+D76+D88+D31+D40+D151+D164+D176</f>
        <v>40327053</v>
      </c>
      <c r="E19" s="2685">
        <f t="shared" si="17"/>
        <v>119520</v>
      </c>
      <c r="F19" s="2685">
        <f t="shared" si="17"/>
        <v>370406</v>
      </c>
      <c r="G19" s="2685">
        <f t="shared" si="17"/>
        <v>4443323</v>
      </c>
      <c r="H19" s="2685">
        <f t="shared" si="17"/>
        <v>16317052</v>
      </c>
      <c r="I19" s="2685">
        <f t="shared" si="17"/>
        <v>11750950</v>
      </c>
      <c r="J19" s="2685">
        <f t="shared" si="17"/>
        <v>5675073</v>
      </c>
      <c r="K19" s="2685">
        <f t="shared" si="17"/>
        <v>1650729</v>
      </c>
      <c r="L19" s="2685">
        <f t="shared" si="17"/>
        <v>0</v>
      </c>
      <c r="M19" s="3882"/>
      <c r="N19" s="3882"/>
      <c r="O19" s="3872"/>
      <c r="P19" s="290"/>
      <c r="Q19" s="174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  <c r="AY19" s="290"/>
      <c r="AZ19" s="290"/>
      <c r="BA19" s="290"/>
      <c r="BB19" s="290"/>
      <c r="BC19" s="290"/>
      <c r="BD19" s="290"/>
      <c r="BE19" s="290"/>
      <c r="BF19" s="290"/>
      <c r="BG19" s="290"/>
      <c r="BH19" s="290"/>
      <c r="BI19" s="290"/>
      <c r="BJ19" s="290"/>
      <c r="BK19" s="290"/>
      <c r="BL19" s="290"/>
      <c r="BM19" s="290"/>
      <c r="BN19" s="290"/>
      <c r="BO19" s="290"/>
      <c r="BP19" s="290"/>
      <c r="BQ19" s="290"/>
      <c r="BR19" s="290"/>
      <c r="BS19" s="290"/>
      <c r="BT19" s="290"/>
      <c r="BU19" s="290"/>
      <c r="BV19" s="290"/>
      <c r="BW19" s="290"/>
      <c r="BX19" s="290"/>
      <c r="BY19" s="290"/>
    </row>
    <row r="20" spans="1:77" s="463" customFormat="1" ht="12">
      <c r="A20" s="566"/>
      <c r="B20" s="2690" t="s">
        <v>538</v>
      </c>
      <c r="C20" s="3877"/>
      <c r="D20" s="443">
        <f>D152+D102</f>
        <v>732583</v>
      </c>
      <c r="E20" s="443">
        <f t="shared" ref="E20:L20" si="18">E152+E102</f>
        <v>0</v>
      </c>
      <c r="F20" s="443">
        <f t="shared" si="18"/>
        <v>0</v>
      </c>
      <c r="G20" s="443">
        <f t="shared" si="18"/>
        <v>136279</v>
      </c>
      <c r="H20" s="443">
        <f t="shared" si="18"/>
        <v>596304</v>
      </c>
      <c r="I20" s="443">
        <f t="shared" si="18"/>
        <v>0</v>
      </c>
      <c r="J20" s="443">
        <f t="shared" si="18"/>
        <v>0</v>
      </c>
      <c r="K20" s="443">
        <f t="shared" si="18"/>
        <v>0</v>
      </c>
      <c r="L20" s="443">
        <f t="shared" si="18"/>
        <v>0</v>
      </c>
      <c r="M20" s="3882"/>
      <c r="N20" s="3882"/>
      <c r="O20" s="3872"/>
      <c r="P20" s="290"/>
      <c r="Q20" s="174"/>
      <c r="R20" s="290"/>
      <c r="S20" s="290"/>
      <c r="T20" s="290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0"/>
      <c r="AW20" s="290"/>
      <c r="AX20" s="290"/>
      <c r="AY20" s="290"/>
      <c r="AZ20" s="290"/>
      <c r="BA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0"/>
    </row>
    <row r="21" spans="1:77" s="463" customFormat="1" ht="12">
      <c r="A21" s="566"/>
      <c r="B21" s="2691" t="s">
        <v>18</v>
      </c>
      <c r="C21" s="3877"/>
      <c r="D21" s="2692">
        <f>+D22</f>
        <v>115370579</v>
      </c>
      <c r="E21" s="2692">
        <f t="shared" ref="E21:L21" si="19">+E22</f>
        <v>524900</v>
      </c>
      <c r="F21" s="2692">
        <f t="shared" si="19"/>
        <v>10200</v>
      </c>
      <c r="G21" s="2692">
        <f t="shared" si="19"/>
        <v>6072995</v>
      </c>
      <c r="H21" s="2692">
        <f t="shared" si="19"/>
        <v>33990393</v>
      </c>
      <c r="I21" s="2692">
        <f t="shared" si="19"/>
        <v>48335099</v>
      </c>
      <c r="J21" s="2692">
        <f t="shared" si="19"/>
        <v>16344492</v>
      </c>
      <c r="K21" s="2692">
        <f t="shared" si="19"/>
        <v>10092500</v>
      </c>
      <c r="L21" s="2692">
        <f t="shared" si="19"/>
        <v>0</v>
      </c>
      <c r="M21" s="3882"/>
      <c r="N21" s="3882"/>
      <c r="O21" s="3872"/>
      <c r="P21" s="290"/>
      <c r="Q21" s="174"/>
      <c r="R21" s="290"/>
      <c r="S21" s="290"/>
      <c r="T21" s="290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90"/>
      <c r="AL21" s="290"/>
      <c r="AM21" s="290"/>
      <c r="AN21" s="290"/>
      <c r="AO21" s="290"/>
      <c r="AP21" s="290"/>
      <c r="AQ21" s="290"/>
      <c r="AR21" s="290"/>
      <c r="AS21" s="290"/>
      <c r="AT21" s="290"/>
      <c r="AU21" s="290"/>
      <c r="AV21" s="290"/>
      <c r="AW21" s="290"/>
      <c r="AX21" s="290"/>
      <c r="AY21" s="290"/>
      <c r="AZ21" s="290"/>
      <c r="BA21" s="290"/>
      <c r="BB21" s="290"/>
      <c r="BC21" s="290"/>
      <c r="BD21" s="290"/>
      <c r="BE21" s="290"/>
      <c r="BF21" s="290"/>
      <c r="BG21" s="290"/>
      <c r="BH21" s="290"/>
      <c r="BI21" s="290"/>
      <c r="BJ21" s="290"/>
      <c r="BK21" s="290"/>
      <c r="BL21" s="290"/>
      <c r="BM21" s="290"/>
      <c r="BN21" s="290"/>
      <c r="BO21" s="290"/>
      <c r="BP21" s="290"/>
      <c r="BQ21" s="290"/>
      <c r="BR21" s="290"/>
      <c r="BS21" s="290"/>
      <c r="BT21" s="290"/>
      <c r="BU21" s="290"/>
      <c r="BV21" s="290"/>
      <c r="BW21" s="290"/>
      <c r="BX21" s="290"/>
      <c r="BY21" s="290"/>
    </row>
    <row r="22" spans="1:77" s="463" customFormat="1" ht="14.1" customHeight="1" thickBot="1">
      <c r="A22" s="567"/>
      <c r="B22" s="2693" t="s">
        <v>34</v>
      </c>
      <c r="C22" s="3878"/>
      <c r="D22" s="1188">
        <f t="shared" ref="D22:L22" si="20">+D54+D66+D116+D90+D78+D128+D154+D166+D178</f>
        <v>115370579</v>
      </c>
      <c r="E22" s="1188">
        <f t="shared" si="20"/>
        <v>524900</v>
      </c>
      <c r="F22" s="1188">
        <f t="shared" si="20"/>
        <v>10200</v>
      </c>
      <c r="G22" s="1188">
        <f t="shared" si="20"/>
        <v>6072995</v>
      </c>
      <c r="H22" s="1188">
        <f t="shared" si="20"/>
        <v>33990393</v>
      </c>
      <c r="I22" s="1188">
        <f t="shared" si="20"/>
        <v>48335099</v>
      </c>
      <c r="J22" s="1188">
        <f t="shared" si="20"/>
        <v>16344492</v>
      </c>
      <c r="K22" s="1188">
        <f t="shared" si="20"/>
        <v>10092500</v>
      </c>
      <c r="L22" s="1188">
        <f t="shared" si="20"/>
        <v>0</v>
      </c>
      <c r="M22" s="3883"/>
      <c r="N22" s="3883"/>
      <c r="O22" s="3873"/>
      <c r="P22" s="290"/>
      <c r="Q22" s="174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90"/>
      <c r="AE22" s="290"/>
      <c r="AF22" s="290"/>
      <c r="AG22" s="290"/>
      <c r="AH22" s="290"/>
      <c r="AI22" s="290"/>
      <c r="AJ22" s="290"/>
      <c r="AK22" s="290"/>
      <c r="AL22" s="290"/>
      <c r="AM22" s="290"/>
      <c r="AN22" s="290"/>
      <c r="AO22" s="290"/>
      <c r="AP22" s="290"/>
      <c r="AQ22" s="290"/>
      <c r="AR22" s="290"/>
      <c r="AS22" s="290"/>
      <c r="AT22" s="290"/>
      <c r="AU22" s="290"/>
      <c r="AV22" s="290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90"/>
      <c r="BK22" s="290"/>
      <c r="BL22" s="290"/>
      <c r="BM22" s="290"/>
      <c r="BN22" s="290"/>
      <c r="BO22" s="290"/>
      <c r="BP22" s="290"/>
      <c r="BQ22" s="290"/>
      <c r="BR22" s="290"/>
      <c r="BS22" s="290"/>
      <c r="BT22" s="290"/>
      <c r="BU22" s="290"/>
      <c r="BV22" s="290"/>
      <c r="BW22" s="290"/>
      <c r="BX22" s="290"/>
      <c r="BY22" s="290"/>
    </row>
    <row r="23" spans="1:77" s="290" customFormat="1" ht="23.25" customHeight="1">
      <c r="A23" s="3845" t="s">
        <v>55</v>
      </c>
      <c r="B23" s="1189" t="s">
        <v>706</v>
      </c>
      <c r="C23" s="2653" t="s">
        <v>74</v>
      </c>
      <c r="D23" s="2652"/>
      <c r="E23" s="350"/>
      <c r="F23" s="350"/>
      <c r="G23" s="350"/>
      <c r="H23" s="350"/>
      <c r="I23" s="350"/>
      <c r="J23" s="350"/>
      <c r="K23" s="350"/>
      <c r="L23" s="1201"/>
      <c r="M23" s="444"/>
      <c r="N23" s="444"/>
      <c r="O23" s="3849" t="s">
        <v>366</v>
      </c>
    </row>
    <row r="24" spans="1:77" s="290" customFormat="1" ht="12">
      <c r="A24" s="3846"/>
      <c r="B24" s="417" t="s">
        <v>10</v>
      </c>
      <c r="C24" s="417"/>
      <c r="D24" s="442">
        <f t="shared" ref="D24" si="21">+D25+D27</f>
        <v>1805000</v>
      </c>
      <c r="E24" s="442">
        <f t="shared" ref="E24" si="22">+E25+E27</f>
        <v>0</v>
      </c>
      <c r="F24" s="442">
        <f t="shared" ref="F24:N24" si="23">+F25</f>
        <v>242386</v>
      </c>
      <c r="G24" s="442">
        <f t="shared" si="23"/>
        <v>0</v>
      </c>
      <c r="H24" s="442">
        <f t="shared" si="23"/>
        <v>0</v>
      </c>
      <c r="I24" s="442">
        <f t="shared" si="23"/>
        <v>1562614</v>
      </c>
      <c r="J24" s="442"/>
      <c r="K24" s="442"/>
      <c r="L24" s="442"/>
      <c r="M24" s="445">
        <f t="shared" si="23"/>
        <v>1805000</v>
      </c>
      <c r="N24" s="445">
        <f t="shared" si="23"/>
        <v>1562614</v>
      </c>
      <c r="O24" s="3850"/>
    </row>
    <row r="25" spans="1:77" s="290" customFormat="1" ht="12">
      <c r="A25" s="3846"/>
      <c r="B25" s="2610" t="s">
        <v>23</v>
      </c>
      <c r="C25" s="3860" t="s">
        <v>365</v>
      </c>
      <c r="D25" s="1266">
        <f>D26</f>
        <v>1805000</v>
      </c>
      <c r="E25" s="414">
        <f t="shared" ref="E25:I25" si="24">E26</f>
        <v>0</v>
      </c>
      <c r="F25" s="414">
        <f t="shared" si="24"/>
        <v>242386</v>
      </c>
      <c r="G25" s="414">
        <f t="shared" si="24"/>
        <v>0</v>
      </c>
      <c r="H25" s="414">
        <f t="shared" si="24"/>
        <v>0</v>
      </c>
      <c r="I25" s="414">
        <f t="shared" si="24"/>
        <v>1562614</v>
      </c>
      <c r="J25" s="414"/>
      <c r="K25" s="414"/>
      <c r="L25" s="414"/>
      <c r="M25" s="447">
        <f>+M26</f>
        <v>1805000</v>
      </c>
      <c r="N25" s="447">
        <f>+N26</f>
        <v>1562614</v>
      </c>
      <c r="O25" s="3850"/>
    </row>
    <row r="26" spans="1:77" s="290" customFormat="1" ht="12.75" customHeight="1">
      <c r="A26" s="3846"/>
      <c r="B26" s="2694" t="s">
        <v>113</v>
      </c>
      <c r="C26" s="3858"/>
      <c r="D26" s="1267">
        <f>E26+F26+G26+H26+I26+J26+K26+L26</f>
        <v>1805000</v>
      </c>
      <c r="E26" s="411">
        <v>0</v>
      </c>
      <c r="F26" s="411">
        <f>355000-112614</f>
        <v>242386</v>
      </c>
      <c r="G26" s="411">
        <f>1450000+112614-1562614</f>
        <v>0</v>
      </c>
      <c r="H26" s="411">
        <v>0</v>
      </c>
      <c r="I26" s="411">
        <v>1562614</v>
      </c>
      <c r="J26" s="411"/>
      <c r="K26" s="411"/>
      <c r="L26" s="411"/>
      <c r="M26" s="441">
        <f>SUM(F26:K26)</f>
        <v>1805000</v>
      </c>
      <c r="N26" s="441">
        <f>SUM(G26:L26)</f>
        <v>1562614</v>
      </c>
      <c r="O26" s="3850"/>
    </row>
    <row r="27" spans="1:77" s="290" customFormat="1" ht="12.75" hidden="1" customHeight="1">
      <c r="A27" s="3846"/>
      <c r="B27" s="449" t="s">
        <v>18</v>
      </c>
      <c r="C27" s="3858"/>
      <c r="D27" s="450">
        <f>+D28</f>
        <v>0</v>
      </c>
      <c r="E27" s="450"/>
      <c r="F27" s="450"/>
      <c r="G27" s="450"/>
      <c r="H27" s="450"/>
      <c r="I27" s="450"/>
      <c r="J27" s="450"/>
      <c r="K27" s="450"/>
      <c r="L27" s="450"/>
      <c r="M27" s="1190" t="s">
        <v>53</v>
      </c>
      <c r="N27" s="1190" t="s">
        <v>53</v>
      </c>
      <c r="O27" s="3850"/>
    </row>
    <row r="28" spans="1:77" s="290" customFormat="1" ht="13.5" hidden="1" customHeight="1">
      <c r="A28" s="3846"/>
      <c r="B28" s="2611" t="s">
        <v>34</v>
      </c>
      <c r="C28" s="3858"/>
      <c r="D28" s="1267">
        <f>E28+F28+G28+H28+I28+J28+K28+L28</f>
        <v>0</v>
      </c>
      <c r="E28" s="411"/>
      <c r="F28" s="411"/>
      <c r="G28" s="411"/>
      <c r="H28" s="411"/>
      <c r="I28" s="411"/>
      <c r="J28" s="411"/>
      <c r="K28" s="411"/>
      <c r="L28" s="411"/>
      <c r="M28" s="458" t="s">
        <v>53</v>
      </c>
      <c r="N28" s="458" t="s">
        <v>53</v>
      </c>
      <c r="O28" s="3850"/>
    </row>
    <row r="29" spans="1:77" s="451" customFormat="1" ht="12">
      <c r="A29" s="3846"/>
      <c r="B29" s="1187" t="s">
        <v>21</v>
      </c>
      <c r="C29" s="3858"/>
      <c r="D29" s="1191">
        <f>D30</f>
        <v>23142</v>
      </c>
      <c r="E29" s="1191">
        <f>E30</f>
        <v>0</v>
      </c>
      <c r="F29" s="1192"/>
      <c r="G29" s="1192">
        <f>G30</f>
        <v>0</v>
      </c>
      <c r="H29" s="1192"/>
      <c r="I29" s="1192">
        <f>I30</f>
        <v>23142</v>
      </c>
      <c r="J29" s="1192"/>
      <c r="K29" s="1192"/>
      <c r="L29" s="1192"/>
      <c r="M29" s="3891"/>
      <c r="N29" s="3891"/>
      <c r="O29" s="3850"/>
    </row>
    <row r="30" spans="1:77" s="290" customFormat="1" ht="12.75">
      <c r="A30" s="3846"/>
      <c r="B30" s="1380" t="s">
        <v>23</v>
      </c>
      <c r="C30" s="3858"/>
      <c r="D30" s="1266">
        <f>+D31</f>
        <v>23142</v>
      </c>
      <c r="E30" s="1266">
        <f>+E31</f>
        <v>0</v>
      </c>
      <c r="F30" s="3005"/>
      <c r="G30" s="414">
        <f>G31</f>
        <v>0</v>
      </c>
      <c r="H30" s="3005"/>
      <c r="I30" s="414">
        <f>I31</f>
        <v>23142</v>
      </c>
      <c r="J30" s="3005"/>
      <c r="K30" s="3005"/>
      <c r="L30" s="3005"/>
      <c r="M30" s="3885"/>
      <c r="N30" s="3885"/>
      <c r="O30" s="3850"/>
    </row>
    <row r="31" spans="1:77" s="290" customFormat="1" ht="13.5" thickBot="1">
      <c r="A31" s="3847"/>
      <c r="B31" s="1381" t="s">
        <v>138</v>
      </c>
      <c r="C31" s="3893"/>
      <c r="D31" s="1382">
        <f>E31+F31+G31+H31+I31+J31+K31+L31</f>
        <v>23142</v>
      </c>
      <c r="E31" s="448">
        <v>0</v>
      </c>
      <c r="F31" s="3006"/>
      <c r="G31" s="448">
        <f>55657-55657</f>
        <v>0</v>
      </c>
      <c r="H31" s="3006"/>
      <c r="I31" s="3006">
        <v>23142</v>
      </c>
      <c r="J31" s="3006"/>
      <c r="K31" s="3006"/>
      <c r="L31" s="3006"/>
      <c r="M31" s="3892"/>
      <c r="N31" s="3892"/>
      <c r="O31" s="3863"/>
    </row>
    <row r="32" spans="1:77" s="290" customFormat="1" ht="27" customHeight="1">
      <c r="A32" s="3845" t="s">
        <v>56</v>
      </c>
      <c r="B32" s="1189" t="s">
        <v>760</v>
      </c>
      <c r="C32" s="2653" t="s">
        <v>101</v>
      </c>
      <c r="D32" s="2652"/>
      <c r="E32" s="350"/>
      <c r="F32" s="350"/>
      <c r="G32" s="350"/>
      <c r="H32" s="350"/>
      <c r="I32" s="350"/>
      <c r="J32" s="350"/>
      <c r="K32" s="350"/>
      <c r="L32" s="1201"/>
      <c r="M32" s="461"/>
      <c r="N32" s="461"/>
      <c r="O32" s="3849" t="s">
        <v>366</v>
      </c>
    </row>
    <row r="33" spans="1:15" s="290" customFormat="1" ht="12.75" customHeight="1">
      <c r="A33" s="3846"/>
      <c r="B33" s="417" t="s">
        <v>10</v>
      </c>
      <c r="C33" s="417"/>
      <c r="D33" s="442">
        <f t="shared" ref="D33:E33" si="25">+D34+D36</f>
        <v>11765000</v>
      </c>
      <c r="E33" s="442">
        <f t="shared" si="25"/>
        <v>0</v>
      </c>
      <c r="F33" s="1281">
        <f t="shared" ref="F33:N33" si="26">+F34</f>
        <v>4099273</v>
      </c>
      <c r="G33" s="1281">
        <f t="shared" si="26"/>
        <v>6449841</v>
      </c>
      <c r="H33" s="1281">
        <f t="shared" si="26"/>
        <v>1215886</v>
      </c>
      <c r="I33" s="1281">
        <f t="shared" si="26"/>
        <v>0</v>
      </c>
      <c r="J33" s="1281"/>
      <c r="K33" s="1281"/>
      <c r="L33" s="1281"/>
      <c r="M33" s="1377">
        <f t="shared" si="26"/>
        <v>11765000</v>
      </c>
      <c r="N33" s="1377">
        <f t="shared" si="26"/>
        <v>7665727</v>
      </c>
      <c r="O33" s="3850"/>
    </row>
    <row r="34" spans="1:15" s="290" customFormat="1" ht="12.75" customHeight="1">
      <c r="A34" s="3846"/>
      <c r="B34" s="446" t="s">
        <v>23</v>
      </c>
      <c r="C34" s="3895" t="s">
        <v>365</v>
      </c>
      <c r="D34" s="414">
        <f>D35</f>
        <v>11765000</v>
      </c>
      <c r="E34" s="414">
        <f t="shared" ref="E34:I34" si="27">E35</f>
        <v>0</v>
      </c>
      <c r="F34" s="1266">
        <f t="shared" si="27"/>
        <v>4099273</v>
      </c>
      <c r="G34" s="1266">
        <f t="shared" si="27"/>
        <v>6449841</v>
      </c>
      <c r="H34" s="1266">
        <f t="shared" si="27"/>
        <v>1215886</v>
      </c>
      <c r="I34" s="1266">
        <f t="shared" si="27"/>
        <v>0</v>
      </c>
      <c r="J34" s="1266"/>
      <c r="K34" s="1266"/>
      <c r="L34" s="1266"/>
      <c r="M34" s="1238">
        <f>+M35</f>
        <v>11765000</v>
      </c>
      <c r="N34" s="1238">
        <f>+N35</f>
        <v>7665727</v>
      </c>
      <c r="O34" s="3850"/>
    </row>
    <row r="35" spans="1:15" s="290" customFormat="1" ht="12.75" customHeight="1">
      <c r="A35" s="3846"/>
      <c r="B35" s="462" t="s">
        <v>113</v>
      </c>
      <c r="C35" s="3896"/>
      <c r="D35" s="1170">
        <f>E35+F35+G35+H35+I35+J35+K35+L35</f>
        <v>11765000</v>
      </c>
      <c r="E35" s="411">
        <v>0</v>
      </c>
      <c r="F35" s="1249">
        <f>4813876-714603</f>
        <v>4099273</v>
      </c>
      <c r="G35" s="1249">
        <f>3451124+714603+3500000-1215886</f>
        <v>6449841</v>
      </c>
      <c r="H35" s="1249">
        <v>1215886</v>
      </c>
      <c r="I35" s="1249">
        <v>0</v>
      </c>
      <c r="J35" s="1249"/>
      <c r="K35" s="1249"/>
      <c r="L35" s="1249"/>
      <c r="M35" s="1378">
        <f>SUM(F35:K35)</f>
        <v>11765000</v>
      </c>
      <c r="N35" s="1378">
        <f>SUM(G35:L35)</f>
        <v>7665727</v>
      </c>
      <c r="O35" s="3850"/>
    </row>
    <row r="36" spans="1:15" s="290" customFormat="1" ht="12" hidden="1" customHeight="1">
      <c r="A36" s="3846"/>
      <c r="B36" s="449" t="s">
        <v>18</v>
      </c>
      <c r="C36" s="3896"/>
      <c r="D36" s="450">
        <f>+D37</f>
        <v>0</v>
      </c>
      <c r="E36" s="450"/>
      <c r="F36" s="450"/>
      <c r="G36" s="450"/>
      <c r="H36" s="450"/>
      <c r="I36" s="450"/>
      <c r="J36" s="450"/>
      <c r="K36" s="450"/>
      <c r="L36" s="450"/>
      <c r="M36" s="2903" t="s">
        <v>53</v>
      </c>
      <c r="N36" s="2903" t="s">
        <v>53</v>
      </c>
      <c r="O36" s="3850"/>
    </row>
    <row r="37" spans="1:15" s="290" customFormat="1" ht="12" hidden="1" customHeight="1">
      <c r="A37" s="3846"/>
      <c r="B37" s="3007" t="s">
        <v>34</v>
      </c>
      <c r="C37" s="3896"/>
      <c r="D37" s="1170">
        <f>E37+F37+G37+H37+I37+J37+K37+L37</f>
        <v>0</v>
      </c>
      <c r="E37" s="411"/>
      <c r="F37" s="1249"/>
      <c r="G37" s="1249"/>
      <c r="H37" s="1249"/>
      <c r="I37" s="1249"/>
      <c r="J37" s="1249"/>
      <c r="K37" s="1249"/>
      <c r="L37" s="1249"/>
      <c r="M37" s="2904" t="s">
        <v>53</v>
      </c>
      <c r="N37" s="2904" t="s">
        <v>53</v>
      </c>
      <c r="O37" s="3850"/>
    </row>
    <row r="38" spans="1:15" s="290" customFormat="1" ht="12.75" customHeight="1">
      <c r="A38" s="3846"/>
      <c r="B38" s="1187" t="s">
        <v>21</v>
      </c>
      <c r="C38" s="3896"/>
      <c r="D38" s="1191">
        <f>D39</f>
        <v>3926474</v>
      </c>
      <c r="E38" s="1191"/>
      <c r="F38" s="1192">
        <f t="shared" ref="F38:H39" si="28">F39</f>
        <v>272966</v>
      </c>
      <c r="G38" s="1192">
        <f t="shared" si="28"/>
        <v>3635501</v>
      </c>
      <c r="H38" s="1192">
        <f t="shared" si="28"/>
        <v>18007</v>
      </c>
      <c r="I38" s="1192"/>
      <c r="J38" s="1192"/>
      <c r="K38" s="1192"/>
      <c r="L38" s="1192"/>
      <c r="M38" s="3884"/>
      <c r="N38" s="3884"/>
      <c r="O38" s="3850"/>
    </row>
    <row r="39" spans="1:15" s="290" customFormat="1" ht="12.75">
      <c r="A39" s="3846"/>
      <c r="B39" s="1915" t="s">
        <v>23</v>
      </c>
      <c r="C39" s="3896"/>
      <c r="D39" s="414">
        <f>+D40</f>
        <v>3926474</v>
      </c>
      <c r="E39" s="414"/>
      <c r="F39" s="2905">
        <f t="shared" si="28"/>
        <v>272966</v>
      </c>
      <c r="G39" s="1266">
        <f t="shared" si="28"/>
        <v>3635501</v>
      </c>
      <c r="H39" s="1266">
        <f t="shared" si="28"/>
        <v>18007</v>
      </c>
      <c r="I39" s="2749"/>
      <c r="J39" s="2749"/>
      <c r="K39" s="2749"/>
      <c r="L39" s="2749"/>
      <c r="M39" s="3885"/>
      <c r="N39" s="3885"/>
      <c r="O39" s="3850"/>
    </row>
    <row r="40" spans="1:15" s="290" customFormat="1" ht="12.75">
      <c r="A40" s="3846"/>
      <c r="B40" s="1916" t="s">
        <v>759</v>
      </c>
      <c r="C40" s="3896"/>
      <c r="D40" s="235">
        <f>E40+F40+G40+H40+I40+J40+K40+L40</f>
        <v>3926474</v>
      </c>
      <c r="E40" s="1249">
        <v>0</v>
      </c>
      <c r="F40" s="2751">
        <f>F41+F42</f>
        <v>272966</v>
      </c>
      <c r="G40" s="2751">
        <f t="shared" ref="G40:H40" si="29">G41+G42</f>
        <v>3635501</v>
      </c>
      <c r="H40" s="2751">
        <f t="shared" si="29"/>
        <v>18007</v>
      </c>
      <c r="I40" s="2749"/>
      <c r="J40" s="2749"/>
      <c r="K40" s="2749"/>
      <c r="L40" s="2749"/>
      <c r="M40" s="3886"/>
      <c r="N40" s="3886"/>
      <c r="O40" s="3894"/>
    </row>
    <row r="41" spans="1:15" s="290" customFormat="1" ht="12.75">
      <c r="A41" s="3846"/>
      <c r="B41" s="3008" t="s">
        <v>757</v>
      </c>
      <c r="C41" s="3896"/>
      <c r="D41" s="2906">
        <f t="shared" ref="D41:D42" si="30">E41+F41+G41+H41+I41+J41+K41+L41</f>
        <v>219752</v>
      </c>
      <c r="E41" s="2907">
        <v>0</v>
      </c>
      <c r="F41" s="2908">
        <v>106202</v>
      </c>
      <c r="G41" s="2907">
        <f>113550-18007</f>
        <v>95543</v>
      </c>
      <c r="H41" s="2907">
        <v>18007</v>
      </c>
      <c r="I41" s="2749"/>
      <c r="J41" s="2749"/>
      <c r="K41" s="2749"/>
      <c r="L41" s="2749"/>
      <c r="M41" s="2902"/>
      <c r="N41" s="2902"/>
      <c r="O41" s="3009"/>
    </row>
    <row r="42" spans="1:15" s="290" customFormat="1" ht="13.5" thickBot="1">
      <c r="A42" s="3847"/>
      <c r="B42" s="3008" t="s">
        <v>758</v>
      </c>
      <c r="C42" s="3897"/>
      <c r="D42" s="2906">
        <f t="shared" si="30"/>
        <v>3706722</v>
      </c>
      <c r="E42" s="2909">
        <v>0</v>
      </c>
      <c r="F42" s="2910">
        <v>166764</v>
      </c>
      <c r="G42" s="2790">
        <v>3539958</v>
      </c>
      <c r="H42" s="2790">
        <v>0</v>
      </c>
      <c r="I42" s="3010"/>
      <c r="J42" s="3010"/>
      <c r="K42" s="3010"/>
      <c r="L42" s="3010"/>
      <c r="M42" s="2902"/>
      <c r="N42" s="2902"/>
      <c r="O42" s="3009"/>
    </row>
    <row r="43" spans="1:15" s="290" customFormat="1" ht="26.25" customHeight="1">
      <c r="A43" s="3845" t="s">
        <v>57</v>
      </c>
      <c r="B43" s="452" t="s">
        <v>536</v>
      </c>
      <c r="C43" s="2649" t="s">
        <v>74</v>
      </c>
      <c r="D43" s="2650"/>
      <c r="E43" s="350"/>
      <c r="F43" s="350"/>
      <c r="G43" s="350"/>
      <c r="H43" s="350"/>
      <c r="I43" s="350"/>
      <c r="J43" s="350"/>
      <c r="K43" s="350"/>
      <c r="L43" s="1201"/>
      <c r="M43" s="461"/>
      <c r="N43" s="461"/>
      <c r="O43" s="3849" t="s">
        <v>537</v>
      </c>
    </row>
    <row r="44" spans="1:15" s="290" customFormat="1" ht="11.25" customHeight="1">
      <c r="A44" s="3846"/>
      <c r="B44" s="1917" t="s">
        <v>10</v>
      </c>
      <c r="C44" s="1918"/>
      <c r="D44" s="1919">
        <f>+D45+D48</f>
        <v>86880466</v>
      </c>
      <c r="E44" s="1919">
        <f t="shared" ref="E44" si="31">+E45+E48</f>
        <v>353841</v>
      </c>
      <c r="F44" s="1919">
        <f t="shared" ref="F44:G44" si="32">+F45+F48</f>
        <v>917164</v>
      </c>
      <c r="G44" s="1919">
        <f t="shared" si="32"/>
        <v>7106931</v>
      </c>
      <c r="H44" s="1919">
        <f>+H45+H48</f>
        <v>37270905</v>
      </c>
      <c r="I44" s="1919">
        <f>+I45+I48</f>
        <v>17600000</v>
      </c>
      <c r="J44" s="1919">
        <f t="shared" ref="J44:K44" si="33">+J45+J48</f>
        <v>12066880</v>
      </c>
      <c r="K44" s="1919">
        <f t="shared" si="33"/>
        <v>11564745</v>
      </c>
      <c r="L44" s="1919"/>
      <c r="M44" s="1920">
        <f>+M45</f>
        <v>26326625</v>
      </c>
      <c r="N44" s="1920">
        <f>+N45</f>
        <v>25409461</v>
      </c>
      <c r="O44" s="3850"/>
    </row>
    <row r="45" spans="1:15" s="290" customFormat="1" ht="12" customHeight="1">
      <c r="A45" s="3846"/>
      <c r="B45" s="1921" t="s">
        <v>23</v>
      </c>
      <c r="C45" s="3887" t="s">
        <v>604</v>
      </c>
      <c r="D45" s="1922">
        <f>D47+D46</f>
        <v>26680466</v>
      </c>
      <c r="E45" s="1922">
        <f t="shared" ref="E45" si="34">E47+E46</f>
        <v>353841</v>
      </c>
      <c r="F45" s="1922">
        <f t="shared" ref="F45:K45" si="35">F47+F46</f>
        <v>917164</v>
      </c>
      <c r="G45" s="1922">
        <f t="shared" si="35"/>
        <v>5106931</v>
      </c>
      <c r="H45" s="1922">
        <f t="shared" si="35"/>
        <v>9605905</v>
      </c>
      <c r="I45" s="1922">
        <f t="shared" si="35"/>
        <v>5657500</v>
      </c>
      <c r="J45" s="1922">
        <f t="shared" si="35"/>
        <v>3566880</v>
      </c>
      <c r="K45" s="1922">
        <f t="shared" si="35"/>
        <v>1472245</v>
      </c>
      <c r="L45" s="1922"/>
      <c r="M45" s="1923">
        <f>+M47</f>
        <v>26326625</v>
      </c>
      <c r="N45" s="1923">
        <f>+N47</f>
        <v>25409461</v>
      </c>
      <c r="O45" s="3850"/>
    </row>
    <row r="46" spans="1:15" s="290" customFormat="1" ht="12" hidden="1" customHeight="1">
      <c r="A46" s="3846"/>
      <c r="B46" s="1924" t="s">
        <v>31</v>
      </c>
      <c r="C46" s="3888"/>
      <c r="D46" s="773">
        <f>E46+F46+G46+H46+I46+J46+K46+L46</f>
        <v>0</v>
      </c>
      <c r="E46" s="1925"/>
      <c r="F46" s="1926">
        <v>0</v>
      </c>
      <c r="G46" s="1926">
        <v>0</v>
      </c>
      <c r="H46" s="1926">
        <v>0</v>
      </c>
      <c r="I46" s="1926">
        <v>0</v>
      </c>
      <c r="J46" s="1927"/>
      <c r="K46" s="1927"/>
      <c r="L46" s="1927"/>
      <c r="M46" s="454" t="s">
        <v>53</v>
      </c>
      <c r="N46" s="454" t="s">
        <v>53</v>
      </c>
      <c r="O46" s="3850"/>
    </row>
    <row r="47" spans="1:15" s="290" customFormat="1" ht="12">
      <c r="A47" s="3846"/>
      <c r="B47" s="1928" t="s">
        <v>113</v>
      </c>
      <c r="C47" s="3888"/>
      <c r="D47" s="773">
        <f>E47+F47+G47+H47+I47+J47+K47+L47</f>
        <v>26680466</v>
      </c>
      <c r="E47" s="1925">
        <v>353841</v>
      </c>
      <c r="F47" s="1929">
        <f>3000000-2076931-5905</f>
        <v>917164</v>
      </c>
      <c r="G47" s="1929">
        <f>3030000+2076931</f>
        <v>5106931</v>
      </c>
      <c r="H47" s="1929">
        <f>9600000+5905</f>
        <v>9605905</v>
      </c>
      <c r="I47" s="1929">
        <v>5657500</v>
      </c>
      <c r="J47" s="1929">
        <v>3566880</v>
      </c>
      <c r="K47" s="1929">
        <f>1467579+4666</f>
        <v>1472245</v>
      </c>
      <c r="L47" s="1929"/>
      <c r="M47" s="1930">
        <f>SUM(F47:L47)</f>
        <v>26326625</v>
      </c>
      <c r="N47" s="1930">
        <f>SUM(G47:L47)</f>
        <v>25409461</v>
      </c>
      <c r="O47" s="3850"/>
    </row>
    <row r="48" spans="1:15" s="339" customFormat="1" ht="12">
      <c r="A48" s="3846"/>
      <c r="B48" s="1931" t="s">
        <v>18</v>
      </c>
      <c r="C48" s="3888"/>
      <c r="D48" s="1932">
        <f>+D49</f>
        <v>60200000</v>
      </c>
      <c r="E48" s="1932">
        <f t="shared" ref="E48:N48" si="36">+E49</f>
        <v>0</v>
      </c>
      <c r="F48" s="1932">
        <f t="shared" si="36"/>
        <v>0</v>
      </c>
      <c r="G48" s="1932">
        <f t="shared" si="36"/>
        <v>2000000</v>
      </c>
      <c r="H48" s="1932">
        <f t="shared" si="36"/>
        <v>27665000</v>
      </c>
      <c r="I48" s="1932">
        <f t="shared" si="36"/>
        <v>11942500</v>
      </c>
      <c r="J48" s="1932">
        <f t="shared" si="36"/>
        <v>8500000</v>
      </c>
      <c r="K48" s="1932">
        <f t="shared" si="36"/>
        <v>10092500</v>
      </c>
      <c r="L48" s="1933"/>
      <c r="M48" s="1934" t="str">
        <f t="shared" si="36"/>
        <v>x</v>
      </c>
      <c r="N48" s="1934" t="str">
        <f t="shared" si="36"/>
        <v>x</v>
      </c>
      <c r="O48" s="3850"/>
    </row>
    <row r="49" spans="1:77" s="339" customFormat="1" ht="12">
      <c r="A49" s="3846"/>
      <c r="B49" s="1928" t="s">
        <v>34</v>
      </c>
      <c r="C49" s="3889"/>
      <c r="D49" s="773">
        <f>E49+F49+G49+H49+I49+J49+K49+L49</f>
        <v>60200000</v>
      </c>
      <c r="E49" s="1925">
        <v>0</v>
      </c>
      <c r="F49" s="1198">
        <v>0</v>
      </c>
      <c r="G49" s="1198">
        <f>9265000-7265000</f>
        <v>2000000</v>
      </c>
      <c r="H49" s="1198">
        <f>20400000+7265000</f>
        <v>27665000</v>
      </c>
      <c r="I49" s="1198">
        <v>11942500</v>
      </c>
      <c r="J49" s="1935">
        <v>8500000</v>
      </c>
      <c r="K49" s="1935">
        <v>10092500</v>
      </c>
      <c r="L49" s="1935"/>
      <c r="M49" s="1936" t="s">
        <v>53</v>
      </c>
      <c r="N49" s="1936" t="s">
        <v>53</v>
      </c>
      <c r="O49" s="3850"/>
    </row>
    <row r="50" spans="1:77" s="455" customFormat="1" ht="12">
      <c r="A50" s="3846"/>
      <c r="B50" s="1917" t="s">
        <v>21</v>
      </c>
      <c r="C50" s="1937"/>
      <c r="D50" s="1938">
        <f>D53+D51</f>
        <v>76000729</v>
      </c>
      <c r="E50" s="1938">
        <f t="shared" ref="E50" si="37">E53+E51</f>
        <v>0</v>
      </c>
      <c r="F50" s="1938">
        <f t="shared" ref="F50:G50" si="38">F53+F51</f>
        <v>97440</v>
      </c>
      <c r="G50" s="1938">
        <f t="shared" si="38"/>
        <v>2481236</v>
      </c>
      <c r="H50" s="1938">
        <f>H53+H51</f>
        <v>35236324</v>
      </c>
      <c r="I50" s="1938">
        <f>I53+I51</f>
        <v>15942500</v>
      </c>
      <c r="J50" s="1938">
        <f t="shared" ref="J50:K50" si="39">J53+J51</f>
        <v>10500000</v>
      </c>
      <c r="K50" s="1938">
        <f t="shared" si="39"/>
        <v>11743229</v>
      </c>
      <c r="L50" s="1938"/>
      <c r="M50" s="3854" t="s">
        <v>53</v>
      </c>
      <c r="N50" s="3854" t="s">
        <v>53</v>
      </c>
      <c r="O50" s="3850"/>
    </row>
    <row r="51" spans="1:77" s="455" customFormat="1" ht="12">
      <c r="A51" s="3846"/>
      <c r="B51" s="1939" t="s">
        <v>23</v>
      </c>
      <c r="C51" s="3887" t="s">
        <v>605</v>
      </c>
      <c r="D51" s="1197">
        <f>+D52</f>
        <v>15800729</v>
      </c>
      <c r="E51" s="1197">
        <f t="shared" ref="E51:K51" si="40">+E52</f>
        <v>0</v>
      </c>
      <c r="F51" s="1197">
        <f t="shared" si="40"/>
        <v>97440</v>
      </c>
      <c r="G51" s="1197">
        <f t="shared" si="40"/>
        <v>481236</v>
      </c>
      <c r="H51" s="1197">
        <f t="shared" si="40"/>
        <v>7571324</v>
      </c>
      <c r="I51" s="1197">
        <f t="shared" si="40"/>
        <v>4000000</v>
      </c>
      <c r="J51" s="1197">
        <f t="shared" si="40"/>
        <v>2000000</v>
      </c>
      <c r="K51" s="1197">
        <f t="shared" si="40"/>
        <v>1650729</v>
      </c>
      <c r="L51" s="1197"/>
      <c r="M51" s="3855"/>
      <c r="N51" s="3855"/>
      <c r="O51" s="3850"/>
    </row>
    <row r="52" spans="1:77" s="455" customFormat="1" ht="12.75" customHeight="1">
      <c r="A52" s="3846"/>
      <c r="B52" s="1928" t="s">
        <v>138</v>
      </c>
      <c r="C52" s="3888"/>
      <c r="D52" s="773">
        <f>E52+F52+G52+H52+I52+J52+K52+L52</f>
        <v>15800729</v>
      </c>
      <c r="E52" s="1925">
        <v>0</v>
      </c>
      <c r="F52" s="1929">
        <f>350000-252560</f>
        <v>97440</v>
      </c>
      <c r="G52" s="1929">
        <f>1800000+252560-1571324</f>
        <v>481236</v>
      </c>
      <c r="H52" s="1929">
        <f>6000000+1571324</f>
        <v>7571324</v>
      </c>
      <c r="I52" s="1929">
        <v>4000000</v>
      </c>
      <c r="J52" s="1929">
        <v>2000000</v>
      </c>
      <c r="K52" s="1929">
        <v>1650729</v>
      </c>
      <c r="L52" s="1929"/>
      <c r="M52" s="3855"/>
      <c r="N52" s="3855"/>
      <c r="O52" s="3850"/>
      <c r="Q52" s="456">
        <v>10989251</v>
      </c>
    </row>
    <row r="53" spans="1:77" s="339" customFormat="1" ht="13.5" customHeight="1">
      <c r="A53" s="3846"/>
      <c r="B53" s="1931" t="s">
        <v>18</v>
      </c>
      <c r="C53" s="3888"/>
      <c r="D53" s="1932">
        <f>+D54</f>
        <v>60200000</v>
      </c>
      <c r="E53" s="1932">
        <f t="shared" ref="E53:K53" si="41">+E54</f>
        <v>0</v>
      </c>
      <c r="F53" s="1932">
        <f t="shared" si="41"/>
        <v>0</v>
      </c>
      <c r="G53" s="1932">
        <f t="shared" si="41"/>
        <v>2000000</v>
      </c>
      <c r="H53" s="1932">
        <f t="shared" si="41"/>
        <v>27665000</v>
      </c>
      <c r="I53" s="1932">
        <f t="shared" si="41"/>
        <v>11942500</v>
      </c>
      <c r="J53" s="1932">
        <f t="shared" si="41"/>
        <v>8500000</v>
      </c>
      <c r="K53" s="1932">
        <f t="shared" si="41"/>
        <v>10092500</v>
      </c>
      <c r="L53" s="1932"/>
      <c r="M53" s="3855"/>
      <c r="N53" s="3855"/>
      <c r="O53" s="3850"/>
    </row>
    <row r="54" spans="1:77" s="339" customFormat="1" ht="13.5" customHeight="1" thickBot="1">
      <c r="A54" s="3847"/>
      <c r="B54" s="1860" t="s">
        <v>34</v>
      </c>
      <c r="C54" s="3890"/>
      <c r="D54" s="1666">
        <f>E54+F54+G54+H54+I54+J54+K54+L54</f>
        <v>60200000</v>
      </c>
      <c r="E54" s="448">
        <v>0</v>
      </c>
      <c r="F54" s="457">
        <v>0</v>
      </c>
      <c r="G54" s="457">
        <f>9265000-7265000</f>
        <v>2000000</v>
      </c>
      <c r="H54" s="457">
        <f>20400000+7265000</f>
        <v>27665000</v>
      </c>
      <c r="I54" s="457">
        <v>11942500</v>
      </c>
      <c r="J54" s="457">
        <v>8500000</v>
      </c>
      <c r="K54" s="457">
        <v>10092500</v>
      </c>
      <c r="L54" s="457"/>
      <c r="M54" s="3856"/>
      <c r="N54" s="3856"/>
      <c r="O54" s="3851"/>
    </row>
    <row r="55" spans="1:77" s="290" customFormat="1" ht="27" customHeight="1">
      <c r="A55" s="3845" t="s">
        <v>58</v>
      </c>
      <c r="B55" s="452" t="s">
        <v>581</v>
      </c>
      <c r="C55" s="2649" t="s">
        <v>74</v>
      </c>
      <c r="D55" s="2652"/>
      <c r="E55" s="350"/>
      <c r="F55" s="350"/>
      <c r="G55" s="350"/>
      <c r="H55" s="350"/>
      <c r="I55" s="350"/>
      <c r="J55" s="350"/>
      <c r="K55" s="350"/>
      <c r="L55" s="1201"/>
      <c r="M55" s="1940"/>
      <c r="N55" s="1940"/>
      <c r="O55" s="3849" t="s">
        <v>737</v>
      </c>
      <c r="BY55" s="451"/>
    </row>
    <row r="56" spans="1:77" s="290" customFormat="1" ht="14.25" customHeight="1">
      <c r="A56" s="3846"/>
      <c r="B56" s="417" t="s">
        <v>10</v>
      </c>
      <c r="C56" s="453"/>
      <c r="D56" s="442">
        <f>D57+D60</f>
        <v>105070947</v>
      </c>
      <c r="E56" s="442">
        <v>0</v>
      </c>
      <c r="F56" s="442">
        <f t="shared" ref="F56:J56" si="42">+F57+F60</f>
        <v>0</v>
      </c>
      <c r="G56" s="442">
        <f t="shared" si="42"/>
        <v>720400</v>
      </c>
      <c r="H56" s="442">
        <f t="shared" si="42"/>
        <v>41610400</v>
      </c>
      <c r="I56" s="442">
        <f t="shared" si="42"/>
        <v>41610400</v>
      </c>
      <c r="J56" s="442">
        <f t="shared" si="42"/>
        <v>21129747</v>
      </c>
      <c r="K56" s="442"/>
      <c r="L56" s="442"/>
      <c r="M56" s="445">
        <f>+M57</f>
        <v>42330800</v>
      </c>
      <c r="N56" s="445">
        <f>+N57</f>
        <v>63400947</v>
      </c>
      <c r="O56" s="3850"/>
    </row>
    <row r="57" spans="1:77" s="290" customFormat="1" ht="14.25" customHeight="1">
      <c r="A57" s="3846"/>
      <c r="B57" s="1915" t="s">
        <v>23</v>
      </c>
      <c r="C57" s="3580" t="s">
        <v>153</v>
      </c>
      <c r="D57" s="414">
        <f>D58+D59</f>
        <v>63400947</v>
      </c>
      <c r="E57" s="414">
        <v>0</v>
      </c>
      <c r="F57" s="414">
        <f t="shared" ref="F57:G57" si="43">F58+F59</f>
        <v>0</v>
      </c>
      <c r="G57" s="414">
        <f t="shared" si="43"/>
        <v>720400</v>
      </c>
      <c r="H57" s="414">
        <f>H58+H59</f>
        <v>41610400</v>
      </c>
      <c r="I57" s="414">
        <f>I58+I59</f>
        <v>7780807</v>
      </c>
      <c r="J57" s="414">
        <f>J58+J59</f>
        <v>13289340</v>
      </c>
      <c r="K57" s="414"/>
      <c r="L57" s="414"/>
      <c r="M57" s="447">
        <f>+M58</f>
        <v>42330800</v>
      </c>
      <c r="N57" s="447">
        <f>+N58</f>
        <v>63400947</v>
      </c>
      <c r="O57" s="3850"/>
    </row>
    <row r="58" spans="1:77" s="290" customFormat="1" ht="14.25" customHeight="1">
      <c r="A58" s="3846"/>
      <c r="B58" s="1916" t="s">
        <v>113</v>
      </c>
      <c r="C58" s="3868"/>
      <c r="D58" s="413">
        <f>E58+F58+G58+H58+I58+J58+K58+L58</f>
        <v>63400947</v>
      </c>
      <c r="E58" s="411"/>
      <c r="F58" s="411">
        <v>0</v>
      </c>
      <c r="G58" s="411">
        <v>720400</v>
      </c>
      <c r="H58" s="411">
        <v>41610400</v>
      </c>
      <c r="I58" s="411">
        <v>7780807</v>
      </c>
      <c r="J58" s="411">
        <v>13289340</v>
      </c>
      <c r="K58" s="411"/>
      <c r="L58" s="411"/>
      <c r="M58" s="441">
        <f>SUM(E58:H58)</f>
        <v>42330800</v>
      </c>
      <c r="N58" s="1930">
        <f>SUM(G58:L58)</f>
        <v>63400947</v>
      </c>
      <c r="O58" s="3850"/>
    </row>
    <row r="59" spans="1:77" s="290" customFormat="1" ht="14.25" hidden="1" customHeight="1">
      <c r="A59" s="3846"/>
      <c r="B59" s="1941" t="s">
        <v>31</v>
      </c>
      <c r="C59" s="3852" t="s">
        <v>22</v>
      </c>
      <c r="D59" s="413">
        <f>E59+F59+G59+H59+I59+J59+K59+L59</f>
        <v>0</v>
      </c>
      <c r="E59" s="411"/>
      <c r="F59" s="1942"/>
      <c r="G59" s="1942">
        <v>0</v>
      </c>
      <c r="H59" s="1942">
        <v>0</v>
      </c>
      <c r="I59" s="1942">
        <v>0</v>
      </c>
      <c r="J59" s="1942"/>
      <c r="K59" s="1942"/>
      <c r="L59" s="1942"/>
      <c r="M59" s="1943" t="s">
        <v>53</v>
      </c>
      <c r="N59" s="1943" t="s">
        <v>53</v>
      </c>
      <c r="O59" s="3850"/>
    </row>
    <row r="60" spans="1:77" s="290" customFormat="1" ht="14.25" customHeight="1">
      <c r="A60" s="3846"/>
      <c r="B60" s="1944" t="s">
        <v>18</v>
      </c>
      <c r="C60" s="3864"/>
      <c r="D60" s="450">
        <f>D61</f>
        <v>41670000</v>
      </c>
      <c r="E60" s="450">
        <v>0</v>
      </c>
      <c r="F60" s="450">
        <f t="shared" ref="F60:N60" si="44">+F61</f>
        <v>0</v>
      </c>
      <c r="G60" s="450">
        <f t="shared" si="44"/>
        <v>0</v>
      </c>
      <c r="H60" s="450">
        <f t="shared" si="44"/>
        <v>0</v>
      </c>
      <c r="I60" s="450">
        <f t="shared" si="44"/>
        <v>33829593</v>
      </c>
      <c r="J60" s="450">
        <f t="shared" si="44"/>
        <v>7840407</v>
      </c>
      <c r="K60" s="450"/>
      <c r="L60" s="450"/>
      <c r="M60" s="454" t="str">
        <f t="shared" si="44"/>
        <v>x</v>
      </c>
      <c r="N60" s="454" t="str">
        <f t="shared" si="44"/>
        <v>x</v>
      </c>
      <c r="O60" s="3850"/>
    </row>
    <row r="61" spans="1:77" s="290" customFormat="1" ht="14.25" customHeight="1">
      <c r="A61" s="3846"/>
      <c r="B61" s="1941" t="s">
        <v>34</v>
      </c>
      <c r="C61" s="3853"/>
      <c r="D61" s="413">
        <f>E61+F61+G61+H61+I61+J61+K61+L61</f>
        <v>41670000</v>
      </c>
      <c r="E61" s="411"/>
      <c r="F61" s="411">
        <v>0</v>
      </c>
      <c r="G61" s="411">
        <v>0</v>
      </c>
      <c r="H61" s="411">
        <v>0</v>
      </c>
      <c r="I61" s="411">
        <v>33829593</v>
      </c>
      <c r="J61" s="411">
        <v>7840407</v>
      </c>
      <c r="K61" s="411"/>
      <c r="L61" s="411"/>
      <c r="M61" s="458" t="s">
        <v>53</v>
      </c>
      <c r="N61" s="458" t="s">
        <v>53</v>
      </c>
      <c r="O61" s="3850"/>
    </row>
    <row r="62" spans="1:77" s="451" customFormat="1" ht="14.25" customHeight="1">
      <c r="A62" s="3846"/>
      <c r="B62" s="417" t="s">
        <v>21</v>
      </c>
      <c r="C62" s="453"/>
      <c r="D62" s="442">
        <f>D63+D65</f>
        <v>59942652</v>
      </c>
      <c r="E62" s="442">
        <v>0</v>
      </c>
      <c r="F62" s="442">
        <f>F65+F63</f>
        <v>0</v>
      </c>
      <c r="G62" s="442">
        <f>G65+G63</f>
        <v>125279</v>
      </c>
      <c r="H62" s="442">
        <f>H65+H63</f>
        <v>7236150</v>
      </c>
      <c r="I62" s="442">
        <f>I65+I63</f>
        <v>41065743</v>
      </c>
      <c r="J62" s="442">
        <f>J65+J63</f>
        <v>11515480</v>
      </c>
      <c r="K62" s="442"/>
      <c r="L62" s="442"/>
      <c r="M62" s="3865" t="s">
        <v>53</v>
      </c>
      <c r="N62" s="3865" t="s">
        <v>53</v>
      </c>
      <c r="O62" s="3850"/>
    </row>
    <row r="63" spans="1:77" s="451" customFormat="1" ht="14.25" customHeight="1">
      <c r="A63" s="3846"/>
      <c r="B63" s="1915" t="s">
        <v>23</v>
      </c>
      <c r="C63" s="3841" t="s">
        <v>153</v>
      </c>
      <c r="D63" s="459">
        <f>D64</f>
        <v>18272652</v>
      </c>
      <c r="E63" s="459">
        <v>0</v>
      </c>
      <c r="F63" s="459">
        <f t="shared" ref="F63:J63" si="45">+F64</f>
        <v>0</v>
      </c>
      <c r="G63" s="459">
        <f t="shared" si="45"/>
        <v>125279</v>
      </c>
      <c r="H63" s="459">
        <f t="shared" si="45"/>
        <v>7236150</v>
      </c>
      <c r="I63" s="459">
        <f t="shared" si="45"/>
        <v>7236150</v>
      </c>
      <c r="J63" s="459">
        <f t="shared" si="45"/>
        <v>3675073</v>
      </c>
      <c r="K63" s="459"/>
      <c r="L63" s="459"/>
      <c r="M63" s="3866"/>
      <c r="N63" s="3866"/>
      <c r="O63" s="3850"/>
    </row>
    <row r="64" spans="1:77" s="451" customFormat="1" ht="14.25" customHeight="1">
      <c r="A64" s="3846"/>
      <c r="B64" s="1941" t="s">
        <v>138</v>
      </c>
      <c r="C64" s="3842"/>
      <c r="D64" s="413">
        <f>E64+F64+G64+H64+I64+J64+K64+L64</f>
        <v>18272652</v>
      </c>
      <c r="E64" s="411"/>
      <c r="F64" s="411">
        <v>0</v>
      </c>
      <c r="G64" s="411">
        <v>125279</v>
      </c>
      <c r="H64" s="411">
        <v>7236150</v>
      </c>
      <c r="I64" s="411">
        <v>7236150</v>
      </c>
      <c r="J64" s="411">
        <v>3675073</v>
      </c>
      <c r="K64" s="411"/>
      <c r="L64" s="411"/>
      <c r="M64" s="3866"/>
      <c r="N64" s="3866"/>
      <c r="O64" s="3850"/>
      <c r="Q64" s="460">
        <v>-13525758</v>
      </c>
    </row>
    <row r="65" spans="1:77" s="290" customFormat="1" ht="14.25" customHeight="1">
      <c r="A65" s="3846"/>
      <c r="B65" s="1944" t="s">
        <v>18</v>
      </c>
      <c r="C65" s="3852" t="s">
        <v>22</v>
      </c>
      <c r="D65" s="414">
        <f>D66</f>
        <v>41670000</v>
      </c>
      <c r="E65" s="414">
        <v>0</v>
      </c>
      <c r="F65" s="414">
        <f t="shared" ref="F65:J65" si="46">+F66</f>
        <v>0</v>
      </c>
      <c r="G65" s="414">
        <f t="shared" si="46"/>
        <v>0</v>
      </c>
      <c r="H65" s="414">
        <f t="shared" si="46"/>
        <v>0</v>
      </c>
      <c r="I65" s="414">
        <f t="shared" si="46"/>
        <v>33829593</v>
      </c>
      <c r="J65" s="414">
        <f t="shared" si="46"/>
        <v>7840407</v>
      </c>
      <c r="K65" s="414"/>
      <c r="L65" s="414"/>
      <c r="M65" s="3866"/>
      <c r="N65" s="3866"/>
      <c r="O65" s="3850"/>
    </row>
    <row r="66" spans="1:77" s="290" customFormat="1" ht="14.25" customHeight="1" thickBot="1">
      <c r="A66" s="3847"/>
      <c r="B66" s="1860" t="s">
        <v>34</v>
      </c>
      <c r="C66" s="3844"/>
      <c r="D66" s="457">
        <f>E66+F66+G66+H66+I66+J66+K66+L66</f>
        <v>41670000</v>
      </c>
      <c r="E66" s="448"/>
      <c r="F66" s="448">
        <v>0</v>
      </c>
      <c r="G66" s="448">
        <v>0</v>
      </c>
      <c r="H66" s="448">
        <v>0</v>
      </c>
      <c r="I66" s="448">
        <v>33829593</v>
      </c>
      <c r="J66" s="448">
        <v>7840407</v>
      </c>
      <c r="K66" s="448"/>
      <c r="L66" s="448"/>
      <c r="M66" s="3867"/>
      <c r="N66" s="3867"/>
      <c r="O66" s="3851"/>
    </row>
    <row r="67" spans="1:77" s="290" customFormat="1" ht="27.75" customHeight="1">
      <c r="A67" s="3845" t="s">
        <v>59</v>
      </c>
      <c r="B67" s="452" t="s">
        <v>766</v>
      </c>
      <c r="C67" s="2649" t="s">
        <v>101</v>
      </c>
      <c r="D67" s="2652"/>
      <c r="E67" s="350"/>
      <c r="F67" s="350"/>
      <c r="G67" s="350"/>
      <c r="H67" s="350"/>
      <c r="I67" s="350"/>
      <c r="J67" s="350"/>
      <c r="K67" s="350"/>
      <c r="L67" s="1201"/>
      <c r="M67" s="461"/>
      <c r="N67" s="461"/>
      <c r="O67" s="3849" t="s">
        <v>152</v>
      </c>
      <c r="BY67" s="451"/>
    </row>
    <row r="68" spans="1:77" s="290" customFormat="1" ht="13.5" customHeight="1">
      <c r="A68" s="3846"/>
      <c r="B68" s="417" t="s">
        <v>10</v>
      </c>
      <c r="C68" s="453"/>
      <c r="D68" s="442">
        <f>D69+D72</f>
        <v>622043</v>
      </c>
      <c r="E68" s="442">
        <v>0</v>
      </c>
      <c r="F68" s="442">
        <f>+F69+F72</f>
        <v>116</v>
      </c>
      <c r="G68" s="442">
        <f>+G69+G72</f>
        <v>196713</v>
      </c>
      <c r="H68" s="442">
        <f>+H69+H72</f>
        <v>203401</v>
      </c>
      <c r="I68" s="442">
        <f>+I69+I72</f>
        <v>217007</v>
      </c>
      <c r="J68" s="442">
        <f>+J69+J72</f>
        <v>4806</v>
      </c>
      <c r="K68" s="442"/>
      <c r="L68" s="442"/>
      <c r="M68" s="445">
        <f>+M69</f>
        <v>59919</v>
      </c>
      <c r="N68" s="445">
        <f>+N69</f>
        <v>93191</v>
      </c>
      <c r="O68" s="3850"/>
    </row>
    <row r="69" spans="1:77" s="290" customFormat="1" ht="13.5" customHeight="1">
      <c r="A69" s="3846"/>
      <c r="B69" s="446" t="s">
        <v>23</v>
      </c>
      <c r="C69" s="3841" t="s">
        <v>153</v>
      </c>
      <c r="D69" s="414">
        <f>D70+D71</f>
        <v>93307</v>
      </c>
      <c r="E69" s="414">
        <v>0</v>
      </c>
      <c r="F69" s="414">
        <f t="shared" ref="F69:G69" si="47">+F70+F71</f>
        <v>116</v>
      </c>
      <c r="G69" s="414">
        <f t="shared" si="47"/>
        <v>29409</v>
      </c>
      <c r="H69" s="414">
        <f>+H70+H71</f>
        <v>30510</v>
      </c>
      <c r="I69" s="414">
        <f>+I70+I71</f>
        <v>32551</v>
      </c>
      <c r="J69" s="414">
        <f>+J70+J71</f>
        <v>721</v>
      </c>
      <c r="K69" s="414"/>
      <c r="L69" s="414"/>
      <c r="M69" s="2752">
        <f>+M70</f>
        <v>59919</v>
      </c>
      <c r="N69" s="2752">
        <f>+N70</f>
        <v>93191</v>
      </c>
      <c r="O69" s="3850"/>
    </row>
    <row r="70" spans="1:77" s="290" customFormat="1" ht="13.5" customHeight="1">
      <c r="A70" s="3846"/>
      <c r="B70" s="2753" t="s">
        <v>113</v>
      </c>
      <c r="C70" s="3842"/>
      <c r="D70" s="413">
        <f>F70+G70+H70+I70+J70+K70+L70</f>
        <v>93191</v>
      </c>
      <c r="E70" s="411"/>
      <c r="F70" s="411">
        <v>0</v>
      </c>
      <c r="G70" s="411">
        <v>29409</v>
      </c>
      <c r="H70" s="411">
        <v>30510</v>
      </c>
      <c r="I70" s="411">
        <v>32551</v>
      </c>
      <c r="J70" s="411">
        <v>721</v>
      </c>
      <c r="K70" s="411"/>
      <c r="L70" s="411"/>
      <c r="M70" s="441">
        <f>SUM(E70:H70)</f>
        <v>59919</v>
      </c>
      <c r="N70" s="441">
        <f>SUM(G70:J70)</f>
        <v>93191</v>
      </c>
      <c r="O70" s="3850"/>
    </row>
    <row r="71" spans="1:77" s="290" customFormat="1" ht="13.5" customHeight="1">
      <c r="A71" s="3846"/>
      <c r="B71" s="2754" t="s">
        <v>31</v>
      </c>
      <c r="C71" s="3843" t="s">
        <v>22</v>
      </c>
      <c r="D71" s="413">
        <f>F71+G71+H71+I71+J71+K71+L71</f>
        <v>116</v>
      </c>
      <c r="E71" s="411"/>
      <c r="F71" s="411">
        <v>116</v>
      </c>
      <c r="G71" s="411"/>
      <c r="H71" s="411"/>
      <c r="I71" s="411"/>
      <c r="J71" s="411"/>
      <c r="K71" s="411"/>
      <c r="L71" s="411"/>
      <c r="M71" s="2689" t="s">
        <v>53</v>
      </c>
      <c r="N71" s="2689" t="s">
        <v>53</v>
      </c>
      <c r="O71" s="3850"/>
    </row>
    <row r="72" spans="1:77" s="290" customFormat="1" ht="13.5" customHeight="1">
      <c r="A72" s="3846"/>
      <c r="B72" s="449" t="s">
        <v>18</v>
      </c>
      <c r="C72" s="3864"/>
      <c r="D72" s="459">
        <f>D73</f>
        <v>528736</v>
      </c>
      <c r="E72" s="459">
        <v>0</v>
      </c>
      <c r="F72" s="459">
        <f t="shared" ref="F72:N72" si="48">+F73</f>
        <v>0</v>
      </c>
      <c r="G72" s="459">
        <f t="shared" si="48"/>
        <v>167304</v>
      </c>
      <c r="H72" s="459">
        <f t="shared" si="48"/>
        <v>172891</v>
      </c>
      <c r="I72" s="459">
        <f t="shared" si="48"/>
        <v>184456</v>
      </c>
      <c r="J72" s="459">
        <f t="shared" si="48"/>
        <v>4085</v>
      </c>
      <c r="K72" s="2755"/>
      <c r="L72" s="2755"/>
      <c r="M72" s="454" t="str">
        <f t="shared" si="48"/>
        <v>x</v>
      </c>
      <c r="N72" s="454" t="str">
        <f t="shared" si="48"/>
        <v>x</v>
      </c>
      <c r="O72" s="3850"/>
    </row>
    <row r="73" spans="1:77" s="290" customFormat="1" ht="13.5" customHeight="1">
      <c r="A73" s="3846"/>
      <c r="B73" s="2756" t="s">
        <v>34</v>
      </c>
      <c r="C73" s="3853"/>
      <c r="D73" s="413">
        <f>F73+G73+H73+I73+J73+K73+L73</f>
        <v>528736</v>
      </c>
      <c r="E73" s="411"/>
      <c r="F73" s="411">
        <v>0</v>
      </c>
      <c r="G73" s="411">
        <v>167304</v>
      </c>
      <c r="H73" s="411">
        <v>172891</v>
      </c>
      <c r="I73" s="411">
        <v>184456</v>
      </c>
      <c r="J73" s="411">
        <v>4085</v>
      </c>
      <c r="K73" s="411"/>
      <c r="L73" s="411"/>
      <c r="M73" s="458" t="s">
        <v>53</v>
      </c>
      <c r="N73" s="458" t="s">
        <v>53</v>
      </c>
      <c r="O73" s="3850"/>
    </row>
    <row r="74" spans="1:77" s="290" customFormat="1" ht="13.5" customHeight="1">
      <c r="A74" s="3846"/>
      <c r="B74" s="417" t="s">
        <v>21</v>
      </c>
      <c r="C74" s="2757"/>
      <c r="D74" s="442">
        <f>D75+D77</f>
        <v>528736</v>
      </c>
      <c r="E74" s="442">
        <v>0</v>
      </c>
      <c r="F74" s="442">
        <f t="shared" ref="F74:G74" si="49">+F75+F77</f>
        <v>0</v>
      </c>
      <c r="G74" s="442">
        <f t="shared" si="49"/>
        <v>167304</v>
      </c>
      <c r="H74" s="442">
        <f>+H75+H77</f>
        <v>172891</v>
      </c>
      <c r="I74" s="442">
        <f>+I75+I77</f>
        <v>184456</v>
      </c>
      <c r="J74" s="442">
        <f>+J75+J77</f>
        <v>4085</v>
      </c>
      <c r="K74" s="442"/>
      <c r="L74" s="442"/>
      <c r="M74" s="3837" t="s">
        <v>53</v>
      </c>
      <c r="N74" s="3837" t="s">
        <v>53</v>
      </c>
      <c r="O74" s="3850"/>
    </row>
    <row r="75" spans="1:77" s="290" customFormat="1" ht="13.5" hidden="1" customHeight="1">
      <c r="A75" s="3846"/>
      <c r="B75" s="446" t="s">
        <v>23</v>
      </c>
      <c r="C75" s="3841" t="s">
        <v>153</v>
      </c>
      <c r="D75" s="459"/>
      <c r="E75" s="414">
        <v>0</v>
      </c>
      <c r="F75" s="414">
        <f t="shared" ref="F75:J75" si="50">+F76</f>
        <v>0</v>
      </c>
      <c r="G75" s="414">
        <f t="shared" si="50"/>
        <v>0</v>
      </c>
      <c r="H75" s="414">
        <f t="shared" si="50"/>
        <v>0</v>
      </c>
      <c r="I75" s="414">
        <f t="shared" si="50"/>
        <v>0</v>
      </c>
      <c r="J75" s="414">
        <f t="shared" si="50"/>
        <v>0</v>
      </c>
      <c r="K75" s="414"/>
      <c r="L75" s="414"/>
      <c r="M75" s="3654"/>
      <c r="N75" s="3654"/>
      <c r="O75" s="3850"/>
    </row>
    <row r="76" spans="1:77" s="290" customFormat="1" ht="13.5" hidden="1" customHeight="1">
      <c r="A76" s="3846"/>
      <c r="B76" s="2756" t="s">
        <v>130</v>
      </c>
      <c r="C76" s="3842"/>
      <c r="D76" s="413"/>
      <c r="E76" s="411"/>
      <c r="F76" s="411">
        <v>0</v>
      </c>
      <c r="G76" s="411">
        <v>0</v>
      </c>
      <c r="H76" s="411">
        <v>0</v>
      </c>
      <c r="I76" s="411">
        <v>0</v>
      </c>
      <c r="J76" s="411">
        <v>0</v>
      </c>
      <c r="K76" s="411"/>
      <c r="L76" s="411"/>
      <c r="M76" s="3654"/>
      <c r="N76" s="3654"/>
      <c r="O76" s="3850"/>
    </row>
    <row r="77" spans="1:77" s="290" customFormat="1" ht="13.5" customHeight="1">
      <c r="A77" s="3846"/>
      <c r="B77" s="2758" t="s">
        <v>18</v>
      </c>
      <c r="C77" s="3852" t="s">
        <v>22</v>
      </c>
      <c r="D77" s="459">
        <f>D78</f>
        <v>528736</v>
      </c>
      <c r="E77" s="459">
        <v>0</v>
      </c>
      <c r="F77" s="459">
        <f t="shared" ref="F77:J77" si="51">+F78</f>
        <v>0</v>
      </c>
      <c r="G77" s="459">
        <f t="shared" si="51"/>
        <v>167304</v>
      </c>
      <c r="H77" s="459">
        <f t="shared" si="51"/>
        <v>172891</v>
      </c>
      <c r="I77" s="459">
        <f t="shared" si="51"/>
        <v>184456</v>
      </c>
      <c r="J77" s="459">
        <f t="shared" si="51"/>
        <v>4085</v>
      </c>
      <c r="K77" s="459"/>
      <c r="L77" s="459"/>
      <c r="M77" s="3654"/>
      <c r="N77" s="3654"/>
      <c r="O77" s="3850"/>
    </row>
    <row r="78" spans="1:77" s="290" customFormat="1" ht="13.5" customHeight="1" thickBot="1">
      <c r="A78" s="3847"/>
      <c r="B78" s="2759" t="s">
        <v>34</v>
      </c>
      <c r="C78" s="3853"/>
      <c r="D78" s="413">
        <f>F78+G78+H78+I78+J78+K78+L78</f>
        <v>528736</v>
      </c>
      <c r="E78" s="411"/>
      <c r="F78" s="2760">
        <v>0</v>
      </c>
      <c r="G78" s="2760">
        <v>167304</v>
      </c>
      <c r="H78" s="2760">
        <v>172891</v>
      </c>
      <c r="I78" s="2760">
        <v>184456</v>
      </c>
      <c r="J78" s="2760">
        <v>4085</v>
      </c>
      <c r="K78" s="2760"/>
      <c r="L78" s="2760"/>
      <c r="M78" s="3655"/>
      <c r="N78" s="3655"/>
      <c r="O78" s="3851"/>
    </row>
    <row r="79" spans="1:77" s="290" customFormat="1" ht="27.75" customHeight="1">
      <c r="A79" s="3845" t="s">
        <v>107</v>
      </c>
      <c r="B79" s="452" t="s">
        <v>767</v>
      </c>
      <c r="C79" s="2649" t="s">
        <v>74</v>
      </c>
      <c r="D79" s="2652"/>
      <c r="E79" s="350"/>
      <c r="F79" s="350"/>
      <c r="G79" s="350"/>
      <c r="H79" s="350"/>
      <c r="I79" s="350"/>
      <c r="J79" s="350"/>
      <c r="K79" s="350"/>
      <c r="L79" s="1201"/>
      <c r="M79" s="461"/>
      <c r="N79" s="461"/>
      <c r="O79" s="3849" t="s">
        <v>659</v>
      </c>
    </row>
    <row r="80" spans="1:77" s="290" customFormat="1" ht="13.5" customHeight="1">
      <c r="A80" s="3846"/>
      <c r="B80" s="417" t="s">
        <v>10</v>
      </c>
      <c r="C80" s="2757"/>
      <c r="D80" s="442">
        <f>D81+D84</f>
        <v>2392705</v>
      </c>
      <c r="E80" s="442">
        <v>0</v>
      </c>
      <c r="F80" s="442">
        <f>+F81+F84</f>
        <v>0</v>
      </c>
      <c r="G80" s="442">
        <f>+G81+G84</f>
        <v>12887</v>
      </c>
      <c r="H80" s="442">
        <f>+H81+H84</f>
        <v>1348850</v>
      </c>
      <c r="I80" s="442">
        <f>+I81+I84</f>
        <v>1030968</v>
      </c>
      <c r="J80" s="442"/>
      <c r="K80" s="442"/>
      <c r="L80" s="442"/>
      <c r="M80" s="445">
        <f>+M81</f>
        <v>204260</v>
      </c>
      <c r="N80" s="445">
        <f>+N81</f>
        <v>358905</v>
      </c>
      <c r="O80" s="3850"/>
      <c r="Q80" s="174"/>
    </row>
    <row r="81" spans="1:17" s="290" customFormat="1" ht="13.5" customHeight="1">
      <c r="A81" s="3846"/>
      <c r="B81" s="446" t="s">
        <v>23</v>
      </c>
      <c r="C81" s="3839" t="s">
        <v>153</v>
      </c>
      <c r="D81" s="414">
        <f>D82+D83</f>
        <v>358905</v>
      </c>
      <c r="E81" s="414">
        <v>0</v>
      </c>
      <c r="F81" s="414">
        <f>F83+F82</f>
        <v>0</v>
      </c>
      <c r="G81" s="414">
        <f>G83+G82</f>
        <v>1933</v>
      </c>
      <c r="H81" s="414">
        <f>H83+H82</f>
        <v>202327</v>
      </c>
      <c r="I81" s="414">
        <f>I83+I82</f>
        <v>154645</v>
      </c>
      <c r="J81" s="414"/>
      <c r="K81" s="414"/>
      <c r="L81" s="414"/>
      <c r="M81" s="447">
        <f>+M83</f>
        <v>204260</v>
      </c>
      <c r="N81" s="447">
        <f>+N83</f>
        <v>358905</v>
      </c>
      <c r="O81" s="3850"/>
    </row>
    <row r="82" spans="1:17" s="290" customFormat="1" ht="13.5" hidden="1" customHeight="1">
      <c r="A82" s="3846"/>
      <c r="B82" s="2753" t="s">
        <v>31</v>
      </c>
      <c r="C82" s="3840"/>
      <c r="D82" s="413">
        <f>G82+H82+I82+J82+K82+L82</f>
        <v>0</v>
      </c>
      <c r="E82" s="411"/>
      <c r="F82" s="2761">
        <v>0</v>
      </c>
      <c r="G82" s="2761">
        <v>0</v>
      </c>
      <c r="H82" s="2761">
        <v>0</v>
      </c>
      <c r="I82" s="2761">
        <v>0</v>
      </c>
      <c r="J82" s="2761"/>
      <c r="K82" s="2761"/>
      <c r="L82" s="2761"/>
      <c r="M82" s="458" t="s">
        <v>53</v>
      </c>
      <c r="N82" s="458" t="s">
        <v>53</v>
      </c>
      <c r="O82" s="3850"/>
    </row>
    <row r="83" spans="1:17" s="290" customFormat="1" ht="16.5" customHeight="1">
      <c r="A83" s="3846"/>
      <c r="B83" s="462" t="s">
        <v>113</v>
      </c>
      <c r="C83" s="3641"/>
      <c r="D83" s="413">
        <f>G83+H83+I83+J83+K83+L83</f>
        <v>358905</v>
      </c>
      <c r="E83" s="413">
        <v>0</v>
      </c>
      <c r="F83" s="2762">
        <v>0</v>
      </c>
      <c r="G83" s="2762">
        <v>1933</v>
      </c>
      <c r="H83" s="2762">
        <v>202327</v>
      </c>
      <c r="I83" s="2762">
        <v>154645</v>
      </c>
      <c r="J83" s="2762"/>
      <c r="K83" s="2762"/>
      <c r="L83" s="2762"/>
      <c r="M83" s="419">
        <f>SUM(E83:H83)</f>
        <v>204260</v>
      </c>
      <c r="N83" s="419">
        <f>SUM(G83:I83)</f>
        <v>358905</v>
      </c>
      <c r="O83" s="3850"/>
    </row>
    <row r="84" spans="1:17" s="290" customFormat="1" ht="15" customHeight="1">
      <c r="A84" s="3846"/>
      <c r="B84" s="2763" t="s">
        <v>18</v>
      </c>
      <c r="C84" s="3852" t="s">
        <v>22</v>
      </c>
      <c r="D84" s="2764">
        <f>D85</f>
        <v>2033800</v>
      </c>
      <c r="E84" s="2764">
        <v>0</v>
      </c>
      <c r="F84" s="2764">
        <f t="shared" ref="F84:N84" si="52">+F85</f>
        <v>0</v>
      </c>
      <c r="G84" s="2764">
        <f t="shared" si="52"/>
        <v>10954</v>
      </c>
      <c r="H84" s="2764">
        <f t="shared" si="52"/>
        <v>1146523</v>
      </c>
      <c r="I84" s="2764">
        <f t="shared" si="52"/>
        <v>876323</v>
      </c>
      <c r="J84" s="450"/>
      <c r="K84" s="450"/>
      <c r="L84" s="450"/>
      <c r="M84" s="454" t="str">
        <f t="shared" si="52"/>
        <v>x</v>
      </c>
      <c r="N84" s="454" t="str">
        <f t="shared" si="52"/>
        <v>x</v>
      </c>
      <c r="O84" s="3850"/>
    </row>
    <row r="85" spans="1:17" s="290" customFormat="1" ht="14.25" customHeight="1">
      <c r="A85" s="3846"/>
      <c r="B85" s="2765" t="s">
        <v>34</v>
      </c>
      <c r="C85" s="3853"/>
      <c r="D85" s="413">
        <f>G85+H85+I85+J85+K85+L85</f>
        <v>2033800</v>
      </c>
      <c r="E85" s="413"/>
      <c r="F85" s="2762">
        <v>0</v>
      </c>
      <c r="G85" s="2762">
        <v>10954</v>
      </c>
      <c r="H85" s="2762">
        <v>1146523</v>
      </c>
      <c r="I85" s="2762">
        <v>876323</v>
      </c>
      <c r="J85" s="2761"/>
      <c r="K85" s="2761"/>
      <c r="L85" s="2761"/>
      <c r="M85" s="458" t="s">
        <v>53</v>
      </c>
      <c r="N85" s="2766" t="s">
        <v>53</v>
      </c>
      <c r="O85" s="3862"/>
    </row>
    <row r="86" spans="1:17" s="290" customFormat="1" ht="13.5" customHeight="1">
      <c r="A86" s="3846"/>
      <c r="B86" s="417" t="s">
        <v>21</v>
      </c>
      <c r="C86" s="2757"/>
      <c r="D86" s="442">
        <f>D87+D89</f>
        <v>2033800</v>
      </c>
      <c r="E86" s="442">
        <v>0</v>
      </c>
      <c r="F86" s="442">
        <f>+F87+F89</f>
        <v>0</v>
      </c>
      <c r="G86" s="442">
        <f>+G87+G89</f>
        <v>10954</v>
      </c>
      <c r="H86" s="442">
        <f>+H87+H89</f>
        <v>1146523</v>
      </c>
      <c r="I86" s="442">
        <f>+I87+I89</f>
        <v>876323</v>
      </c>
      <c r="J86" s="442"/>
      <c r="K86" s="442"/>
      <c r="L86" s="442"/>
      <c r="M86" s="3837" t="s">
        <v>53</v>
      </c>
      <c r="N86" s="3838" t="s">
        <v>53</v>
      </c>
      <c r="O86" s="3850"/>
    </row>
    <row r="87" spans="1:17" s="290" customFormat="1" ht="13.5" hidden="1" customHeight="1">
      <c r="A87" s="3846"/>
      <c r="B87" s="446" t="s">
        <v>23</v>
      </c>
      <c r="C87" s="3841" t="s">
        <v>153</v>
      </c>
      <c r="D87" s="2767"/>
      <c r="E87" s="2767">
        <v>0</v>
      </c>
      <c r="F87" s="2767">
        <f t="shared" ref="F87:I87" si="53">+F88</f>
        <v>0</v>
      </c>
      <c r="G87" s="2767">
        <f t="shared" si="53"/>
        <v>0</v>
      </c>
      <c r="H87" s="2767">
        <f t="shared" si="53"/>
        <v>0</v>
      </c>
      <c r="I87" s="2767">
        <f t="shared" si="53"/>
        <v>0</v>
      </c>
      <c r="J87" s="2767"/>
      <c r="K87" s="2767"/>
      <c r="L87" s="2767"/>
      <c r="M87" s="3654"/>
      <c r="N87" s="3656"/>
      <c r="O87" s="3850"/>
    </row>
    <row r="88" spans="1:17" s="290" customFormat="1" ht="13.5" hidden="1" customHeight="1">
      <c r="A88" s="3846"/>
      <c r="B88" s="2753" t="s">
        <v>130</v>
      </c>
      <c r="C88" s="3842"/>
      <c r="D88" s="413"/>
      <c r="E88" s="411"/>
      <c r="F88" s="2761">
        <v>0</v>
      </c>
      <c r="G88" s="2761">
        <v>0</v>
      </c>
      <c r="H88" s="2761">
        <v>0</v>
      </c>
      <c r="I88" s="2761">
        <v>0</v>
      </c>
      <c r="J88" s="2761"/>
      <c r="K88" s="2761"/>
      <c r="L88" s="2761"/>
      <c r="M88" s="3654"/>
      <c r="N88" s="3656"/>
      <c r="O88" s="3850"/>
      <c r="Q88" s="174">
        <v>-1488145</v>
      </c>
    </row>
    <row r="89" spans="1:17" s="290" customFormat="1" ht="13.5" customHeight="1">
      <c r="A89" s="3846"/>
      <c r="B89" s="2768" t="s">
        <v>18</v>
      </c>
      <c r="C89" s="3843" t="s">
        <v>22</v>
      </c>
      <c r="D89" s="1266">
        <f>D90</f>
        <v>2033800</v>
      </c>
      <c r="E89" s="1266">
        <v>0</v>
      </c>
      <c r="F89" s="414">
        <f t="shared" ref="F89:I89" si="54">+F90</f>
        <v>0</v>
      </c>
      <c r="G89" s="414">
        <f t="shared" si="54"/>
        <v>10954</v>
      </c>
      <c r="H89" s="414">
        <f t="shared" si="54"/>
        <v>1146523</v>
      </c>
      <c r="I89" s="414">
        <f t="shared" si="54"/>
        <v>876323</v>
      </c>
      <c r="J89" s="414"/>
      <c r="K89" s="414"/>
      <c r="L89" s="414"/>
      <c r="M89" s="3654"/>
      <c r="N89" s="3656"/>
      <c r="O89" s="3850"/>
    </row>
    <row r="90" spans="1:17" s="290" customFormat="1" ht="15" customHeight="1" thickBot="1">
      <c r="A90" s="3861"/>
      <c r="B90" s="2769" t="s">
        <v>34</v>
      </c>
      <c r="C90" s="3844"/>
      <c r="D90" s="1383">
        <f>G90+H90+I90+J90+K90+L90</f>
        <v>2033800</v>
      </c>
      <c r="E90" s="1531">
        <v>0</v>
      </c>
      <c r="F90" s="448">
        <v>0</v>
      </c>
      <c r="G90" s="448">
        <v>10954</v>
      </c>
      <c r="H90" s="448">
        <v>1146523</v>
      </c>
      <c r="I90" s="448">
        <v>876323</v>
      </c>
      <c r="J90" s="448"/>
      <c r="K90" s="448"/>
      <c r="L90" s="448"/>
      <c r="M90" s="3655"/>
      <c r="N90" s="3657"/>
      <c r="O90" s="3863"/>
    </row>
    <row r="91" spans="1:17" s="290" customFormat="1" ht="30.75" customHeight="1">
      <c r="A91" s="3906" t="s">
        <v>80</v>
      </c>
      <c r="B91" s="452" t="s">
        <v>658</v>
      </c>
      <c r="C91" s="2649" t="s">
        <v>74</v>
      </c>
      <c r="D91" s="2650"/>
      <c r="E91" s="350"/>
      <c r="F91" s="350"/>
      <c r="G91" s="350"/>
      <c r="H91" s="350"/>
      <c r="I91" s="350"/>
      <c r="J91" s="350"/>
      <c r="K91" s="350"/>
      <c r="L91" s="1201"/>
      <c r="M91" s="461"/>
      <c r="N91" s="461"/>
      <c r="O91" s="3849" t="s">
        <v>659</v>
      </c>
    </row>
    <row r="92" spans="1:17" s="290" customFormat="1" ht="13.5" customHeight="1">
      <c r="A92" s="3907"/>
      <c r="B92" s="1376" t="s">
        <v>10</v>
      </c>
      <c r="C92" s="1945"/>
      <c r="D92" s="1281">
        <f>+D93+D97</f>
        <v>647500</v>
      </c>
      <c r="E92" s="1281">
        <f t="shared" ref="E92:G92" si="55">+E93+E97</f>
        <v>0</v>
      </c>
      <c r="F92" s="1281">
        <f t="shared" si="55"/>
        <v>0</v>
      </c>
      <c r="G92" s="1281">
        <f t="shared" si="55"/>
        <v>207500</v>
      </c>
      <c r="H92" s="1281">
        <f>+H93+H97</f>
        <v>440000</v>
      </c>
      <c r="I92" s="1281">
        <f>+I93+I97</f>
        <v>0</v>
      </c>
      <c r="J92" s="1281">
        <f t="shared" ref="J92:K92" si="56">+J93+J97</f>
        <v>0</v>
      </c>
      <c r="K92" s="1281">
        <f t="shared" si="56"/>
        <v>0</v>
      </c>
      <c r="L92" s="1281"/>
      <c r="M92" s="1377">
        <f>+M93</f>
        <v>300000</v>
      </c>
      <c r="N92" s="2549">
        <f>+N93</f>
        <v>300000</v>
      </c>
      <c r="O92" s="3850"/>
    </row>
    <row r="93" spans="1:17" s="290" customFormat="1" ht="13.5" customHeight="1">
      <c r="A93" s="3907"/>
      <c r="B93" s="1946" t="s">
        <v>23</v>
      </c>
      <c r="C93" s="3221"/>
      <c r="D93" s="1266">
        <f>D95+D94+D96</f>
        <v>647500</v>
      </c>
      <c r="E93" s="1266">
        <f t="shared" ref="E93:L93" si="57">E95+E94+E96</f>
        <v>0</v>
      </c>
      <c r="F93" s="1266">
        <f t="shared" si="57"/>
        <v>0</v>
      </c>
      <c r="G93" s="1266">
        <f t="shared" si="57"/>
        <v>207500</v>
      </c>
      <c r="H93" s="1266">
        <f t="shared" si="57"/>
        <v>440000</v>
      </c>
      <c r="I93" s="1266">
        <f t="shared" si="57"/>
        <v>0</v>
      </c>
      <c r="J93" s="1266">
        <f t="shared" si="57"/>
        <v>0</v>
      </c>
      <c r="K93" s="1266">
        <f t="shared" si="57"/>
        <v>0</v>
      </c>
      <c r="L93" s="1266">
        <f t="shared" si="57"/>
        <v>0</v>
      </c>
      <c r="M93" s="1238">
        <f>+M95</f>
        <v>300000</v>
      </c>
      <c r="N93" s="2550">
        <f>+N95</f>
        <v>300000</v>
      </c>
      <c r="O93" s="3850"/>
    </row>
    <row r="94" spans="1:17" s="290" customFormat="1" ht="13.5" customHeight="1">
      <c r="A94" s="3907"/>
      <c r="B94" s="1947" t="s">
        <v>31</v>
      </c>
      <c r="C94" s="3275" t="s">
        <v>22</v>
      </c>
      <c r="D94" s="1216">
        <f>E94+F94+G94+H94+I94+J94+K94+L94</f>
        <v>47500</v>
      </c>
      <c r="E94" s="1249"/>
      <c r="F94" s="1948"/>
      <c r="G94" s="1948">
        <v>7500</v>
      </c>
      <c r="H94" s="1948">
        <v>40000</v>
      </c>
      <c r="I94" s="1948">
        <v>0</v>
      </c>
      <c r="J94" s="1927"/>
      <c r="K94" s="1927"/>
      <c r="L94" s="1927"/>
      <c r="M94" s="454" t="s">
        <v>53</v>
      </c>
      <c r="N94" s="2396" t="s">
        <v>53</v>
      </c>
      <c r="O94" s="3850"/>
    </row>
    <row r="95" spans="1:17" s="290" customFormat="1" ht="13.5" customHeight="1">
      <c r="A95" s="3907"/>
      <c r="B95" s="1949" t="s">
        <v>113</v>
      </c>
      <c r="C95" s="3274" t="s">
        <v>153</v>
      </c>
      <c r="D95" s="1216">
        <f>E95+F95+G95+H95+I95+J95+K95+L95</f>
        <v>300000</v>
      </c>
      <c r="E95" s="1249"/>
      <c r="F95" s="1950"/>
      <c r="G95" s="1950">
        <v>100000</v>
      </c>
      <c r="H95" s="1950">
        <v>200000</v>
      </c>
      <c r="I95" s="1950"/>
      <c r="J95" s="1950"/>
      <c r="K95" s="1950"/>
      <c r="L95" s="1950"/>
      <c r="M95" s="1378">
        <f>SUM(F95:K95)</f>
        <v>300000</v>
      </c>
      <c r="N95" s="2869">
        <f>SUM(G95:L95)</f>
        <v>300000</v>
      </c>
      <c r="O95" s="3850"/>
    </row>
    <row r="96" spans="1:17" s="290" customFormat="1" ht="13.5" customHeight="1">
      <c r="A96" s="3907"/>
      <c r="B96" s="2628" t="s">
        <v>538</v>
      </c>
      <c r="C96" s="3843" t="s">
        <v>22</v>
      </c>
      <c r="D96" s="1216">
        <f>E96+F96+G96+H96+I96+J96+K96+L96</f>
        <v>300000</v>
      </c>
      <c r="E96" s="2578"/>
      <c r="F96" s="2579"/>
      <c r="G96" s="2579">
        <v>100000</v>
      </c>
      <c r="H96" s="2579">
        <v>200000</v>
      </c>
      <c r="I96" s="2579"/>
      <c r="J96" s="2579"/>
      <c r="K96" s="2579"/>
      <c r="L96" s="2580"/>
      <c r="M96" s="2581"/>
      <c r="N96" s="444"/>
      <c r="O96" s="3850"/>
    </row>
    <row r="97" spans="1:15" s="290" customFormat="1" ht="13.5" hidden="1" customHeight="1">
      <c r="A97" s="3907"/>
      <c r="B97" s="2629" t="s">
        <v>18</v>
      </c>
      <c r="C97" s="3899"/>
      <c r="D97" s="2582">
        <f>+D98</f>
        <v>0</v>
      </c>
      <c r="E97" s="2582">
        <f t="shared" ref="E97:N97" si="58">+E98</f>
        <v>0</v>
      </c>
      <c r="F97" s="2582">
        <f t="shared" si="58"/>
        <v>0</v>
      </c>
      <c r="G97" s="2582">
        <f t="shared" si="58"/>
        <v>0</v>
      </c>
      <c r="H97" s="2582">
        <f t="shared" si="58"/>
        <v>0</v>
      </c>
      <c r="I97" s="2582">
        <f t="shared" si="58"/>
        <v>0</v>
      </c>
      <c r="J97" s="2582">
        <f t="shared" si="58"/>
        <v>0</v>
      </c>
      <c r="K97" s="2582">
        <f t="shared" si="58"/>
        <v>0</v>
      </c>
      <c r="L97" s="2582"/>
      <c r="M97" s="2583" t="str">
        <f t="shared" si="58"/>
        <v>x</v>
      </c>
      <c r="N97" s="2584" t="str">
        <f t="shared" si="58"/>
        <v>x</v>
      </c>
      <c r="O97" s="3850"/>
    </row>
    <row r="98" spans="1:15" s="290" customFormat="1" ht="13.5" hidden="1" customHeight="1">
      <c r="A98" s="3907"/>
      <c r="B98" s="1949" t="s">
        <v>34</v>
      </c>
      <c r="C98" s="3853"/>
      <c r="D98" s="1216">
        <f>E98+F98+G98+H98+I98+J98+K98+L98</f>
        <v>0</v>
      </c>
      <c r="E98" s="1249">
        <v>0</v>
      </c>
      <c r="F98" s="1379"/>
      <c r="G98" s="1379"/>
      <c r="H98" s="1379"/>
      <c r="I98" s="1379"/>
      <c r="J98" s="1935"/>
      <c r="K98" s="1935"/>
      <c r="L98" s="1935"/>
      <c r="M98" s="1936" t="s">
        <v>53</v>
      </c>
      <c r="N98" s="2397" t="s">
        <v>53</v>
      </c>
      <c r="O98" s="3850"/>
    </row>
    <row r="99" spans="1:15" s="290" customFormat="1" ht="13.5" customHeight="1" thickBot="1">
      <c r="A99" s="3907"/>
      <c r="B99" s="2609" t="s">
        <v>21</v>
      </c>
      <c r="C99" s="2298"/>
      <c r="D99" s="2299">
        <f>D103+D100</f>
        <v>300000</v>
      </c>
      <c r="E99" s="2299">
        <f t="shared" ref="E99:G99" si="59">E103+E100</f>
        <v>0</v>
      </c>
      <c r="F99" s="2299">
        <f t="shared" si="59"/>
        <v>0</v>
      </c>
      <c r="G99" s="2299">
        <f t="shared" si="59"/>
        <v>100000</v>
      </c>
      <c r="H99" s="2299">
        <f>H103+H100</f>
        <v>200000</v>
      </c>
      <c r="I99" s="2299">
        <f>I103+I100</f>
        <v>0</v>
      </c>
      <c r="J99" s="2299">
        <f t="shared" ref="J99:K99" si="60">J103+J100</f>
        <v>0</v>
      </c>
      <c r="K99" s="2299">
        <f t="shared" si="60"/>
        <v>0</v>
      </c>
      <c r="L99" s="2299"/>
      <c r="M99" s="3900" t="s">
        <v>53</v>
      </c>
      <c r="N99" s="3912" t="s">
        <v>53</v>
      </c>
      <c r="O99" s="3850"/>
    </row>
    <row r="100" spans="1:15" s="290" customFormat="1" ht="13.5" customHeight="1" thickBot="1">
      <c r="A100" s="3907"/>
      <c r="B100" s="1380" t="s">
        <v>23</v>
      </c>
      <c r="C100" s="3909" t="s">
        <v>53</v>
      </c>
      <c r="D100" s="1367">
        <f>+D101+D102</f>
        <v>300000</v>
      </c>
      <c r="E100" s="1367">
        <f t="shared" ref="E100:K100" si="61">+E101+E102</f>
        <v>0</v>
      </c>
      <c r="F100" s="1367">
        <f t="shared" si="61"/>
        <v>0</v>
      </c>
      <c r="G100" s="1367">
        <f t="shared" si="61"/>
        <v>100000</v>
      </c>
      <c r="H100" s="1367">
        <f t="shared" si="61"/>
        <v>200000</v>
      </c>
      <c r="I100" s="1367">
        <f t="shared" si="61"/>
        <v>0</v>
      </c>
      <c r="J100" s="1367">
        <f t="shared" si="61"/>
        <v>0</v>
      </c>
      <c r="K100" s="1367">
        <f t="shared" si="61"/>
        <v>0</v>
      </c>
      <c r="L100" s="1367"/>
      <c r="M100" s="3901"/>
      <c r="N100" s="3913"/>
      <c r="O100" s="3850"/>
    </row>
    <row r="101" spans="1:15" s="290" customFormat="1" ht="13.5" hidden="1" customHeight="1">
      <c r="A101" s="3907"/>
      <c r="B101" s="2577" t="s">
        <v>138</v>
      </c>
      <c r="C101" s="3910"/>
      <c r="D101" s="1262">
        <f>E101+F101+G101+H101+I101+J101+K101+L101</f>
        <v>0</v>
      </c>
      <c r="E101" s="1249">
        <v>0</v>
      </c>
      <c r="F101" s="1950"/>
      <c r="G101" s="1950"/>
      <c r="H101" s="1950"/>
      <c r="I101" s="1950"/>
      <c r="J101" s="1950"/>
      <c r="K101" s="1950"/>
      <c r="L101" s="1950"/>
      <c r="M101" s="3901"/>
      <c r="N101" s="3913"/>
      <c r="O101" s="3850"/>
    </row>
    <row r="102" spans="1:15" s="290" customFormat="1" ht="13.5" customHeight="1" thickBot="1">
      <c r="A102" s="3907"/>
      <c r="B102" s="1381" t="s">
        <v>538</v>
      </c>
      <c r="C102" s="3910"/>
      <c r="D102" s="1570">
        <f>E102+F102+G102+H102+I102+J102+K102+L102</f>
        <v>300000</v>
      </c>
      <c r="E102" s="1531"/>
      <c r="F102" s="1986"/>
      <c r="G102" s="1986">
        <v>100000</v>
      </c>
      <c r="H102" s="1986">
        <v>200000</v>
      </c>
      <c r="I102" s="1986"/>
      <c r="J102" s="1986"/>
      <c r="K102" s="1986"/>
      <c r="L102" s="1986"/>
      <c r="M102" s="3902"/>
      <c r="N102" s="3913"/>
      <c r="O102" s="3850"/>
    </row>
    <row r="103" spans="1:15" s="290" customFormat="1" ht="13.5" hidden="1" customHeight="1" thickBot="1">
      <c r="A103" s="3908"/>
      <c r="B103" s="2497" t="s">
        <v>18</v>
      </c>
      <c r="C103" s="3911"/>
      <c r="D103" s="2506">
        <f>+D104</f>
        <v>0</v>
      </c>
      <c r="E103" s="2506">
        <f t="shared" ref="E103:K103" si="62">+E104</f>
        <v>0</v>
      </c>
      <c r="F103" s="2506">
        <f t="shared" si="62"/>
        <v>0</v>
      </c>
      <c r="G103" s="2506">
        <f t="shared" si="62"/>
        <v>0</v>
      </c>
      <c r="H103" s="2506">
        <f t="shared" si="62"/>
        <v>0</v>
      </c>
      <c r="I103" s="2506">
        <f t="shared" si="62"/>
        <v>0</v>
      </c>
      <c r="J103" s="2506">
        <f t="shared" si="62"/>
        <v>0</v>
      </c>
      <c r="K103" s="2506">
        <f t="shared" si="62"/>
        <v>0</v>
      </c>
      <c r="L103" s="2506"/>
      <c r="M103" s="3856"/>
      <c r="N103" s="3914"/>
      <c r="O103" s="3851"/>
    </row>
    <row r="104" spans="1:15" s="290" customFormat="1" ht="16.5" hidden="1" customHeight="1" thickBot="1">
      <c r="A104" s="2877"/>
      <c r="B104" s="2878" t="s">
        <v>34</v>
      </c>
      <c r="C104" s="2879"/>
      <c r="D104" s="2870">
        <f>E104+F104+G104+H104+I104+J104+K104+L104</f>
        <v>0</v>
      </c>
      <c r="E104" s="2871">
        <v>0</v>
      </c>
      <c r="F104" s="2872">
        <v>0</v>
      </c>
      <c r="G104" s="2872"/>
      <c r="H104" s="2872"/>
      <c r="I104" s="2872"/>
      <c r="J104" s="2872"/>
      <c r="K104" s="2872"/>
      <c r="L104" s="2872"/>
      <c r="M104" s="3856"/>
      <c r="N104" s="2881"/>
      <c r="O104" s="2880"/>
    </row>
    <row r="105" spans="1:15" s="290" customFormat="1" ht="29.25" customHeight="1" thickBot="1">
      <c r="A105" s="3903" t="s">
        <v>81</v>
      </c>
      <c r="B105" s="452" t="s">
        <v>584</v>
      </c>
      <c r="C105" s="2873" t="s">
        <v>74</v>
      </c>
      <c r="D105" s="2652"/>
      <c r="E105" s="350"/>
      <c r="F105" s="350"/>
      <c r="G105" s="350"/>
      <c r="H105" s="350"/>
      <c r="I105" s="350"/>
      <c r="J105" s="350"/>
      <c r="K105" s="350"/>
      <c r="L105" s="1201"/>
      <c r="M105" s="2874"/>
      <c r="N105" s="2875"/>
      <c r="O105" s="3915" t="s">
        <v>154</v>
      </c>
    </row>
    <row r="106" spans="1:15" s="339" customFormat="1" ht="16.5" customHeight="1">
      <c r="A106" s="3904"/>
      <c r="B106" s="1187" t="s">
        <v>10</v>
      </c>
      <c r="C106" s="2614"/>
      <c r="D106" s="1186">
        <f>D107+D110</f>
        <v>24869527</v>
      </c>
      <c r="E106" s="1186">
        <f>E107+E110</f>
        <v>645627</v>
      </c>
      <c r="F106" s="1186">
        <f t="shared" ref="F106:G106" si="63">+F107+F110</f>
        <v>23900</v>
      </c>
      <c r="G106" s="1186">
        <f t="shared" si="63"/>
        <v>137268</v>
      </c>
      <c r="H106" s="1186">
        <f>+H107+H110</f>
        <v>9342732</v>
      </c>
      <c r="I106" s="1186">
        <f>+I107+I110</f>
        <v>14720000</v>
      </c>
      <c r="J106" s="1186"/>
      <c r="K106" s="1186"/>
      <c r="L106" s="1186"/>
      <c r="M106" s="2615">
        <f>+M107</f>
        <v>9600727</v>
      </c>
      <c r="N106" s="2616">
        <f>+N107</f>
        <v>24200000</v>
      </c>
      <c r="O106" s="3916"/>
    </row>
    <row r="107" spans="1:15" s="290" customFormat="1" ht="13.5" customHeight="1">
      <c r="A107" s="3904"/>
      <c r="B107" s="2610" t="s">
        <v>23</v>
      </c>
      <c r="C107" s="3221"/>
      <c r="D107" s="1266">
        <f>D108+D109</f>
        <v>24344627</v>
      </c>
      <c r="E107" s="1266">
        <f t="shared" ref="E107:F107" si="64">E108+E109</f>
        <v>120727</v>
      </c>
      <c r="F107" s="1266">
        <f t="shared" si="64"/>
        <v>23900</v>
      </c>
      <c r="G107" s="1266">
        <f t="shared" ref="G107:I107" si="65">G109</f>
        <v>137268</v>
      </c>
      <c r="H107" s="1266">
        <f t="shared" si="65"/>
        <v>9342732</v>
      </c>
      <c r="I107" s="1266">
        <f t="shared" si="65"/>
        <v>14720000</v>
      </c>
      <c r="J107" s="1266"/>
      <c r="K107" s="1266"/>
      <c r="L107" s="1266"/>
      <c r="M107" s="2612">
        <f>+M109</f>
        <v>9600727</v>
      </c>
      <c r="N107" s="2613">
        <f>+N109</f>
        <v>24200000</v>
      </c>
      <c r="O107" s="3916"/>
    </row>
    <row r="108" spans="1:15" s="290" customFormat="1" ht="13.5" customHeight="1" thickBot="1">
      <c r="A108" s="3905"/>
      <c r="B108" s="1941" t="s">
        <v>31</v>
      </c>
      <c r="C108" s="3273" t="s">
        <v>22</v>
      </c>
      <c r="D108" s="1935">
        <f>E108+F108+G108+H108+I108+J108+K108+L108</f>
        <v>23900</v>
      </c>
      <c r="E108" s="1942"/>
      <c r="F108" s="1942">
        <v>23900</v>
      </c>
      <c r="G108" s="450"/>
      <c r="H108" s="450"/>
      <c r="I108" s="450"/>
      <c r="J108" s="450"/>
      <c r="K108" s="450"/>
      <c r="L108" s="450"/>
      <c r="M108" s="2450">
        <v>0</v>
      </c>
      <c r="N108" s="2450">
        <v>0</v>
      </c>
      <c r="O108" s="3917"/>
    </row>
    <row r="109" spans="1:15" s="290" customFormat="1" ht="13.5" customHeight="1" thickBot="1">
      <c r="A109" s="3903"/>
      <c r="B109" s="3011" t="s">
        <v>113</v>
      </c>
      <c r="C109" s="3274" t="s">
        <v>365</v>
      </c>
      <c r="D109" s="1379">
        <f>E109+F109+G109+H109+I109+J109+K109+L109</f>
        <v>24320727</v>
      </c>
      <c r="E109" s="1249">
        <v>120727</v>
      </c>
      <c r="F109" s="1249">
        <v>0</v>
      </c>
      <c r="G109" s="1249">
        <f>1315000-1177732</f>
        <v>137268</v>
      </c>
      <c r="H109" s="1249">
        <f>8165000+1177732</f>
        <v>9342732</v>
      </c>
      <c r="I109" s="1249">
        <v>14720000</v>
      </c>
      <c r="J109" s="1249"/>
      <c r="K109" s="1249"/>
      <c r="L109" s="1249"/>
      <c r="M109" s="1378">
        <f>SUM(E109:H109)</f>
        <v>9600727</v>
      </c>
      <c r="N109" s="1378">
        <f>SUM(G109:I109)</f>
        <v>24200000</v>
      </c>
      <c r="O109" s="3918"/>
    </row>
    <row r="110" spans="1:15" s="290" customFormat="1" ht="13.5" customHeight="1" thickBot="1">
      <c r="A110" s="3903"/>
      <c r="B110" s="3012" t="s">
        <v>18</v>
      </c>
      <c r="C110" s="3920" t="s">
        <v>22</v>
      </c>
      <c r="D110" s="1266">
        <f>D111</f>
        <v>524900</v>
      </c>
      <c r="E110" s="1266">
        <f>E111</f>
        <v>524900</v>
      </c>
      <c r="F110" s="1266">
        <f t="shared" ref="F110:N110" si="66">+F111</f>
        <v>0</v>
      </c>
      <c r="G110" s="1266">
        <f t="shared" si="66"/>
        <v>0</v>
      </c>
      <c r="H110" s="1266">
        <f t="shared" si="66"/>
        <v>0</v>
      </c>
      <c r="I110" s="1266">
        <f t="shared" si="66"/>
        <v>0</v>
      </c>
      <c r="J110" s="450"/>
      <c r="K110" s="450"/>
      <c r="L110" s="450"/>
      <c r="M110" s="454" t="str">
        <f t="shared" si="66"/>
        <v>x</v>
      </c>
      <c r="N110" s="454" t="str">
        <f t="shared" si="66"/>
        <v>x</v>
      </c>
      <c r="O110" s="3918"/>
    </row>
    <row r="111" spans="1:15" s="290" customFormat="1" ht="13.5" customHeight="1" thickBot="1">
      <c r="A111" s="3903"/>
      <c r="B111" s="3011" t="s">
        <v>34</v>
      </c>
      <c r="C111" s="3921"/>
      <c r="D111" s="1379">
        <f>E111+F111+G111+H111+J111+K111+L111</f>
        <v>524900</v>
      </c>
      <c r="E111" s="1249">
        <v>524900</v>
      </c>
      <c r="F111" s="1249">
        <v>0</v>
      </c>
      <c r="G111" s="1249">
        <v>0</v>
      </c>
      <c r="H111" s="1249">
        <v>0</v>
      </c>
      <c r="I111" s="1249">
        <v>0</v>
      </c>
      <c r="J111" s="1942"/>
      <c r="K111" s="1942"/>
      <c r="L111" s="1942"/>
      <c r="M111" s="454" t="s">
        <v>53</v>
      </c>
      <c r="N111" s="454" t="s">
        <v>53</v>
      </c>
      <c r="O111" s="3918"/>
    </row>
    <row r="112" spans="1:15" s="339" customFormat="1" ht="16.5" customHeight="1" thickBot="1">
      <c r="A112" s="3903"/>
      <c r="B112" s="1376" t="s">
        <v>21</v>
      </c>
      <c r="C112" s="2608"/>
      <c r="D112" s="1276">
        <f>D113+D115</f>
        <v>1002816</v>
      </c>
      <c r="E112" s="1276">
        <f>E113+E115</f>
        <v>644420</v>
      </c>
      <c r="F112" s="1276">
        <f t="shared" ref="F112:G112" si="67">F115+F113</f>
        <v>0</v>
      </c>
      <c r="G112" s="1276">
        <f t="shared" si="67"/>
        <v>2033</v>
      </c>
      <c r="H112" s="1276">
        <f>H115+H113</f>
        <v>138363</v>
      </c>
      <c r="I112" s="1276">
        <f>I115+I113</f>
        <v>218000</v>
      </c>
      <c r="J112" s="1276"/>
      <c r="K112" s="1276"/>
      <c r="L112" s="1276"/>
      <c r="M112" s="3664" t="s">
        <v>53</v>
      </c>
      <c r="N112" s="3664" t="s">
        <v>53</v>
      </c>
      <c r="O112" s="3918"/>
    </row>
    <row r="113" spans="1:17" s="290" customFormat="1" ht="13.5" customHeight="1" thickBot="1">
      <c r="A113" s="3903"/>
      <c r="B113" s="2610" t="s">
        <v>23</v>
      </c>
      <c r="C113" s="3922" t="s">
        <v>155</v>
      </c>
      <c r="D113" s="2876">
        <f>D114</f>
        <v>477916</v>
      </c>
      <c r="E113" s="2876">
        <f>E114</f>
        <v>119520</v>
      </c>
      <c r="F113" s="2876">
        <f t="shared" ref="F113:I113" si="68">+F114</f>
        <v>0</v>
      </c>
      <c r="G113" s="2876">
        <f t="shared" si="68"/>
        <v>2033</v>
      </c>
      <c r="H113" s="2876">
        <f t="shared" si="68"/>
        <v>138363</v>
      </c>
      <c r="I113" s="2876">
        <f t="shared" si="68"/>
        <v>218000</v>
      </c>
      <c r="J113" s="2876"/>
      <c r="K113" s="2876"/>
      <c r="L113" s="2876"/>
      <c r="M113" s="3654"/>
      <c r="N113" s="3654"/>
      <c r="O113" s="3918"/>
      <c r="Q113" s="174">
        <v>-4922063</v>
      </c>
    </row>
    <row r="114" spans="1:17" s="290" customFormat="1" ht="13.5" customHeight="1" thickBot="1">
      <c r="A114" s="3903"/>
      <c r="B114" s="3011" t="s">
        <v>138</v>
      </c>
      <c r="C114" s="3923"/>
      <c r="D114" s="1379">
        <f>E114+F114+G114+H114+I114+J114+K114+L114</f>
        <v>477916</v>
      </c>
      <c r="E114" s="1249">
        <v>119520</v>
      </c>
      <c r="F114" s="1948">
        <v>0</v>
      </c>
      <c r="G114" s="1948">
        <f>19475-17442</f>
        <v>2033</v>
      </c>
      <c r="H114" s="1948">
        <f>120921+17442</f>
        <v>138363</v>
      </c>
      <c r="I114" s="1948">
        <v>218000</v>
      </c>
      <c r="J114" s="1948"/>
      <c r="K114" s="1948"/>
      <c r="L114" s="1948"/>
      <c r="M114" s="3654"/>
      <c r="N114" s="3654"/>
      <c r="O114" s="3918"/>
    </row>
    <row r="115" spans="1:17" s="290" customFormat="1" ht="13.5" customHeight="1" thickBot="1">
      <c r="A115" s="3903"/>
      <c r="B115" s="3012" t="s">
        <v>18</v>
      </c>
      <c r="C115" s="3920" t="s">
        <v>22</v>
      </c>
      <c r="D115" s="1266">
        <f>D116</f>
        <v>524900</v>
      </c>
      <c r="E115" s="1266">
        <f>E116</f>
        <v>524900</v>
      </c>
      <c r="F115" s="1266">
        <f t="shared" ref="F115:I115" si="69">+F116</f>
        <v>0</v>
      </c>
      <c r="G115" s="1266">
        <f t="shared" si="69"/>
        <v>0</v>
      </c>
      <c r="H115" s="1266">
        <f t="shared" si="69"/>
        <v>0</v>
      </c>
      <c r="I115" s="1266">
        <f t="shared" si="69"/>
        <v>0</v>
      </c>
      <c r="J115" s="1266"/>
      <c r="K115" s="1266"/>
      <c r="L115" s="1266"/>
      <c r="M115" s="3654"/>
      <c r="N115" s="3654"/>
      <c r="O115" s="3918"/>
    </row>
    <row r="116" spans="1:17" s="290" customFormat="1" ht="13.5" customHeight="1" thickBot="1">
      <c r="A116" s="3903"/>
      <c r="B116" s="3013" t="s">
        <v>34</v>
      </c>
      <c r="C116" s="3924"/>
      <c r="D116" s="1383">
        <f>E116+F116+G116+H116+I116+J116+K116+L116</f>
        <v>524900</v>
      </c>
      <c r="E116" s="1531">
        <v>524900</v>
      </c>
      <c r="F116" s="1531">
        <v>0</v>
      </c>
      <c r="G116" s="1531">
        <v>0</v>
      </c>
      <c r="H116" s="1531">
        <v>0</v>
      </c>
      <c r="I116" s="1531">
        <v>0</v>
      </c>
      <c r="J116" s="1531"/>
      <c r="K116" s="1531"/>
      <c r="L116" s="1531"/>
      <c r="M116" s="3655"/>
      <c r="N116" s="3655"/>
      <c r="O116" s="3919"/>
    </row>
    <row r="117" spans="1:17" s="290" customFormat="1" ht="29.25" customHeight="1">
      <c r="A117" s="3846" t="s">
        <v>82</v>
      </c>
      <c r="B117" s="2770" t="s">
        <v>662</v>
      </c>
      <c r="C117" s="2653" t="s">
        <v>74</v>
      </c>
      <c r="D117" s="2928"/>
      <c r="E117" s="1895"/>
      <c r="F117" s="1895"/>
      <c r="G117" s="1895"/>
      <c r="H117" s="1895"/>
      <c r="I117" s="1895"/>
      <c r="J117" s="1895"/>
      <c r="K117" s="1895"/>
      <c r="L117" s="2929"/>
      <c r="M117" s="444"/>
      <c r="N117" s="444"/>
      <c r="O117" s="3850" t="s">
        <v>408</v>
      </c>
    </row>
    <row r="118" spans="1:17" s="290" customFormat="1" ht="13.5" customHeight="1">
      <c r="A118" s="3846"/>
      <c r="B118" s="1376" t="s">
        <v>10</v>
      </c>
      <c r="C118" s="1945"/>
      <c r="D118" s="1281">
        <f>+D119+D122</f>
        <v>4039797</v>
      </c>
      <c r="E118" s="1281">
        <f t="shared" ref="E118" si="70">+E119+E122</f>
        <v>4560</v>
      </c>
      <c r="F118" s="1281">
        <f t="shared" ref="F118:G118" si="71">+F119+F122</f>
        <v>14370</v>
      </c>
      <c r="G118" s="1281">
        <f t="shared" si="71"/>
        <v>4020867</v>
      </c>
      <c r="H118" s="1281">
        <f>+H119+H122</f>
        <v>0</v>
      </c>
      <c r="I118" s="1281">
        <f>+I119+I122</f>
        <v>0</v>
      </c>
      <c r="J118" s="1281">
        <f t="shared" ref="J118:K118" si="72">+J119+J122</f>
        <v>0</v>
      </c>
      <c r="K118" s="1281">
        <f t="shared" si="72"/>
        <v>0</v>
      </c>
      <c r="L118" s="1281"/>
      <c r="M118" s="1377">
        <f>+M119</f>
        <v>1261265</v>
      </c>
      <c r="N118" s="1377">
        <f>+N119</f>
        <v>1261265</v>
      </c>
      <c r="O118" s="3850"/>
    </row>
    <row r="119" spans="1:17" s="290" customFormat="1" ht="12" customHeight="1">
      <c r="A119" s="3846"/>
      <c r="B119" s="1946" t="s">
        <v>23</v>
      </c>
      <c r="C119" s="3221"/>
      <c r="D119" s="1266">
        <f>D121+D120</f>
        <v>1308937</v>
      </c>
      <c r="E119" s="1266">
        <f t="shared" ref="E119" si="73">E121+E120</f>
        <v>4560</v>
      </c>
      <c r="F119" s="1266">
        <f t="shared" ref="F119:K119" si="74">F121+F120</f>
        <v>2988</v>
      </c>
      <c r="G119" s="1266">
        <f>G121+G120</f>
        <v>1301389</v>
      </c>
      <c r="H119" s="1266">
        <f t="shared" si="74"/>
        <v>0</v>
      </c>
      <c r="I119" s="1266">
        <f t="shared" si="74"/>
        <v>0</v>
      </c>
      <c r="J119" s="1266">
        <f t="shared" si="74"/>
        <v>0</v>
      </c>
      <c r="K119" s="1266">
        <f t="shared" si="74"/>
        <v>0</v>
      </c>
      <c r="L119" s="1266"/>
      <c r="M119" s="1238">
        <f>+M121</f>
        <v>1261265</v>
      </c>
      <c r="N119" s="1238">
        <f>+N121</f>
        <v>1261265</v>
      </c>
      <c r="O119" s="3850"/>
    </row>
    <row r="120" spans="1:17" s="290" customFormat="1" ht="12">
      <c r="A120" s="3846"/>
      <c r="B120" s="1947" t="s">
        <v>31</v>
      </c>
      <c r="C120" s="3273" t="s">
        <v>22</v>
      </c>
      <c r="D120" s="1216">
        <f>E120+F120+G120+H120+I120+J120+K120+L120</f>
        <v>47672</v>
      </c>
      <c r="E120" s="1249">
        <v>4560</v>
      </c>
      <c r="F120" s="1948">
        <f>12454-9466</f>
        <v>2988</v>
      </c>
      <c r="G120" s="1948">
        <f>17251+44906-22033</f>
        <v>40124</v>
      </c>
      <c r="H120" s="1948">
        <v>0</v>
      </c>
      <c r="I120" s="1948">
        <v>0</v>
      </c>
      <c r="J120" s="1927"/>
      <c r="K120" s="1927"/>
      <c r="L120" s="1927"/>
      <c r="M120" s="454" t="s">
        <v>53</v>
      </c>
      <c r="N120" s="454" t="s">
        <v>53</v>
      </c>
      <c r="O120" s="3850"/>
    </row>
    <row r="121" spans="1:17" s="290" customFormat="1" ht="12">
      <c r="A121" s="3846"/>
      <c r="B121" s="1949" t="s">
        <v>113</v>
      </c>
      <c r="C121" s="3274" t="s">
        <v>407</v>
      </c>
      <c r="D121" s="1216">
        <f>E121+F121+G121+H121+I121+J121+K121+L121</f>
        <v>1261265</v>
      </c>
      <c r="E121" s="1249">
        <v>0</v>
      </c>
      <c r="F121" s="1950">
        <f>62454-62454</f>
        <v>0</v>
      </c>
      <c r="G121" s="1950">
        <f>1469763-267251+58753</f>
        <v>1261265</v>
      </c>
      <c r="H121" s="1950"/>
      <c r="I121" s="1950"/>
      <c r="J121" s="1950"/>
      <c r="K121" s="1950"/>
      <c r="L121" s="1950"/>
      <c r="M121" s="1378">
        <f>SUM(F121:K121)</f>
        <v>1261265</v>
      </c>
      <c r="N121" s="1378">
        <f>SUM(G121:L121)</f>
        <v>1261265</v>
      </c>
      <c r="O121" s="3850"/>
    </row>
    <row r="122" spans="1:17" s="290" customFormat="1" ht="13.5" customHeight="1">
      <c r="A122" s="3846"/>
      <c r="B122" s="1951" t="s">
        <v>18</v>
      </c>
      <c r="C122" s="3843" t="s">
        <v>22</v>
      </c>
      <c r="D122" s="1361">
        <f>+D123</f>
        <v>2730860</v>
      </c>
      <c r="E122" s="1361">
        <f t="shared" ref="E122:N122" si="75">+E123</f>
        <v>0</v>
      </c>
      <c r="F122" s="1361">
        <f t="shared" si="75"/>
        <v>11382</v>
      </c>
      <c r="G122" s="1361">
        <f t="shared" si="75"/>
        <v>2719478</v>
      </c>
      <c r="H122" s="1361">
        <f t="shared" si="75"/>
        <v>0</v>
      </c>
      <c r="I122" s="1361">
        <f t="shared" si="75"/>
        <v>0</v>
      </c>
      <c r="J122" s="1361">
        <f t="shared" si="75"/>
        <v>0</v>
      </c>
      <c r="K122" s="1361">
        <f t="shared" si="75"/>
        <v>0</v>
      </c>
      <c r="L122" s="1933"/>
      <c r="M122" s="1934" t="str">
        <f t="shared" si="75"/>
        <v>x</v>
      </c>
      <c r="N122" s="1934" t="str">
        <f t="shared" si="75"/>
        <v>x</v>
      </c>
      <c r="O122" s="3850"/>
    </row>
    <row r="123" spans="1:17" s="290" customFormat="1" ht="12">
      <c r="A123" s="3846"/>
      <c r="B123" s="1949" t="s">
        <v>34</v>
      </c>
      <c r="C123" s="3853"/>
      <c r="D123" s="1216">
        <f>E123+F123+G123+H123+I123+J123+K123+L123</f>
        <v>2730860</v>
      </c>
      <c r="E123" s="1249">
        <v>0</v>
      </c>
      <c r="F123" s="1379">
        <f>22355-10973</f>
        <v>11382</v>
      </c>
      <c r="G123" s="1379">
        <f>2718650+828</f>
        <v>2719478</v>
      </c>
      <c r="H123" s="1379"/>
      <c r="I123" s="1379"/>
      <c r="J123" s="1935"/>
      <c r="K123" s="1935"/>
      <c r="L123" s="1935"/>
      <c r="M123" s="1936" t="s">
        <v>53</v>
      </c>
      <c r="N123" s="1936" t="s">
        <v>53</v>
      </c>
      <c r="O123" s="3850"/>
    </row>
    <row r="124" spans="1:17" s="290" customFormat="1" ht="13.5" customHeight="1">
      <c r="A124" s="3846"/>
      <c r="B124" s="1376" t="s">
        <v>21</v>
      </c>
      <c r="C124" s="1952"/>
      <c r="D124" s="1276">
        <f>D127+D125</f>
        <v>2730860</v>
      </c>
      <c r="E124" s="1276">
        <f t="shared" ref="E124" si="76">E127+E125</f>
        <v>0</v>
      </c>
      <c r="F124" s="1276">
        <f t="shared" ref="F124:G124" si="77">F127+F125</f>
        <v>10200</v>
      </c>
      <c r="G124" s="1276">
        <f t="shared" si="77"/>
        <v>2720660</v>
      </c>
      <c r="H124" s="1276">
        <f>H127+H125</f>
        <v>0</v>
      </c>
      <c r="I124" s="1276">
        <f>I127+I125</f>
        <v>0</v>
      </c>
      <c r="J124" s="1276">
        <f t="shared" ref="J124:K124" si="78">J127+J125</f>
        <v>0</v>
      </c>
      <c r="K124" s="1276">
        <f t="shared" si="78"/>
        <v>0</v>
      </c>
      <c r="L124" s="1276"/>
      <c r="M124" s="3859" t="s">
        <v>53</v>
      </c>
      <c r="N124" s="3859" t="s">
        <v>53</v>
      </c>
      <c r="O124" s="3850"/>
    </row>
    <row r="125" spans="1:17" s="290" customFormat="1" ht="13.5" hidden="1" customHeight="1">
      <c r="A125" s="3846"/>
      <c r="B125" s="1380" t="s">
        <v>23</v>
      </c>
      <c r="C125" s="3860" t="s">
        <v>407</v>
      </c>
      <c r="D125" s="1367">
        <f>+D126</f>
        <v>0</v>
      </c>
      <c r="E125" s="1367">
        <f t="shared" ref="E125:K125" si="79">+E126</f>
        <v>0</v>
      </c>
      <c r="F125" s="1367">
        <f t="shared" si="79"/>
        <v>0</v>
      </c>
      <c r="G125" s="1367">
        <f t="shared" si="79"/>
        <v>0</v>
      </c>
      <c r="H125" s="1367">
        <f t="shared" si="79"/>
        <v>0</v>
      </c>
      <c r="I125" s="1367">
        <f t="shared" si="79"/>
        <v>0</v>
      </c>
      <c r="J125" s="1367">
        <f t="shared" si="79"/>
        <v>0</v>
      </c>
      <c r="K125" s="1367">
        <f t="shared" si="79"/>
        <v>0</v>
      </c>
      <c r="L125" s="1367"/>
      <c r="M125" s="3855"/>
      <c r="N125" s="3855"/>
      <c r="O125" s="3850"/>
    </row>
    <row r="126" spans="1:17" s="290" customFormat="1" ht="12" hidden="1">
      <c r="A126" s="3846"/>
      <c r="B126" s="1949" t="s">
        <v>130</v>
      </c>
      <c r="C126" s="3858"/>
      <c r="D126" s="1216">
        <f>E126+F126+G126+H126+I126+J126+K126+L126</f>
        <v>0</v>
      </c>
      <c r="E126" s="1950"/>
      <c r="F126" s="1950"/>
      <c r="G126" s="1950"/>
      <c r="H126" s="1950"/>
      <c r="I126" s="1950"/>
      <c r="J126" s="1950"/>
      <c r="K126" s="1950"/>
      <c r="L126" s="1950"/>
      <c r="M126" s="3855"/>
      <c r="N126" s="3855"/>
      <c r="O126" s="3850"/>
    </row>
    <row r="127" spans="1:17" s="290" customFormat="1" ht="13.5" customHeight="1">
      <c r="A127" s="3846"/>
      <c r="B127" s="1951" t="s">
        <v>18</v>
      </c>
      <c r="C127" s="3843" t="s">
        <v>22</v>
      </c>
      <c r="D127" s="1361">
        <f>+D128</f>
        <v>2730860</v>
      </c>
      <c r="E127" s="1361">
        <f t="shared" ref="E127:K127" si="80">+E128</f>
        <v>0</v>
      </c>
      <c r="F127" s="1361">
        <f t="shared" si="80"/>
        <v>10200</v>
      </c>
      <c r="G127" s="1361">
        <f t="shared" si="80"/>
        <v>2720660</v>
      </c>
      <c r="H127" s="1361">
        <f t="shared" si="80"/>
        <v>0</v>
      </c>
      <c r="I127" s="1361">
        <f t="shared" si="80"/>
        <v>0</v>
      </c>
      <c r="J127" s="1361">
        <f t="shared" si="80"/>
        <v>0</v>
      </c>
      <c r="K127" s="1361">
        <f t="shared" si="80"/>
        <v>0</v>
      </c>
      <c r="L127" s="1361"/>
      <c r="M127" s="3855"/>
      <c r="N127" s="3855"/>
      <c r="O127" s="3850"/>
    </row>
    <row r="128" spans="1:17" s="290" customFormat="1" ht="12.75" thickBot="1">
      <c r="A128" s="3847"/>
      <c r="B128" s="1381" t="s">
        <v>34</v>
      </c>
      <c r="C128" s="3844"/>
      <c r="D128" s="1955">
        <f>E128+F128+G128+H128+I128+J128+K128+L128</f>
        <v>2730860</v>
      </c>
      <c r="E128" s="1531">
        <v>0</v>
      </c>
      <c r="F128" s="1383">
        <f>22355-12155</f>
        <v>10200</v>
      </c>
      <c r="G128" s="1383">
        <f>2718650+2010</f>
        <v>2720660</v>
      </c>
      <c r="H128" s="1383"/>
      <c r="I128" s="1383"/>
      <c r="J128" s="1383"/>
      <c r="K128" s="1383"/>
      <c r="L128" s="1383"/>
      <c r="M128" s="3856"/>
      <c r="N128" s="3856"/>
      <c r="O128" s="3851"/>
    </row>
    <row r="129" spans="1:15" s="290" customFormat="1" ht="30" customHeight="1">
      <c r="A129" s="3845" t="s">
        <v>83</v>
      </c>
      <c r="B129" s="452" t="s">
        <v>474</v>
      </c>
      <c r="C129" s="2649" t="s">
        <v>74</v>
      </c>
      <c r="D129" s="2650"/>
      <c r="E129" s="350"/>
      <c r="F129" s="350"/>
      <c r="G129" s="350"/>
      <c r="H129" s="350"/>
      <c r="I129" s="350"/>
      <c r="J129" s="350"/>
      <c r="K129" s="350"/>
      <c r="L129" s="1201"/>
      <c r="M129" s="461"/>
      <c r="N129" s="461"/>
      <c r="O129" s="3849" t="s">
        <v>408</v>
      </c>
    </row>
    <row r="130" spans="1:15" s="290" customFormat="1" ht="12">
      <c r="A130" s="3846"/>
      <c r="B130" s="1376" t="s">
        <v>10</v>
      </c>
      <c r="C130" s="1945"/>
      <c r="D130" s="1281">
        <f>+D131+D134</f>
        <v>300000</v>
      </c>
      <c r="E130" s="1281">
        <f t="shared" ref="E130" si="81">+E131+E134</f>
        <v>0</v>
      </c>
      <c r="F130" s="1281">
        <f t="shared" ref="F130:G130" si="82">+F131+F134</f>
        <v>16000</v>
      </c>
      <c r="G130" s="1281">
        <f t="shared" si="82"/>
        <v>284000</v>
      </c>
      <c r="H130" s="1281">
        <f>+H131+H134</f>
        <v>0</v>
      </c>
      <c r="I130" s="1281">
        <f>+I131+I134</f>
        <v>0</v>
      </c>
      <c r="J130" s="1281">
        <f t="shared" ref="J130:K130" si="83">+J131+J134</f>
        <v>0</v>
      </c>
      <c r="K130" s="1281">
        <f t="shared" si="83"/>
        <v>0</v>
      </c>
      <c r="L130" s="1281"/>
      <c r="M130" s="1377">
        <f>+M131</f>
        <v>300000</v>
      </c>
      <c r="N130" s="1377">
        <f>+N131</f>
        <v>284000</v>
      </c>
      <c r="O130" s="3850"/>
    </row>
    <row r="131" spans="1:15" s="290" customFormat="1" ht="12">
      <c r="A131" s="3846"/>
      <c r="B131" s="1946" t="s">
        <v>23</v>
      </c>
      <c r="C131" s="3860" t="s">
        <v>407</v>
      </c>
      <c r="D131" s="1266">
        <f>D133+D132</f>
        <v>300000</v>
      </c>
      <c r="E131" s="1266">
        <f t="shared" ref="E131" si="84">E133+E132</f>
        <v>0</v>
      </c>
      <c r="F131" s="1266">
        <f t="shared" ref="F131:K131" si="85">F133+F132</f>
        <v>16000</v>
      </c>
      <c r="G131" s="1266">
        <f t="shared" si="85"/>
        <v>284000</v>
      </c>
      <c r="H131" s="1266">
        <f t="shared" si="85"/>
        <v>0</v>
      </c>
      <c r="I131" s="1266">
        <f t="shared" si="85"/>
        <v>0</v>
      </c>
      <c r="J131" s="1266">
        <f t="shared" si="85"/>
        <v>0</v>
      </c>
      <c r="K131" s="1266">
        <f t="shared" si="85"/>
        <v>0</v>
      </c>
      <c r="L131" s="1266"/>
      <c r="M131" s="1238">
        <f>+M133</f>
        <v>300000</v>
      </c>
      <c r="N131" s="1238">
        <f>+N133</f>
        <v>284000</v>
      </c>
      <c r="O131" s="3850"/>
    </row>
    <row r="132" spans="1:15" s="290" customFormat="1" ht="13.5" hidden="1" customHeight="1">
      <c r="A132" s="3846"/>
      <c r="B132" s="1947" t="s">
        <v>31</v>
      </c>
      <c r="C132" s="3858"/>
      <c r="D132" s="773">
        <f>E132+F132+G132+H132+I132+J132+K132+L132</f>
        <v>0</v>
      </c>
      <c r="E132" s="1878"/>
      <c r="F132" s="1948">
        <v>0</v>
      </c>
      <c r="G132" s="1948">
        <v>0</v>
      </c>
      <c r="H132" s="1948">
        <v>0</v>
      </c>
      <c r="I132" s="1948">
        <v>0</v>
      </c>
      <c r="J132" s="1927"/>
      <c r="K132" s="1927"/>
      <c r="L132" s="1927"/>
      <c r="M132" s="454" t="s">
        <v>53</v>
      </c>
      <c r="N132" s="454" t="s">
        <v>53</v>
      </c>
      <c r="O132" s="3850"/>
    </row>
    <row r="133" spans="1:15" s="290" customFormat="1" ht="13.5" customHeight="1" thickBot="1">
      <c r="A133" s="3846"/>
      <c r="B133" s="1949" t="s">
        <v>113</v>
      </c>
      <c r="C133" s="3898"/>
      <c r="D133" s="773">
        <f>E133+F133+G133+H133+I133+J133+K133+L133</f>
        <v>300000</v>
      </c>
      <c r="E133" s="1531">
        <v>0</v>
      </c>
      <c r="F133" s="1986">
        <f>50000-34000</f>
        <v>16000</v>
      </c>
      <c r="G133" s="1986">
        <f>250000+34000</f>
        <v>284000</v>
      </c>
      <c r="H133" s="1986"/>
      <c r="I133" s="1986"/>
      <c r="J133" s="1986"/>
      <c r="K133" s="1986"/>
      <c r="L133" s="1986"/>
      <c r="M133" s="1987">
        <f>SUM(F133:K133)</f>
        <v>300000</v>
      </c>
      <c r="N133" s="1378">
        <f>SUM(G133:L133)</f>
        <v>284000</v>
      </c>
      <c r="O133" s="3850"/>
    </row>
    <row r="134" spans="1:15" s="290" customFormat="1" ht="13.5" hidden="1" customHeight="1">
      <c r="A134" s="3846"/>
      <c r="B134" s="1951" t="s">
        <v>18</v>
      </c>
      <c r="C134" s="3843" t="s">
        <v>22</v>
      </c>
      <c r="D134" s="1361">
        <f>+D135</f>
        <v>0</v>
      </c>
      <c r="E134" s="1953">
        <f t="shared" ref="E134:N134" si="86">+E135</f>
        <v>0</v>
      </c>
      <c r="F134" s="1933">
        <f t="shared" si="86"/>
        <v>0</v>
      </c>
      <c r="G134" s="1933">
        <f t="shared" si="86"/>
        <v>0</v>
      </c>
      <c r="H134" s="1933">
        <f t="shared" si="86"/>
        <v>0</v>
      </c>
      <c r="I134" s="1933">
        <f t="shared" si="86"/>
        <v>0</v>
      </c>
      <c r="J134" s="1933">
        <f t="shared" si="86"/>
        <v>0</v>
      </c>
      <c r="K134" s="1933">
        <f t="shared" si="86"/>
        <v>0</v>
      </c>
      <c r="L134" s="1933"/>
      <c r="M134" s="1934" t="str">
        <f t="shared" si="86"/>
        <v>x</v>
      </c>
      <c r="N134" s="1934" t="str">
        <f t="shared" si="86"/>
        <v>x</v>
      </c>
      <c r="O134" s="3850"/>
    </row>
    <row r="135" spans="1:15" s="290" customFormat="1" ht="13.5" hidden="1" customHeight="1">
      <c r="A135" s="3846"/>
      <c r="B135" s="1949" t="s">
        <v>34</v>
      </c>
      <c r="C135" s="3853"/>
      <c r="D135" s="773">
        <f>E135+F135+G135+H135+I135+J135+K135+L135</f>
        <v>0</v>
      </c>
      <c r="E135" s="1970"/>
      <c r="F135" s="1379">
        <v>0</v>
      </c>
      <c r="G135" s="1379">
        <v>0</v>
      </c>
      <c r="H135" s="1379"/>
      <c r="I135" s="1379"/>
      <c r="J135" s="1935"/>
      <c r="K135" s="1935"/>
      <c r="L135" s="1935"/>
      <c r="M135" s="1936" t="s">
        <v>53</v>
      </c>
      <c r="N135" s="1936" t="s">
        <v>53</v>
      </c>
      <c r="O135" s="3850"/>
    </row>
    <row r="136" spans="1:15" s="290" customFormat="1" ht="13.5" hidden="1" customHeight="1">
      <c r="A136" s="3846"/>
      <c r="B136" s="1376" t="s">
        <v>21</v>
      </c>
      <c r="C136" s="1952"/>
      <c r="D136" s="1276">
        <f>D139+D137</f>
        <v>0</v>
      </c>
      <c r="E136" s="1954">
        <f>E139+E137</f>
        <v>0</v>
      </c>
      <c r="F136" s="1276">
        <f t="shared" ref="F136:G136" si="87">F139+F137</f>
        <v>0</v>
      </c>
      <c r="G136" s="1276">
        <f t="shared" si="87"/>
        <v>0</v>
      </c>
      <c r="H136" s="1276">
        <f>H139+H137</f>
        <v>0</v>
      </c>
      <c r="I136" s="1276">
        <f>I139+I137</f>
        <v>0</v>
      </c>
      <c r="J136" s="1276">
        <f t="shared" ref="J136:K136" si="88">J139+J137</f>
        <v>0</v>
      </c>
      <c r="K136" s="1276">
        <f t="shared" si="88"/>
        <v>0</v>
      </c>
      <c r="L136" s="1276"/>
      <c r="M136" s="3859" t="s">
        <v>53</v>
      </c>
      <c r="N136" s="3859" t="s">
        <v>53</v>
      </c>
      <c r="O136" s="3850"/>
    </row>
    <row r="137" spans="1:15" s="290" customFormat="1" ht="13.5" hidden="1" customHeight="1">
      <c r="A137" s="3846"/>
      <c r="B137" s="1380" t="s">
        <v>23</v>
      </c>
      <c r="C137" s="3860" t="s">
        <v>407</v>
      </c>
      <c r="D137" s="1367">
        <f>+D138</f>
        <v>0</v>
      </c>
      <c r="E137" s="1988">
        <f t="shared" ref="E137:K137" si="89">+E138</f>
        <v>0</v>
      </c>
      <c r="F137" s="1367">
        <f t="shared" si="89"/>
        <v>0</v>
      </c>
      <c r="G137" s="1367">
        <f t="shared" si="89"/>
        <v>0</v>
      </c>
      <c r="H137" s="1367">
        <f t="shared" si="89"/>
        <v>0</v>
      </c>
      <c r="I137" s="1367">
        <f t="shared" si="89"/>
        <v>0</v>
      </c>
      <c r="J137" s="1367">
        <f t="shared" si="89"/>
        <v>0</v>
      </c>
      <c r="K137" s="1367">
        <f t="shared" si="89"/>
        <v>0</v>
      </c>
      <c r="L137" s="1367"/>
      <c r="M137" s="3855"/>
      <c r="N137" s="3855"/>
      <c r="O137" s="3850"/>
    </row>
    <row r="138" spans="1:15" s="290" customFormat="1" ht="13.5" hidden="1" customHeight="1">
      <c r="A138" s="3846"/>
      <c r="B138" s="1949" t="s">
        <v>130</v>
      </c>
      <c r="C138" s="3858"/>
      <c r="D138" s="773">
        <f>E138+F138+G138+H138+I138+J138+K138+L138</f>
        <v>0</v>
      </c>
      <c r="E138" s="1970"/>
      <c r="F138" s="1950"/>
      <c r="G138" s="1950"/>
      <c r="H138" s="1950"/>
      <c r="I138" s="1950"/>
      <c r="J138" s="1950"/>
      <c r="K138" s="1950"/>
      <c r="L138" s="1950"/>
      <c r="M138" s="3855"/>
      <c r="N138" s="3855"/>
      <c r="O138" s="3850"/>
    </row>
    <row r="139" spans="1:15" s="290" customFormat="1" ht="13.5" hidden="1" customHeight="1">
      <c r="A139" s="3846"/>
      <c r="B139" s="1951" t="s">
        <v>18</v>
      </c>
      <c r="C139" s="3843" t="s">
        <v>22</v>
      </c>
      <c r="D139" s="1361">
        <f>+D140</f>
        <v>0</v>
      </c>
      <c r="E139" s="1953">
        <f t="shared" ref="E139:K139" si="90">+E140</f>
        <v>0</v>
      </c>
      <c r="F139" s="1361">
        <f t="shared" si="90"/>
        <v>0</v>
      </c>
      <c r="G139" s="1361">
        <f t="shared" si="90"/>
        <v>0</v>
      </c>
      <c r="H139" s="1361">
        <f t="shared" si="90"/>
        <v>0</v>
      </c>
      <c r="I139" s="1361">
        <f t="shared" si="90"/>
        <v>0</v>
      </c>
      <c r="J139" s="1361">
        <f t="shared" si="90"/>
        <v>0</v>
      </c>
      <c r="K139" s="1361">
        <f t="shared" si="90"/>
        <v>0</v>
      </c>
      <c r="L139" s="1361"/>
      <c r="M139" s="3855"/>
      <c r="N139" s="3855"/>
      <c r="O139" s="3850"/>
    </row>
    <row r="140" spans="1:15" s="290" customFormat="1" ht="13.5" hidden="1" customHeight="1" thickBot="1">
      <c r="A140" s="3847"/>
      <c r="B140" s="1381" t="s">
        <v>34</v>
      </c>
      <c r="C140" s="3844"/>
      <c r="D140" s="1955">
        <f>E140+F140+G140+H140+I140+J140+K140+L140</f>
        <v>0</v>
      </c>
      <c r="E140" s="1956"/>
      <c r="F140" s="1383">
        <v>0</v>
      </c>
      <c r="G140" s="1383">
        <v>0</v>
      </c>
      <c r="H140" s="1383"/>
      <c r="I140" s="1383"/>
      <c r="J140" s="1383"/>
      <c r="K140" s="1383"/>
      <c r="L140" s="1383"/>
      <c r="M140" s="3856"/>
      <c r="N140" s="3856"/>
      <c r="O140" s="3851"/>
    </row>
    <row r="141" spans="1:15" s="290" customFormat="1" ht="39.75" customHeight="1">
      <c r="A141" s="3845" t="s">
        <v>84</v>
      </c>
      <c r="B141" s="452" t="s">
        <v>619</v>
      </c>
      <c r="C141" s="2649" t="s">
        <v>74</v>
      </c>
      <c r="D141" s="2650"/>
      <c r="E141" s="350"/>
      <c r="F141" s="350"/>
      <c r="G141" s="350"/>
      <c r="H141" s="350"/>
      <c r="I141" s="350"/>
      <c r="J141" s="350"/>
      <c r="K141" s="350"/>
      <c r="L141" s="1201"/>
      <c r="M141" s="461"/>
      <c r="N141" s="461"/>
      <c r="O141" s="3849" t="s">
        <v>541</v>
      </c>
    </row>
    <row r="142" spans="1:15" s="290" customFormat="1" ht="13.5" customHeight="1">
      <c r="A142" s="3846"/>
      <c r="B142" s="1376" t="s">
        <v>10</v>
      </c>
      <c r="C142" s="1945"/>
      <c r="D142" s="1281">
        <f>+D143+D147</f>
        <v>3503619</v>
      </c>
      <c r="E142" s="1281">
        <f t="shared" ref="E142:G142" si="91">+E143+E147</f>
        <v>0</v>
      </c>
      <c r="F142" s="1281">
        <f t="shared" si="91"/>
        <v>41820</v>
      </c>
      <c r="G142" s="1281">
        <f t="shared" si="91"/>
        <v>343853</v>
      </c>
      <c r="H142" s="1281">
        <f>+H143+H147</f>
        <v>3117946</v>
      </c>
      <c r="I142" s="1281">
        <f>+I143+I147</f>
        <v>0</v>
      </c>
      <c r="J142" s="1281">
        <f t="shared" ref="J142:K142" si="92">+J143+J147</f>
        <v>0</v>
      </c>
      <c r="K142" s="1281">
        <f t="shared" si="92"/>
        <v>0</v>
      </c>
      <c r="L142" s="1281"/>
      <c r="M142" s="1377">
        <f>+M143</f>
        <v>606910</v>
      </c>
      <c r="N142" s="1377">
        <f>+N143</f>
        <v>606910</v>
      </c>
      <c r="O142" s="3850"/>
    </row>
    <row r="143" spans="1:15" s="290" customFormat="1" ht="13.5" customHeight="1">
      <c r="A143" s="3846"/>
      <c r="B143" s="1946" t="s">
        <v>23</v>
      </c>
      <c r="C143" s="3221"/>
      <c r="D143" s="1266">
        <f>D145+D144+D146</f>
        <v>1052313</v>
      </c>
      <c r="E143" s="1266">
        <f t="shared" ref="E143:L143" si="93">E145+E144+E146</f>
        <v>0</v>
      </c>
      <c r="F143" s="1266">
        <f t="shared" si="93"/>
        <v>17170</v>
      </c>
      <c r="G143" s="1266">
        <f t="shared" si="93"/>
        <v>87332</v>
      </c>
      <c r="H143" s="1266">
        <f t="shared" si="93"/>
        <v>947811</v>
      </c>
      <c r="I143" s="1266">
        <f t="shared" si="93"/>
        <v>0</v>
      </c>
      <c r="J143" s="1266">
        <f t="shared" si="93"/>
        <v>0</v>
      </c>
      <c r="K143" s="1266">
        <f t="shared" si="93"/>
        <v>0</v>
      </c>
      <c r="L143" s="1266">
        <f t="shared" si="93"/>
        <v>0</v>
      </c>
      <c r="M143" s="1238">
        <f>+M145</f>
        <v>606910</v>
      </c>
      <c r="N143" s="1238">
        <f>+N145</f>
        <v>606910</v>
      </c>
      <c r="O143" s="3850"/>
    </row>
    <row r="144" spans="1:15" s="290" customFormat="1" ht="12">
      <c r="A144" s="3846"/>
      <c r="B144" s="1947" t="s">
        <v>31</v>
      </c>
      <c r="C144" s="3273" t="s">
        <v>22</v>
      </c>
      <c r="D144" s="1216">
        <f>E144+F144+G144+H144+I144+J144+K144+L144</f>
        <v>12820</v>
      </c>
      <c r="E144" s="1249"/>
      <c r="F144" s="1948">
        <v>12820</v>
      </c>
      <c r="G144" s="1948">
        <v>0</v>
      </c>
      <c r="H144" s="1948">
        <v>0</v>
      </c>
      <c r="I144" s="1948">
        <v>0</v>
      </c>
      <c r="J144" s="1927"/>
      <c r="K144" s="1927"/>
      <c r="L144" s="1927"/>
      <c r="M144" s="454" t="s">
        <v>53</v>
      </c>
      <c r="N144" s="454" t="s">
        <v>53</v>
      </c>
      <c r="O144" s="3850"/>
    </row>
    <row r="145" spans="1:76" s="290" customFormat="1" ht="12">
      <c r="A145" s="3846"/>
      <c r="B145" s="1949" t="s">
        <v>113</v>
      </c>
      <c r="C145" s="3274" t="s">
        <v>151</v>
      </c>
      <c r="D145" s="1216">
        <f>E145+F145+G145+H145+I145+J145+K145+L145</f>
        <v>606910</v>
      </c>
      <c r="E145" s="1249"/>
      <c r="F145" s="1950">
        <v>0</v>
      </c>
      <c r="G145" s="1950">
        <f>308599-92006-174529</f>
        <v>42064</v>
      </c>
      <c r="H145" s="1950">
        <f>298311+92006+174529</f>
        <v>564846</v>
      </c>
      <c r="I145" s="1950"/>
      <c r="J145" s="1950"/>
      <c r="K145" s="1950"/>
      <c r="L145" s="1950"/>
      <c r="M145" s="1378">
        <f>SUM(F145:K145)</f>
        <v>606910</v>
      </c>
      <c r="N145" s="1378">
        <f>SUM(G145:L145)</f>
        <v>606910</v>
      </c>
      <c r="O145" s="3850"/>
    </row>
    <row r="146" spans="1:76" s="290" customFormat="1" ht="12.75" customHeight="1">
      <c r="A146" s="3846"/>
      <c r="B146" s="1949" t="s">
        <v>538</v>
      </c>
      <c r="C146" s="3843" t="s">
        <v>22</v>
      </c>
      <c r="D146" s="1216">
        <f>E146+F146+G146+H146+I146+J146+K146+L146</f>
        <v>432583</v>
      </c>
      <c r="E146" s="1249"/>
      <c r="F146" s="1950">
        <v>4350</v>
      </c>
      <c r="G146" s="1950">
        <f>222704-64948-112488</f>
        <v>45268</v>
      </c>
      <c r="H146" s="1950">
        <f>205529+64948+112488</f>
        <v>382965</v>
      </c>
      <c r="I146" s="1950"/>
      <c r="J146" s="1950"/>
      <c r="K146" s="1950"/>
      <c r="L146" s="1957"/>
      <c r="M146" s="1958"/>
      <c r="N146" s="1958"/>
      <c r="O146" s="3850"/>
    </row>
    <row r="147" spans="1:76" s="290" customFormat="1" ht="13.5" customHeight="1">
      <c r="A147" s="3846"/>
      <c r="B147" s="1951" t="s">
        <v>18</v>
      </c>
      <c r="C147" s="3864"/>
      <c r="D147" s="1361">
        <f>+D148</f>
        <v>2451306</v>
      </c>
      <c r="E147" s="1361">
        <f t="shared" ref="E147:N147" si="94">+E148</f>
        <v>0</v>
      </c>
      <c r="F147" s="1361">
        <f t="shared" si="94"/>
        <v>24650</v>
      </c>
      <c r="G147" s="1361">
        <f t="shared" si="94"/>
        <v>256521</v>
      </c>
      <c r="H147" s="1361">
        <f t="shared" si="94"/>
        <v>2170135</v>
      </c>
      <c r="I147" s="1361">
        <f t="shared" si="94"/>
        <v>0</v>
      </c>
      <c r="J147" s="1361">
        <f t="shared" si="94"/>
        <v>0</v>
      </c>
      <c r="K147" s="1361">
        <f t="shared" si="94"/>
        <v>0</v>
      </c>
      <c r="L147" s="1933"/>
      <c r="M147" s="1934" t="str">
        <f t="shared" si="94"/>
        <v>x</v>
      </c>
      <c r="N147" s="1934" t="str">
        <f t="shared" si="94"/>
        <v>x</v>
      </c>
      <c r="O147" s="3850"/>
    </row>
    <row r="148" spans="1:76" s="290" customFormat="1" ht="13.5" customHeight="1">
      <c r="A148" s="3846"/>
      <c r="B148" s="1949" t="s">
        <v>34</v>
      </c>
      <c r="C148" s="3853"/>
      <c r="D148" s="1216">
        <f>E148+F148+G148+H148+I148+J148+K148+L148</f>
        <v>2451306</v>
      </c>
      <c r="E148" s="1249">
        <v>0</v>
      </c>
      <c r="F148" s="1379">
        <v>24650</v>
      </c>
      <c r="G148" s="1379">
        <f>1261991-368039-637431</f>
        <v>256521</v>
      </c>
      <c r="H148" s="1379">
        <f>1164665+368039+637431</f>
        <v>2170135</v>
      </c>
      <c r="I148" s="1379"/>
      <c r="J148" s="1935"/>
      <c r="K148" s="1935"/>
      <c r="L148" s="1935"/>
      <c r="M148" s="1936" t="s">
        <v>53</v>
      </c>
      <c r="N148" s="1936" t="s">
        <v>53</v>
      </c>
      <c r="O148" s="3850"/>
    </row>
    <row r="149" spans="1:76" s="290" customFormat="1" ht="13.5" customHeight="1">
      <c r="A149" s="3846"/>
      <c r="B149" s="1376" t="s">
        <v>21</v>
      </c>
      <c r="C149" s="1952"/>
      <c r="D149" s="1276">
        <f>D153+D150</f>
        <v>3490799</v>
      </c>
      <c r="E149" s="1276">
        <f t="shared" ref="E149:G149" si="95">E153+E150</f>
        <v>0</v>
      </c>
      <c r="F149" s="1276">
        <f t="shared" si="95"/>
        <v>0</v>
      </c>
      <c r="G149" s="1276">
        <f t="shared" si="95"/>
        <v>261593</v>
      </c>
      <c r="H149" s="1276">
        <f>H153+H150</f>
        <v>3229206</v>
      </c>
      <c r="I149" s="1276">
        <f>I153+I150</f>
        <v>0</v>
      </c>
      <c r="J149" s="1276">
        <f t="shared" ref="J149:K149" si="96">J153+J150</f>
        <v>0</v>
      </c>
      <c r="K149" s="1276">
        <f t="shared" si="96"/>
        <v>0</v>
      </c>
      <c r="L149" s="1276"/>
      <c r="M149" s="3859" t="s">
        <v>53</v>
      </c>
      <c r="N149" s="3859" t="s">
        <v>53</v>
      </c>
      <c r="O149" s="3850"/>
    </row>
    <row r="150" spans="1:76" s="290" customFormat="1" ht="13.5" customHeight="1">
      <c r="A150" s="3846"/>
      <c r="B150" s="1380" t="s">
        <v>23</v>
      </c>
      <c r="C150" s="3860" t="s">
        <v>151</v>
      </c>
      <c r="D150" s="1367">
        <f>+D151+D152</f>
        <v>1039493</v>
      </c>
      <c r="E150" s="1367">
        <f t="shared" ref="E150:K150" si="97">+E151+E152</f>
        <v>0</v>
      </c>
      <c r="F150" s="1367">
        <f t="shared" si="97"/>
        <v>0</v>
      </c>
      <c r="G150" s="1367">
        <f t="shared" si="97"/>
        <v>56012</v>
      </c>
      <c r="H150" s="1367">
        <f t="shared" si="97"/>
        <v>983481</v>
      </c>
      <c r="I150" s="1367">
        <f t="shared" si="97"/>
        <v>0</v>
      </c>
      <c r="J150" s="1367">
        <f t="shared" si="97"/>
        <v>0</v>
      </c>
      <c r="K150" s="1367">
        <f t="shared" si="97"/>
        <v>0</v>
      </c>
      <c r="L150" s="1367"/>
      <c r="M150" s="3855"/>
      <c r="N150" s="3855"/>
      <c r="O150" s="3850"/>
    </row>
    <row r="151" spans="1:76" s="290" customFormat="1" ht="12">
      <c r="A151" s="3846"/>
      <c r="B151" s="1949" t="s">
        <v>138</v>
      </c>
      <c r="C151" s="3898"/>
      <c r="D151" s="1216">
        <f>E151+F151+G151+H151+I151+J151+K151+L151</f>
        <v>606910</v>
      </c>
      <c r="E151" s="1249">
        <v>0</v>
      </c>
      <c r="F151" s="1950"/>
      <c r="G151" s="1950">
        <f>308599-173062-115804</f>
        <v>19733</v>
      </c>
      <c r="H151" s="1950">
        <f>298311+173062+115804</f>
        <v>587177</v>
      </c>
      <c r="I151" s="1950"/>
      <c r="J151" s="1950"/>
      <c r="K151" s="1950"/>
      <c r="L151" s="1950"/>
      <c r="M151" s="3855"/>
      <c r="N151" s="3855"/>
      <c r="O151" s="3850"/>
    </row>
    <row r="152" spans="1:76" s="290" customFormat="1" ht="12">
      <c r="A152" s="3846"/>
      <c r="B152" s="1949" t="s">
        <v>538</v>
      </c>
      <c r="C152" s="3864" t="s">
        <v>22</v>
      </c>
      <c r="D152" s="1216">
        <f>E152+F152+G152+H152+I152+J152+K152+L152</f>
        <v>432583</v>
      </c>
      <c r="E152" s="1249"/>
      <c r="F152" s="1950"/>
      <c r="G152" s="1950">
        <f>227054-70304-120471</f>
        <v>36279</v>
      </c>
      <c r="H152" s="1950">
        <f>205529+70304+120471</f>
        <v>396304</v>
      </c>
      <c r="I152" s="1950"/>
      <c r="J152" s="1950"/>
      <c r="K152" s="1950"/>
      <c r="L152" s="1950"/>
      <c r="M152" s="3855"/>
      <c r="N152" s="3855"/>
      <c r="O152" s="3850"/>
    </row>
    <row r="153" spans="1:76" ht="14.25" customHeight="1">
      <c r="A153" s="3846"/>
      <c r="B153" s="1951" t="s">
        <v>18</v>
      </c>
      <c r="C153" s="3864"/>
      <c r="D153" s="1361">
        <f>+D154</f>
        <v>2451306</v>
      </c>
      <c r="E153" s="1361">
        <f t="shared" ref="E153:K153" si="98">+E154</f>
        <v>0</v>
      </c>
      <c r="F153" s="1361">
        <f t="shared" si="98"/>
        <v>0</v>
      </c>
      <c r="G153" s="1361">
        <f t="shared" si="98"/>
        <v>205581</v>
      </c>
      <c r="H153" s="1361">
        <f t="shared" si="98"/>
        <v>2245725</v>
      </c>
      <c r="I153" s="1361">
        <f t="shared" si="98"/>
        <v>0</v>
      </c>
      <c r="J153" s="1361">
        <f t="shared" si="98"/>
        <v>0</v>
      </c>
      <c r="K153" s="1361">
        <f t="shared" si="98"/>
        <v>0</v>
      </c>
      <c r="L153" s="1361"/>
      <c r="M153" s="3855"/>
      <c r="N153" s="3855"/>
      <c r="O153" s="3850"/>
      <c r="P153" s="290"/>
      <c r="Q153" s="290"/>
      <c r="R153" s="290"/>
      <c r="S153" s="290"/>
      <c r="T153" s="290"/>
      <c r="U153" s="290"/>
      <c r="V153" s="290"/>
      <c r="W153" s="290"/>
      <c r="X153" s="290"/>
      <c r="Y153" s="290"/>
      <c r="Z153" s="290"/>
      <c r="AA153" s="290"/>
      <c r="AB153" s="290"/>
      <c r="AC153" s="290"/>
      <c r="AD153" s="290"/>
      <c r="AE153" s="290"/>
      <c r="AF153" s="290"/>
      <c r="AG153" s="290"/>
      <c r="AH153" s="290"/>
      <c r="AI153" s="290"/>
      <c r="AJ153" s="290"/>
      <c r="AK153" s="290"/>
      <c r="AL153" s="290"/>
      <c r="AM153" s="290"/>
      <c r="AN153" s="290"/>
      <c r="AO153" s="290"/>
      <c r="AP153" s="290"/>
      <c r="AQ153" s="290"/>
      <c r="AR153" s="290"/>
      <c r="AS153" s="290"/>
      <c r="AT153" s="290"/>
      <c r="AU153" s="290"/>
      <c r="AV153" s="290"/>
      <c r="AW153" s="290"/>
      <c r="AX153" s="290"/>
      <c r="AY153" s="290"/>
      <c r="AZ153" s="290"/>
      <c r="BA153" s="290"/>
      <c r="BB153" s="290"/>
      <c r="BC153" s="290"/>
      <c r="BD153" s="290"/>
      <c r="BE153" s="290"/>
      <c r="BF153" s="290"/>
      <c r="BG153" s="290"/>
      <c r="BH153" s="290"/>
      <c r="BI153" s="290"/>
      <c r="BJ153" s="290"/>
      <c r="BK153" s="290"/>
      <c r="BL153" s="290"/>
      <c r="BM153" s="290"/>
      <c r="BN153" s="290"/>
      <c r="BO153" s="290"/>
      <c r="BP153" s="290"/>
      <c r="BQ153" s="290"/>
      <c r="BR153" s="290"/>
      <c r="BS153" s="290"/>
      <c r="BT153" s="290"/>
      <c r="BU153" s="290"/>
      <c r="BV153" s="290"/>
      <c r="BW153" s="290"/>
      <c r="BX153" s="290"/>
    </row>
    <row r="154" spans="1:76" ht="13.5" customHeight="1" thickBot="1">
      <c r="A154" s="3847"/>
      <c r="B154" s="1381" t="s">
        <v>34</v>
      </c>
      <c r="C154" s="3844"/>
      <c r="D154" s="1570">
        <f>E154+F154+G154+H154+I154+J154+K154+L154</f>
        <v>2451306</v>
      </c>
      <c r="E154" s="1531">
        <v>0</v>
      </c>
      <c r="F154" s="1383">
        <v>0</v>
      </c>
      <c r="G154" s="1383">
        <f>1286641-398390-682670</f>
        <v>205581</v>
      </c>
      <c r="H154" s="1383">
        <f>1164665+398390+682670</f>
        <v>2245725</v>
      </c>
      <c r="I154" s="1383"/>
      <c r="J154" s="1383"/>
      <c r="K154" s="1383"/>
      <c r="L154" s="1383"/>
      <c r="M154" s="3856"/>
      <c r="N154" s="3856"/>
      <c r="O154" s="3851"/>
    </row>
    <row r="155" spans="1:76" ht="28.5" customHeight="1">
      <c r="A155" s="3845" t="s">
        <v>85</v>
      </c>
      <c r="B155" s="452" t="s">
        <v>694</v>
      </c>
      <c r="C155" s="2649" t="s">
        <v>101</v>
      </c>
      <c r="D155" s="2650"/>
      <c r="E155" s="350"/>
      <c r="F155" s="350"/>
      <c r="G155" s="350"/>
      <c r="H155" s="350"/>
      <c r="I155" s="350"/>
      <c r="J155" s="350"/>
      <c r="K155" s="350"/>
      <c r="L155" s="1201"/>
      <c r="M155" s="444"/>
      <c r="N155" s="444"/>
      <c r="O155" s="3849" t="s">
        <v>150</v>
      </c>
    </row>
    <row r="156" spans="1:76" ht="14.25" customHeight="1">
      <c r="A156" s="3846"/>
      <c r="B156" s="1376" t="s">
        <v>10</v>
      </c>
      <c r="C156" s="1945"/>
      <c r="D156" s="1281">
        <f>+D157+D160</f>
        <v>5273902</v>
      </c>
      <c r="E156" s="1281">
        <f t="shared" ref="E156:G156" si="99">+E157+E160</f>
        <v>6055</v>
      </c>
      <c r="F156" s="1281">
        <f t="shared" si="99"/>
        <v>1200</v>
      </c>
      <c r="G156" s="1281">
        <f t="shared" si="99"/>
        <v>1388715</v>
      </c>
      <c r="H156" s="1281">
        <f>+H157+H160</f>
        <v>2671444</v>
      </c>
      <c r="I156" s="1281">
        <f>+I157+I160</f>
        <v>1206488</v>
      </c>
      <c r="J156" s="1281">
        <f t="shared" ref="J156:K156" si="100">+J157+J160</f>
        <v>0</v>
      </c>
      <c r="K156" s="1281">
        <f t="shared" si="100"/>
        <v>0</v>
      </c>
      <c r="L156" s="1281"/>
      <c r="M156" s="1377">
        <f>+M157</f>
        <v>1473150</v>
      </c>
      <c r="N156" s="1377">
        <f>+N157</f>
        <v>1473150</v>
      </c>
      <c r="O156" s="3850"/>
    </row>
    <row r="157" spans="1:76" ht="12" customHeight="1">
      <c r="A157" s="3846"/>
      <c r="B157" s="1946" t="s">
        <v>23</v>
      </c>
      <c r="C157" s="3221"/>
      <c r="D157" s="1266">
        <f>D159+D158</f>
        <v>1480405</v>
      </c>
      <c r="E157" s="1266">
        <f t="shared" ref="E157:K157" si="101">E159+E158</f>
        <v>6055</v>
      </c>
      <c r="F157" s="1266">
        <f t="shared" si="101"/>
        <v>1200</v>
      </c>
      <c r="G157" s="1266">
        <f t="shared" si="101"/>
        <v>370622</v>
      </c>
      <c r="H157" s="1266">
        <f t="shared" si="101"/>
        <v>778267</v>
      </c>
      <c r="I157" s="1266">
        <f t="shared" si="101"/>
        <v>324261</v>
      </c>
      <c r="J157" s="1266">
        <f t="shared" si="101"/>
        <v>0</v>
      </c>
      <c r="K157" s="1266">
        <f t="shared" si="101"/>
        <v>0</v>
      </c>
      <c r="L157" s="1266"/>
      <c r="M157" s="1238">
        <f>+M159</f>
        <v>1473150</v>
      </c>
      <c r="N157" s="1238">
        <f>+N159</f>
        <v>1473150</v>
      </c>
      <c r="O157" s="3850"/>
    </row>
    <row r="158" spans="1:76" ht="12" customHeight="1">
      <c r="A158" s="3846"/>
      <c r="B158" s="1947" t="s">
        <v>31</v>
      </c>
      <c r="C158" s="3220" t="s">
        <v>22</v>
      </c>
      <c r="D158" s="1216">
        <f>E158+F158+G158+H158+I158+J158+K158+L158</f>
        <v>7255</v>
      </c>
      <c r="E158" s="1249">
        <f>2279+3776</f>
        <v>6055</v>
      </c>
      <c r="F158" s="1948">
        <v>1200</v>
      </c>
      <c r="G158" s="1948">
        <v>0</v>
      </c>
      <c r="H158" s="1948">
        <v>0</v>
      </c>
      <c r="I158" s="1948">
        <v>0</v>
      </c>
      <c r="J158" s="1927"/>
      <c r="K158" s="1927"/>
      <c r="L158" s="1927"/>
      <c r="M158" s="454" t="s">
        <v>53</v>
      </c>
      <c r="N158" s="454" t="s">
        <v>53</v>
      </c>
      <c r="O158" s="3850"/>
    </row>
    <row r="159" spans="1:76" ht="14.25" customHeight="1">
      <c r="A159" s="3846"/>
      <c r="B159" s="1949" t="s">
        <v>113</v>
      </c>
      <c r="C159" s="3222" t="s">
        <v>151</v>
      </c>
      <c r="D159" s="1216">
        <f>E159+F159+G159+H159+I159+J159+K159+L159</f>
        <v>1473150</v>
      </c>
      <c r="E159" s="1249"/>
      <c r="F159" s="1950">
        <v>0</v>
      </c>
      <c r="G159" s="1950">
        <f>453927-83305</f>
        <v>370622</v>
      </c>
      <c r="H159" s="1950">
        <f>614097+164170</f>
        <v>778267</v>
      </c>
      <c r="I159" s="1950">
        <f>278912+45349</f>
        <v>324261</v>
      </c>
      <c r="J159" s="1950"/>
      <c r="K159" s="1950"/>
      <c r="L159" s="1950"/>
      <c r="M159" s="1378">
        <f>SUM(F159:K159)</f>
        <v>1473150</v>
      </c>
      <c r="N159" s="1378">
        <f>SUM(G159:L159)</f>
        <v>1473150</v>
      </c>
      <c r="O159" s="3850"/>
    </row>
    <row r="160" spans="1:76" ht="12">
      <c r="A160" s="3846"/>
      <c r="B160" s="1951" t="s">
        <v>18</v>
      </c>
      <c r="C160" s="3843" t="s">
        <v>22</v>
      </c>
      <c r="D160" s="1361">
        <f>+D161</f>
        <v>3793497</v>
      </c>
      <c r="E160" s="1361">
        <f t="shared" ref="E160:N160" si="102">+E161</f>
        <v>0</v>
      </c>
      <c r="F160" s="1361">
        <f t="shared" si="102"/>
        <v>0</v>
      </c>
      <c r="G160" s="1361">
        <f t="shared" si="102"/>
        <v>1018093</v>
      </c>
      <c r="H160" s="1361">
        <f t="shared" si="102"/>
        <v>1893177</v>
      </c>
      <c r="I160" s="1361">
        <f t="shared" si="102"/>
        <v>882227</v>
      </c>
      <c r="J160" s="1361">
        <f t="shared" si="102"/>
        <v>0</v>
      </c>
      <c r="K160" s="1361">
        <f t="shared" si="102"/>
        <v>0</v>
      </c>
      <c r="L160" s="1933"/>
      <c r="M160" s="1934" t="str">
        <f t="shared" si="102"/>
        <v>x</v>
      </c>
      <c r="N160" s="1934" t="str">
        <f t="shared" si="102"/>
        <v>x</v>
      </c>
      <c r="O160" s="3850"/>
    </row>
    <row r="161" spans="1:15" ht="12">
      <c r="A161" s="3846"/>
      <c r="B161" s="1949" t="s">
        <v>34</v>
      </c>
      <c r="C161" s="3853"/>
      <c r="D161" s="1216">
        <f>E161+F161+G161+H161+I161+J161+K161+L161</f>
        <v>3793497</v>
      </c>
      <c r="E161" s="1249">
        <v>0</v>
      </c>
      <c r="F161" s="1379">
        <v>0</v>
      </c>
      <c r="G161" s="1379">
        <f>1197070-178977</f>
        <v>1018093</v>
      </c>
      <c r="H161" s="1379">
        <f>1496559+396618</f>
        <v>1893177</v>
      </c>
      <c r="I161" s="1379">
        <f>729656+152571</f>
        <v>882227</v>
      </c>
      <c r="J161" s="1935"/>
      <c r="K161" s="1935"/>
      <c r="L161" s="1935"/>
      <c r="M161" s="1936" t="s">
        <v>53</v>
      </c>
      <c r="N161" s="1936" t="s">
        <v>53</v>
      </c>
      <c r="O161" s="3850"/>
    </row>
    <row r="162" spans="1:15" ht="13.5" customHeight="1">
      <c r="A162" s="3846"/>
      <c r="B162" s="1376" t="s">
        <v>21</v>
      </c>
      <c r="C162" s="1952"/>
      <c r="D162" s="1276">
        <f>D165+D163</f>
        <v>4604546</v>
      </c>
      <c r="E162" s="1276">
        <f t="shared" ref="E162:G162" si="103">E165+E163</f>
        <v>0</v>
      </c>
      <c r="F162" s="1276">
        <f t="shared" si="103"/>
        <v>0</v>
      </c>
      <c r="G162" s="1276">
        <f t="shared" si="103"/>
        <v>1021307</v>
      </c>
      <c r="H162" s="1276">
        <f>H165+H163</f>
        <v>2197354</v>
      </c>
      <c r="I162" s="1276">
        <f>I165+I163</f>
        <v>1385885</v>
      </c>
      <c r="J162" s="1276">
        <f t="shared" ref="J162:K162" si="104">J165+J163</f>
        <v>0</v>
      </c>
      <c r="K162" s="1276">
        <f t="shared" si="104"/>
        <v>0</v>
      </c>
      <c r="L162" s="1276"/>
      <c r="M162" s="3859" t="s">
        <v>53</v>
      </c>
      <c r="N162" s="3859" t="s">
        <v>53</v>
      </c>
      <c r="O162" s="3850"/>
    </row>
    <row r="163" spans="1:15" ht="12">
      <c r="A163" s="3846"/>
      <c r="B163" s="1380" t="s">
        <v>23</v>
      </c>
      <c r="C163" s="3860" t="s">
        <v>151</v>
      </c>
      <c r="D163" s="1367">
        <f>+D164</f>
        <v>811049</v>
      </c>
      <c r="E163" s="1367">
        <f t="shared" ref="E163:K163" si="105">+E164</f>
        <v>0</v>
      </c>
      <c r="F163" s="1367">
        <f t="shared" si="105"/>
        <v>0</v>
      </c>
      <c r="G163" s="1367">
        <f t="shared" si="105"/>
        <v>153214</v>
      </c>
      <c r="H163" s="1367">
        <f t="shared" si="105"/>
        <v>424177</v>
      </c>
      <c r="I163" s="1367">
        <f t="shared" si="105"/>
        <v>233658</v>
      </c>
      <c r="J163" s="1367">
        <f t="shared" si="105"/>
        <v>0</v>
      </c>
      <c r="K163" s="1367">
        <f t="shared" si="105"/>
        <v>0</v>
      </c>
      <c r="L163" s="1367"/>
      <c r="M163" s="3855"/>
      <c r="N163" s="3855"/>
      <c r="O163" s="3850"/>
    </row>
    <row r="164" spans="1:15" ht="12">
      <c r="A164" s="3846"/>
      <c r="B164" s="1949" t="s">
        <v>138</v>
      </c>
      <c r="C164" s="3858"/>
      <c r="D164" s="1216">
        <f>E164+F164+G164+H164+I164+J164+K164+L164</f>
        <v>811049</v>
      </c>
      <c r="E164" s="1249">
        <v>0</v>
      </c>
      <c r="F164" s="1950"/>
      <c r="G164" s="1950">
        <f>253104-99890</f>
        <v>153214</v>
      </c>
      <c r="H164" s="1950">
        <f>349998+74179</f>
        <v>424177</v>
      </c>
      <c r="I164" s="1950">
        <f>147063+86595</f>
        <v>233658</v>
      </c>
      <c r="J164" s="1950"/>
      <c r="K164" s="1950"/>
      <c r="L164" s="1950"/>
      <c r="M164" s="3855"/>
      <c r="N164" s="3855"/>
      <c r="O164" s="3850"/>
    </row>
    <row r="165" spans="1:15" ht="12">
      <c r="A165" s="3846"/>
      <c r="B165" s="1951" t="s">
        <v>18</v>
      </c>
      <c r="C165" s="3843" t="s">
        <v>22</v>
      </c>
      <c r="D165" s="1361">
        <f>+D166</f>
        <v>3793497</v>
      </c>
      <c r="E165" s="1361">
        <f t="shared" ref="E165:K165" si="106">+E166</f>
        <v>0</v>
      </c>
      <c r="F165" s="1361">
        <f t="shared" si="106"/>
        <v>0</v>
      </c>
      <c r="G165" s="1361">
        <f t="shared" si="106"/>
        <v>868093</v>
      </c>
      <c r="H165" s="1361">
        <f t="shared" si="106"/>
        <v>1773177</v>
      </c>
      <c r="I165" s="1361">
        <f t="shared" si="106"/>
        <v>1152227</v>
      </c>
      <c r="J165" s="1361">
        <f t="shared" si="106"/>
        <v>0</v>
      </c>
      <c r="K165" s="1361">
        <f t="shared" si="106"/>
        <v>0</v>
      </c>
      <c r="L165" s="1361"/>
      <c r="M165" s="3855"/>
      <c r="N165" s="3855"/>
      <c r="O165" s="3850"/>
    </row>
    <row r="166" spans="1:15" ht="12.75" thickBot="1">
      <c r="A166" s="3847"/>
      <c r="B166" s="1381" t="s">
        <v>34</v>
      </c>
      <c r="C166" s="3844"/>
      <c r="D166" s="1382">
        <f>E166+F166+G166+H166+I166+J166+K166+L166</f>
        <v>3793497</v>
      </c>
      <c r="E166" s="1531">
        <v>0</v>
      </c>
      <c r="F166" s="1383">
        <v>0</v>
      </c>
      <c r="G166" s="1383">
        <f>1197070-328977</f>
        <v>868093</v>
      </c>
      <c r="H166" s="1383">
        <f>1496559+276618</f>
        <v>1773177</v>
      </c>
      <c r="I166" s="1383">
        <f>729656+422571</f>
        <v>1152227</v>
      </c>
      <c r="J166" s="1383"/>
      <c r="K166" s="1383"/>
      <c r="L166" s="1383"/>
      <c r="M166" s="3856"/>
      <c r="N166" s="3856"/>
      <c r="O166" s="3851"/>
    </row>
    <row r="167" spans="1:15" ht="29.25" customHeight="1">
      <c r="A167" s="3845" t="s">
        <v>86</v>
      </c>
      <c r="B167" s="452" t="s">
        <v>695</v>
      </c>
      <c r="C167" s="2649" t="s">
        <v>74</v>
      </c>
      <c r="D167" s="2650"/>
      <c r="E167" s="350"/>
      <c r="F167" s="350"/>
      <c r="G167" s="350"/>
      <c r="H167" s="350"/>
      <c r="I167" s="350"/>
      <c r="J167" s="350"/>
      <c r="K167" s="350"/>
      <c r="L167" s="1201"/>
      <c r="M167" s="444"/>
      <c r="N167" s="444"/>
      <c r="O167" s="3849" t="s">
        <v>541</v>
      </c>
    </row>
    <row r="168" spans="1:15" ht="14.25" customHeight="1">
      <c r="A168" s="3846"/>
      <c r="B168" s="417" t="s">
        <v>10</v>
      </c>
      <c r="C168" s="453"/>
      <c r="D168" s="442">
        <f>+D169+D172</f>
        <v>2223195</v>
      </c>
      <c r="E168" s="442">
        <f t="shared" ref="E168:F168" si="107">+E169+E172</f>
        <v>6118</v>
      </c>
      <c r="F168" s="442">
        <f t="shared" si="107"/>
        <v>0</v>
      </c>
      <c r="G168" s="442">
        <f>+G169+G172</f>
        <v>281943</v>
      </c>
      <c r="H168" s="442">
        <f>+H169+H172</f>
        <v>1935134</v>
      </c>
      <c r="I168" s="442">
        <f>+I169+I172</f>
        <v>0</v>
      </c>
      <c r="J168" s="442">
        <f t="shared" ref="J168:K168" si="108">+J169+J172</f>
        <v>0</v>
      </c>
      <c r="K168" s="442">
        <f t="shared" si="108"/>
        <v>0</v>
      </c>
      <c r="L168" s="442"/>
      <c r="M168" s="445">
        <f>+M169</f>
        <v>779597</v>
      </c>
      <c r="N168" s="445">
        <f>+N169</f>
        <v>779597</v>
      </c>
      <c r="O168" s="3850"/>
    </row>
    <row r="169" spans="1:15" ht="12" customHeight="1">
      <c r="A169" s="3846"/>
      <c r="B169" s="2771" t="s">
        <v>23</v>
      </c>
      <c r="C169" s="3221"/>
      <c r="D169" s="414">
        <f>D171+D170</f>
        <v>785715</v>
      </c>
      <c r="E169" s="414">
        <f t="shared" ref="E169:K169" si="109">E171+E170</f>
        <v>6118</v>
      </c>
      <c r="F169" s="414">
        <f t="shared" si="109"/>
        <v>0</v>
      </c>
      <c r="G169" s="414">
        <f t="shared" si="109"/>
        <v>76540</v>
      </c>
      <c r="H169" s="414">
        <f t="shared" si="109"/>
        <v>703057</v>
      </c>
      <c r="I169" s="414">
        <f t="shared" si="109"/>
        <v>0</v>
      </c>
      <c r="J169" s="414">
        <f t="shared" si="109"/>
        <v>0</v>
      </c>
      <c r="K169" s="414">
        <f t="shared" si="109"/>
        <v>0</v>
      </c>
      <c r="L169" s="414"/>
      <c r="M169" s="447">
        <f>+M171</f>
        <v>779597</v>
      </c>
      <c r="N169" s="447">
        <f>+N171</f>
        <v>779597</v>
      </c>
      <c r="O169" s="3850"/>
    </row>
    <row r="170" spans="1:15" ht="12">
      <c r="A170" s="3846"/>
      <c r="B170" s="2754" t="s">
        <v>31</v>
      </c>
      <c r="C170" s="3220" t="s">
        <v>22</v>
      </c>
      <c r="D170" s="235">
        <f>E170+F170+G170+H170+I170+J170+K170+L170</f>
        <v>6118</v>
      </c>
      <c r="E170" s="411">
        <v>6118</v>
      </c>
      <c r="F170" s="2761">
        <v>0</v>
      </c>
      <c r="G170" s="2761">
        <v>0</v>
      </c>
      <c r="H170" s="2761">
        <v>0</v>
      </c>
      <c r="I170" s="2761">
        <v>0</v>
      </c>
      <c r="J170" s="1927"/>
      <c r="K170" s="1927"/>
      <c r="L170" s="1927"/>
      <c r="M170" s="454" t="s">
        <v>53</v>
      </c>
      <c r="N170" s="454" t="s">
        <v>53</v>
      </c>
      <c r="O170" s="3850"/>
    </row>
    <row r="171" spans="1:15" ht="13.5" customHeight="1">
      <c r="A171" s="3846"/>
      <c r="B171" s="1916" t="s">
        <v>113</v>
      </c>
      <c r="C171" s="3222" t="s">
        <v>151</v>
      </c>
      <c r="D171" s="235">
        <f>E171+F171+G171+H171+I171+J171+K171+L171</f>
        <v>779597</v>
      </c>
      <c r="E171" s="411"/>
      <c r="F171" s="2762"/>
      <c r="G171" s="2762">
        <f>198520-121980</f>
        <v>76540</v>
      </c>
      <c r="H171" s="2762">
        <f>594337-43525+152245</f>
        <v>703057</v>
      </c>
      <c r="I171" s="2762"/>
      <c r="J171" s="2762"/>
      <c r="K171" s="2762"/>
      <c r="L171" s="2762"/>
      <c r="M171" s="441">
        <f>SUM(F171:K171)</f>
        <v>779597</v>
      </c>
      <c r="N171" s="441">
        <f>SUM(G171:L171)</f>
        <v>779597</v>
      </c>
      <c r="O171" s="3850"/>
    </row>
    <row r="172" spans="1:15" ht="12">
      <c r="A172" s="3846"/>
      <c r="B172" s="2772" t="s">
        <v>18</v>
      </c>
      <c r="C172" s="3852" t="s">
        <v>22</v>
      </c>
      <c r="D172" s="2764">
        <f>+D173</f>
        <v>1437480</v>
      </c>
      <c r="E172" s="2764">
        <f t="shared" ref="E172:N172" si="110">+E173</f>
        <v>0</v>
      </c>
      <c r="F172" s="2764">
        <f t="shared" si="110"/>
        <v>0</v>
      </c>
      <c r="G172" s="2764">
        <f t="shared" si="110"/>
        <v>205403</v>
      </c>
      <c r="H172" s="2764">
        <f t="shared" si="110"/>
        <v>1232077</v>
      </c>
      <c r="I172" s="2764">
        <f t="shared" si="110"/>
        <v>0</v>
      </c>
      <c r="J172" s="2764">
        <f t="shared" si="110"/>
        <v>0</v>
      </c>
      <c r="K172" s="2764">
        <f t="shared" si="110"/>
        <v>0</v>
      </c>
      <c r="L172" s="1933"/>
      <c r="M172" s="1934" t="str">
        <f t="shared" si="110"/>
        <v>x</v>
      </c>
      <c r="N172" s="1934" t="str">
        <f t="shared" si="110"/>
        <v>x</v>
      </c>
      <c r="O172" s="3850"/>
    </row>
    <row r="173" spans="1:15" ht="12">
      <c r="A173" s="3846"/>
      <c r="B173" s="1916" t="s">
        <v>34</v>
      </c>
      <c r="C173" s="3853"/>
      <c r="D173" s="235">
        <f>E173+F173+G173+H173+I173+J173+K173+L173</f>
        <v>1437480</v>
      </c>
      <c r="E173" s="411">
        <v>0</v>
      </c>
      <c r="F173" s="413">
        <v>0</v>
      </c>
      <c r="G173" s="413">
        <f>478253-272850</f>
        <v>205403</v>
      </c>
      <c r="H173" s="413">
        <f>1329439-97362</f>
        <v>1232077</v>
      </c>
      <c r="I173" s="413"/>
      <c r="J173" s="1935"/>
      <c r="K173" s="1935"/>
      <c r="L173" s="1935"/>
      <c r="M173" s="1936" t="s">
        <v>53</v>
      </c>
      <c r="N173" s="1936" t="s">
        <v>53</v>
      </c>
      <c r="O173" s="3850"/>
    </row>
    <row r="174" spans="1:15" ht="13.5" customHeight="1">
      <c r="A174" s="3846"/>
      <c r="B174" s="417" t="s">
        <v>21</v>
      </c>
      <c r="C174" s="2773"/>
      <c r="D174" s="2774">
        <f>D177+D175</f>
        <v>1845661</v>
      </c>
      <c r="E174" s="2774">
        <f t="shared" ref="E174:G174" si="111">E177+E175</f>
        <v>0</v>
      </c>
      <c r="F174" s="2774">
        <f t="shared" si="111"/>
        <v>0</v>
      </c>
      <c r="G174" s="2774">
        <f t="shared" si="111"/>
        <v>126730</v>
      </c>
      <c r="H174" s="2774">
        <f>H177+H175</f>
        <v>1328931</v>
      </c>
      <c r="I174" s="2774">
        <f>I177+I175</f>
        <v>390000</v>
      </c>
      <c r="J174" s="2774">
        <f t="shared" ref="J174:K174" si="112">J177+J175</f>
        <v>0</v>
      </c>
      <c r="K174" s="2774">
        <f t="shared" si="112"/>
        <v>0</v>
      </c>
      <c r="L174" s="2774"/>
      <c r="M174" s="3854" t="s">
        <v>53</v>
      </c>
      <c r="N174" s="3854" t="s">
        <v>53</v>
      </c>
      <c r="O174" s="3850"/>
    </row>
    <row r="175" spans="1:15" ht="12" customHeight="1">
      <c r="A175" s="3846"/>
      <c r="B175" s="1915" t="s">
        <v>23</v>
      </c>
      <c r="C175" s="3857" t="s">
        <v>151</v>
      </c>
      <c r="D175" s="2775">
        <f>+D176</f>
        <v>408181</v>
      </c>
      <c r="E175" s="2775">
        <f t="shared" ref="E175:K175" si="113">+E176</f>
        <v>0</v>
      </c>
      <c r="F175" s="2775">
        <f t="shared" si="113"/>
        <v>0</v>
      </c>
      <c r="G175" s="2775">
        <f t="shared" si="113"/>
        <v>26327</v>
      </c>
      <c r="H175" s="2775">
        <f t="shared" si="113"/>
        <v>341854</v>
      </c>
      <c r="I175" s="2775">
        <f t="shared" si="113"/>
        <v>40000</v>
      </c>
      <c r="J175" s="2775">
        <f t="shared" si="113"/>
        <v>0</v>
      </c>
      <c r="K175" s="2775">
        <f t="shared" si="113"/>
        <v>0</v>
      </c>
      <c r="L175" s="2775"/>
      <c r="M175" s="3855"/>
      <c r="N175" s="3855"/>
      <c r="O175" s="3850"/>
    </row>
    <row r="176" spans="1:15" ht="12">
      <c r="A176" s="3846"/>
      <c r="B176" s="1916" t="s">
        <v>138</v>
      </c>
      <c r="C176" s="3858"/>
      <c r="D176" s="235">
        <f>E176+F176+G176+H176+I176+J176+K176+L176</f>
        <v>408181</v>
      </c>
      <c r="E176" s="411">
        <v>0</v>
      </c>
      <c r="F176" s="2762"/>
      <c r="G176" s="2762">
        <f>120157-93830</f>
        <v>26327</v>
      </c>
      <c r="H176" s="2762">
        <f>359731-46345+28468</f>
        <v>341854</v>
      </c>
      <c r="I176" s="2762">
        <v>40000</v>
      </c>
      <c r="J176" s="2762"/>
      <c r="K176" s="2762"/>
      <c r="L176" s="2762"/>
      <c r="M176" s="3855"/>
      <c r="N176" s="3855"/>
      <c r="O176" s="3850"/>
    </row>
    <row r="177" spans="1:15" ht="12.75" thickBot="1">
      <c r="A177" s="3847"/>
      <c r="B177" s="2772" t="s">
        <v>18</v>
      </c>
      <c r="C177" s="3852" t="s">
        <v>22</v>
      </c>
      <c r="D177" s="2764">
        <f>+D178</f>
        <v>1437480</v>
      </c>
      <c r="E177" s="2764">
        <f t="shared" ref="E177:K177" si="114">+E178</f>
        <v>0</v>
      </c>
      <c r="F177" s="2764">
        <f t="shared" si="114"/>
        <v>0</v>
      </c>
      <c r="G177" s="2764">
        <f t="shared" si="114"/>
        <v>100403</v>
      </c>
      <c r="H177" s="2764">
        <f t="shared" si="114"/>
        <v>987077</v>
      </c>
      <c r="I177" s="2764">
        <f t="shared" si="114"/>
        <v>350000</v>
      </c>
      <c r="J177" s="2764">
        <f t="shared" si="114"/>
        <v>0</v>
      </c>
      <c r="K177" s="2764">
        <f t="shared" si="114"/>
        <v>0</v>
      </c>
      <c r="L177" s="2764"/>
      <c r="M177" s="3855"/>
      <c r="N177" s="3855"/>
      <c r="O177" s="3850"/>
    </row>
    <row r="178" spans="1:15" ht="12.75" thickBot="1">
      <c r="A178" s="3848"/>
      <c r="B178" s="1860" t="s">
        <v>34</v>
      </c>
      <c r="C178" s="3844"/>
      <c r="D178" s="1570">
        <f>E178+F178+G178+H178+I178+J178+K178+L178</f>
        <v>1437480</v>
      </c>
      <c r="E178" s="448">
        <v>0</v>
      </c>
      <c r="F178" s="457">
        <v>0</v>
      </c>
      <c r="G178" s="457">
        <f>478253-342850-35000</f>
        <v>100403</v>
      </c>
      <c r="H178" s="457">
        <f>1329439-377362+35000</f>
        <v>987077</v>
      </c>
      <c r="I178" s="457">
        <v>350000</v>
      </c>
      <c r="J178" s="457"/>
      <c r="K178" s="457"/>
      <c r="L178" s="457"/>
      <c r="M178" s="3856"/>
      <c r="N178" s="3856"/>
      <c r="O178" s="3851"/>
    </row>
    <row r="179" spans="1:15" ht="12" thickBot="1">
      <c r="A179" s="2359"/>
      <c r="O179" s="2966"/>
    </row>
    <row r="180" spans="1:15" ht="12" thickBot="1">
      <c r="A180" s="2359"/>
      <c r="O180" s="2966"/>
    </row>
    <row r="181" spans="1:15" ht="12" thickBot="1">
      <c r="A181" s="2359"/>
      <c r="O181" s="2966"/>
    </row>
    <row r="182" spans="1:15" ht="12" thickBot="1">
      <c r="A182" s="2359" t="s">
        <v>539</v>
      </c>
      <c r="O182" s="2966"/>
    </row>
    <row r="183" spans="1:15" ht="12" thickBot="1">
      <c r="A183" s="2359"/>
      <c r="O183" s="2966"/>
    </row>
    <row r="184" spans="1:15" ht="12" thickBot="1">
      <c r="A184" s="2359"/>
      <c r="D184" s="422"/>
      <c r="G184" s="422">
        <f>G168+G156+G142+G130+G118+G44+G33+G24</f>
        <v>19876150</v>
      </c>
      <c r="O184" s="2966"/>
    </row>
    <row r="185" spans="1:15" ht="12" thickBot="1">
      <c r="A185" s="2359"/>
      <c r="G185" s="422">
        <f>G184-G10</f>
        <v>-1274768</v>
      </c>
      <c r="O185" s="2966"/>
    </row>
    <row r="186" spans="1:15" ht="12" thickBot="1">
      <c r="A186" s="2359"/>
      <c r="O186" s="2966"/>
    </row>
    <row r="187" spans="1:15" ht="12" thickBot="1">
      <c r="A187" s="2359"/>
      <c r="D187" s="422">
        <f>D171+D159+D145+D133+D121+D47+D35+D26</f>
        <v>44671388</v>
      </c>
      <c r="O187" s="2966"/>
    </row>
    <row r="188" spans="1:15" ht="12" thickBot="1">
      <c r="A188" s="2359"/>
      <c r="B188" s="471"/>
      <c r="D188" s="422">
        <f>D7-D187</f>
        <v>88473770</v>
      </c>
      <c r="O188" s="2966"/>
    </row>
    <row r="189" spans="1:15" ht="12" thickBot="1">
      <c r="A189" s="2359"/>
      <c r="B189" s="465"/>
      <c r="O189" s="2966"/>
    </row>
    <row r="190" spans="1:15" ht="12" thickBot="1">
      <c r="A190" s="2359"/>
      <c r="O190" s="2966"/>
    </row>
    <row r="191" spans="1:15" ht="12" thickBot="1">
      <c r="A191" s="2359"/>
      <c r="O191" s="2966"/>
    </row>
    <row r="192" spans="1:15" ht="12" thickBot="1">
      <c r="A192" s="2359"/>
      <c r="O192" s="2966"/>
    </row>
    <row r="193" spans="1:15" ht="12" thickBot="1">
      <c r="A193" s="2359"/>
      <c r="O193" s="2966"/>
    </row>
    <row r="194" spans="1:15" ht="12" thickBot="1">
      <c r="A194" s="2359"/>
      <c r="O194" s="2966"/>
    </row>
    <row r="195" spans="1:15" ht="12" thickBot="1">
      <c r="A195" s="2359"/>
      <c r="O195" s="2966"/>
    </row>
    <row r="196" spans="1:15" ht="12" thickBot="1">
      <c r="A196" s="2359"/>
      <c r="O196" s="2966"/>
    </row>
    <row r="197" spans="1:15" ht="12" thickBot="1">
      <c r="A197" s="2359"/>
      <c r="O197" s="2966"/>
    </row>
    <row r="198" spans="1:15" ht="12" thickBot="1">
      <c r="A198" s="2359"/>
      <c r="O198" s="2966"/>
    </row>
    <row r="199" spans="1:15" ht="12" thickBot="1">
      <c r="A199" s="2359"/>
      <c r="O199" s="2966"/>
    </row>
    <row r="200" spans="1:15" ht="12" thickBot="1">
      <c r="A200" s="2359"/>
      <c r="O200" s="2966"/>
    </row>
    <row r="201" spans="1:15" ht="12" thickBot="1">
      <c r="A201" s="2359"/>
      <c r="O201" s="2966"/>
    </row>
    <row r="202" spans="1:15" ht="12" thickBot="1">
      <c r="A202" s="2359"/>
      <c r="N202" s="471"/>
      <c r="O202" s="2330"/>
    </row>
    <row r="203" spans="1:15" ht="12" thickBot="1">
      <c r="A203" s="2359"/>
      <c r="C203" s="471"/>
      <c r="N203" s="2344"/>
      <c r="O203" s="2331"/>
    </row>
    <row r="204" spans="1:15" ht="12" thickBot="1">
      <c r="A204" s="2359"/>
      <c r="C204" s="2344"/>
      <c r="N204" s="2344"/>
      <c r="O204" s="2331"/>
    </row>
    <row r="205" spans="1:15" ht="12" thickBot="1">
      <c r="A205" s="2359"/>
      <c r="C205" s="2344"/>
      <c r="N205" s="2344"/>
      <c r="O205" s="2331"/>
    </row>
    <row r="206" spans="1:15" ht="12" thickBot="1">
      <c r="A206" s="2360"/>
      <c r="C206" s="2344"/>
      <c r="D206" s="471"/>
      <c r="E206" s="471"/>
      <c r="F206" s="471"/>
      <c r="G206" s="471"/>
      <c r="H206" s="471"/>
      <c r="I206" s="471"/>
      <c r="J206" s="471"/>
      <c r="K206" s="471"/>
      <c r="L206" s="471"/>
      <c r="N206" s="2344"/>
      <c r="O206" s="2331"/>
    </row>
    <row r="207" spans="1:15" ht="12" thickBot="1">
      <c r="C207" s="465"/>
      <c r="D207" s="465"/>
      <c r="E207" s="465"/>
      <c r="F207" s="465"/>
      <c r="G207" s="465"/>
      <c r="H207" s="465"/>
      <c r="I207" s="465"/>
      <c r="J207" s="465"/>
      <c r="K207" s="465"/>
      <c r="L207" s="465"/>
      <c r="N207" s="465"/>
      <c r="O207" s="2331"/>
    </row>
    <row r="208" spans="1:15" ht="12" thickBot="1">
      <c r="O208" s="2331"/>
    </row>
    <row r="209" spans="15:15" ht="12" thickBot="1">
      <c r="O209" s="2331"/>
    </row>
    <row r="210" spans="15:15" ht="12" thickBot="1">
      <c r="O210" s="2331"/>
    </row>
    <row r="211" spans="15:15" ht="12" thickBot="1">
      <c r="O211" s="2331"/>
    </row>
    <row r="212" spans="15:15" ht="12" thickBot="1">
      <c r="O212" s="2331"/>
    </row>
    <row r="213" spans="15:15" ht="12" thickBot="1">
      <c r="O213" s="2331"/>
    </row>
    <row r="214" spans="15:15" ht="12" thickBot="1">
      <c r="O214" s="2331"/>
    </row>
    <row r="215" spans="15:15" ht="12" thickBot="1">
      <c r="O215" s="2331"/>
    </row>
    <row r="216" spans="15:15">
      <c r="O216" s="2332"/>
    </row>
    <row r="217" spans="15:15">
      <c r="O217" s="2966"/>
    </row>
    <row r="218" spans="15:15">
      <c r="O218" s="2966"/>
    </row>
    <row r="219" spans="15:15">
      <c r="O219" s="2966"/>
    </row>
    <row r="220" spans="15:15">
      <c r="O220" s="2966"/>
    </row>
    <row r="221" spans="15:15">
      <c r="O221" s="2966"/>
    </row>
    <row r="222" spans="15:15">
      <c r="O222" s="2966"/>
    </row>
    <row r="223" spans="15:15">
      <c r="O223" s="2966"/>
    </row>
    <row r="224" spans="15:15">
      <c r="O224" s="2966"/>
    </row>
    <row r="225" spans="15:15">
      <c r="O225" s="2966"/>
    </row>
    <row r="226" spans="15:15">
      <c r="O226" s="2966"/>
    </row>
    <row r="227" spans="15:15">
      <c r="O227" s="2966"/>
    </row>
    <row r="228" spans="15:15">
      <c r="O228" s="2966"/>
    </row>
    <row r="229" spans="15:15">
      <c r="O229" s="2966"/>
    </row>
    <row r="230" spans="15:15">
      <c r="O230" s="2966"/>
    </row>
    <row r="231" spans="15:15">
      <c r="O231" s="2966"/>
    </row>
    <row r="232" spans="15:15">
      <c r="O232" s="2966"/>
    </row>
    <row r="233" spans="15:15">
      <c r="O233" s="2966"/>
    </row>
    <row r="234" spans="15:15">
      <c r="O234" s="2966"/>
    </row>
    <row r="235" spans="15:15">
      <c r="O235" s="2966"/>
    </row>
    <row r="236" spans="15:15">
      <c r="O236" s="2966"/>
    </row>
    <row r="237" spans="15:15">
      <c r="O237" s="2966"/>
    </row>
    <row r="238" spans="15:15">
      <c r="O238" s="2966"/>
    </row>
    <row r="239" spans="15:15">
      <c r="O239" s="2966"/>
    </row>
    <row r="240" spans="15:15">
      <c r="O240" s="2966"/>
    </row>
    <row r="241" spans="15:15">
      <c r="O241" s="2966"/>
    </row>
    <row r="242" spans="15:15">
      <c r="O242" s="2966"/>
    </row>
    <row r="243" spans="15:15">
      <c r="O243" s="2966"/>
    </row>
    <row r="244" spans="15:15">
      <c r="O244" s="2966"/>
    </row>
    <row r="245" spans="15:15">
      <c r="O245" s="2966"/>
    </row>
    <row r="246" spans="15:15">
      <c r="O246" s="2966"/>
    </row>
    <row r="247" spans="15:15">
      <c r="O247" s="2966"/>
    </row>
    <row r="248" spans="15:15">
      <c r="O248" s="2966"/>
    </row>
    <row r="249" spans="15:15">
      <c r="O249" s="2966"/>
    </row>
    <row r="250" spans="15:15" ht="12" thickBot="1">
      <c r="O250" s="2330"/>
    </row>
    <row r="251" spans="15:15" ht="12" thickBot="1">
      <c r="O251" s="2331"/>
    </row>
    <row r="252" spans="15:15" ht="12" thickBot="1">
      <c r="O252" s="2331"/>
    </row>
    <row r="253" spans="15:15" ht="12" thickBot="1">
      <c r="O253" s="2331"/>
    </row>
    <row r="254" spans="15:15" ht="12" thickBot="1">
      <c r="O254" s="2331"/>
    </row>
    <row r="255" spans="15:15" ht="12" thickBot="1">
      <c r="O255" s="2331"/>
    </row>
    <row r="256" spans="15:15" ht="12" thickBot="1">
      <c r="O256" s="2331"/>
    </row>
    <row r="257" spans="15:15" ht="12" thickBot="1">
      <c r="O257" s="2331"/>
    </row>
    <row r="258" spans="15:15" ht="12" thickBot="1">
      <c r="O258" s="2331"/>
    </row>
    <row r="259" spans="15:15" ht="12" thickBot="1">
      <c r="O259" s="2331"/>
    </row>
    <row r="260" spans="15:15" ht="12" thickBot="1">
      <c r="O260" s="2331"/>
    </row>
    <row r="261" spans="15:15" ht="12" thickBot="1">
      <c r="O261" s="2331"/>
    </row>
    <row r="262" spans="15:15" ht="12" thickBot="1">
      <c r="O262" s="2331"/>
    </row>
    <row r="263" spans="15:15" ht="12" thickBot="1">
      <c r="O263" s="2331"/>
    </row>
    <row r="264" spans="15:15">
      <c r="O264" s="2332"/>
    </row>
    <row r="265" spans="15:15">
      <c r="O265" s="2966"/>
    </row>
    <row r="266" spans="15:15">
      <c r="O266" s="2966"/>
    </row>
    <row r="267" spans="15:15">
      <c r="O267" s="2966"/>
    </row>
    <row r="268" spans="15:15">
      <c r="O268" s="2966"/>
    </row>
    <row r="269" spans="15:15">
      <c r="O269" s="2966"/>
    </row>
    <row r="270" spans="15:15">
      <c r="O270" s="2966"/>
    </row>
    <row r="271" spans="15:15">
      <c r="O271" s="2966"/>
    </row>
    <row r="272" spans="15:15">
      <c r="O272" s="2966"/>
    </row>
    <row r="273" spans="15:15">
      <c r="O273" s="2966"/>
    </row>
    <row r="274" spans="15:15">
      <c r="O274" s="2966"/>
    </row>
    <row r="275" spans="15:15">
      <c r="O275" s="2966"/>
    </row>
    <row r="276" spans="15:15">
      <c r="O276" s="2966"/>
    </row>
    <row r="277" spans="15:15">
      <c r="O277" s="2966"/>
    </row>
    <row r="278" spans="15:15">
      <c r="O278" s="2966"/>
    </row>
    <row r="279" spans="15:15">
      <c r="O279" s="2966"/>
    </row>
    <row r="280" spans="15:15">
      <c r="O280" s="2966"/>
    </row>
    <row r="281" spans="15:15">
      <c r="O281" s="2966"/>
    </row>
    <row r="282" spans="15:15">
      <c r="O282" s="2966"/>
    </row>
    <row r="283" spans="15:15">
      <c r="O283" s="2966"/>
    </row>
    <row r="284" spans="15:15">
      <c r="O284" s="2966"/>
    </row>
    <row r="285" spans="15:15">
      <c r="O285" s="2966"/>
    </row>
    <row r="286" spans="15:15">
      <c r="O286" s="2966"/>
    </row>
    <row r="287" spans="15:15">
      <c r="O287" s="2966"/>
    </row>
    <row r="288" spans="15:15">
      <c r="O288" s="2966"/>
    </row>
    <row r="289" spans="15:15">
      <c r="O289" s="2966"/>
    </row>
    <row r="290" spans="15:15">
      <c r="O290" s="2966"/>
    </row>
    <row r="291" spans="15:15">
      <c r="O291" s="2966"/>
    </row>
    <row r="292" spans="15:15">
      <c r="O292" s="2966"/>
    </row>
    <row r="293" spans="15:15">
      <c r="O293" s="2966"/>
    </row>
    <row r="294" spans="15:15">
      <c r="O294" s="2966"/>
    </row>
    <row r="295" spans="15:15">
      <c r="O295" s="2966"/>
    </row>
    <row r="296" spans="15:15">
      <c r="O296" s="2966"/>
    </row>
    <row r="297" spans="15:15">
      <c r="O297" s="2966"/>
    </row>
    <row r="298" spans="15:15">
      <c r="O298" s="2966"/>
    </row>
    <row r="299" spans="15:15">
      <c r="O299" s="2966"/>
    </row>
    <row r="300" spans="15:15">
      <c r="O300" s="2966"/>
    </row>
    <row r="301" spans="15:15">
      <c r="O301" s="2966"/>
    </row>
    <row r="302" spans="15:15">
      <c r="O302" s="2966"/>
    </row>
    <row r="303" spans="15:15">
      <c r="O303" s="2966"/>
    </row>
    <row r="304" spans="15:15">
      <c r="O304" s="2966"/>
    </row>
    <row r="403" spans="1:15" ht="12" thickBot="1">
      <c r="A403" s="2358"/>
    </row>
    <row r="404" spans="1:15" ht="12" thickBot="1">
      <c r="A404" s="2359"/>
    </row>
    <row r="405" spans="1:15" ht="12" thickBot="1">
      <c r="A405" s="2359"/>
    </row>
    <row r="406" spans="1:15" ht="12" thickBot="1">
      <c r="A406" s="2359"/>
    </row>
    <row r="407" spans="1:15" ht="12" thickBot="1">
      <c r="A407" s="2359"/>
    </row>
    <row r="408" spans="1:15" ht="12" thickBot="1">
      <c r="A408" s="2359"/>
    </row>
    <row r="409" spans="1:15" ht="12" thickBot="1">
      <c r="A409" s="2359"/>
      <c r="N409" s="471"/>
      <c r="O409" s="2010"/>
    </row>
    <row r="410" spans="1:15" ht="12" thickBot="1">
      <c r="A410" s="2359"/>
      <c r="C410" s="471"/>
      <c r="N410" s="2344"/>
      <c r="O410" s="2328"/>
    </row>
    <row r="411" spans="1:15" ht="12" thickBot="1">
      <c r="A411" s="2359"/>
      <c r="C411" s="2344"/>
      <c r="D411" s="471"/>
      <c r="E411" s="471"/>
      <c r="F411" s="471"/>
      <c r="G411" s="471"/>
      <c r="H411" s="471"/>
      <c r="I411" s="471"/>
      <c r="J411" s="471"/>
      <c r="K411" s="471"/>
      <c r="L411" s="471"/>
      <c r="N411" s="2344"/>
      <c r="O411" s="2328"/>
    </row>
    <row r="412" spans="1:15" ht="12" thickBot="1">
      <c r="A412" s="2359"/>
      <c r="C412" s="465"/>
      <c r="D412" s="465"/>
      <c r="E412" s="465"/>
      <c r="F412" s="465"/>
      <c r="G412" s="465"/>
      <c r="H412" s="465"/>
      <c r="I412" s="465"/>
      <c r="J412" s="465"/>
      <c r="K412" s="465"/>
      <c r="L412" s="465"/>
      <c r="N412" s="465"/>
      <c r="O412" s="2328"/>
    </row>
    <row r="413" spans="1:15" ht="12" thickBot="1">
      <c r="A413" s="2359"/>
      <c r="O413" s="2328"/>
    </row>
    <row r="414" spans="1:15" ht="12" thickBot="1">
      <c r="A414" s="2359"/>
      <c r="O414" s="2328"/>
    </row>
    <row r="415" spans="1:15" ht="12" thickBot="1">
      <c r="A415" s="2359"/>
      <c r="O415" s="2328"/>
    </row>
    <row r="416" spans="1:15" ht="12" thickBot="1">
      <c r="A416" s="2359"/>
      <c r="O416" s="2328"/>
    </row>
    <row r="417" spans="1:15" ht="12" thickBot="1">
      <c r="A417" s="2359"/>
      <c r="O417" s="2329"/>
    </row>
    <row r="418" spans="1:15" ht="12" thickBot="1">
      <c r="A418" s="2359"/>
    </row>
    <row r="419" spans="1:15" ht="12" thickBot="1">
      <c r="A419" s="2359"/>
    </row>
    <row r="420" spans="1:15">
      <c r="A420" s="2360"/>
    </row>
    <row r="509" spans="1:15" ht="12" thickBot="1"/>
    <row r="510" spans="1:15" ht="33.75">
      <c r="A510" s="464"/>
      <c r="B510" s="347" t="s">
        <v>61</v>
      </c>
      <c r="C510" s="347"/>
      <c r="D510" s="465"/>
      <c r="E510" s="466"/>
      <c r="F510" s="466"/>
      <c r="G510" s="466"/>
      <c r="H510" s="466"/>
      <c r="I510" s="466"/>
      <c r="J510" s="466"/>
      <c r="K510" s="466"/>
      <c r="L510" s="466"/>
      <c r="M510" s="466"/>
      <c r="N510" s="466"/>
      <c r="O510" s="467"/>
    </row>
    <row r="511" spans="1:15">
      <c r="A511" s="468"/>
      <c r="E511" s="427"/>
      <c r="F511" s="427"/>
      <c r="G511" s="427"/>
      <c r="H511" s="427"/>
      <c r="I511" s="427"/>
      <c r="J511" s="427"/>
      <c r="K511" s="427"/>
      <c r="L511" s="427"/>
      <c r="M511" s="427"/>
      <c r="N511" s="427"/>
      <c r="O511" s="469"/>
    </row>
    <row r="512" spans="1:15">
      <c r="A512" s="468"/>
      <c r="E512" s="427"/>
      <c r="F512" s="427"/>
      <c r="G512" s="427"/>
      <c r="H512" s="427"/>
      <c r="I512" s="427"/>
      <c r="J512" s="427"/>
      <c r="K512" s="427"/>
      <c r="L512" s="427"/>
      <c r="M512" s="427"/>
      <c r="N512" s="427"/>
      <c r="O512" s="469"/>
    </row>
    <row r="513" spans="1:15">
      <c r="A513" s="468"/>
      <c r="E513" s="427"/>
      <c r="F513" s="427"/>
      <c r="G513" s="427"/>
      <c r="H513" s="427"/>
      <c r="I513" s="427"/>
      <c r="J513" s="427"/>
      <c r="K513" s="427"/>
      <c r="L513" s="427"/>
      <c r="M513" s="427"/>
      <c r="N513" s="427"/>
      <c r="O513" s="469"/>
    </row>
    <row r="514" spans="1:15">
      <c r="A514" s="468"/>
      <c r="E514" s="427"/>
      <c r="F514" s="427"/>
      <c r="G514" s="427"/>
      <c r="H514" s="427"/>
      <c r="I514" s="427"/>
      <c r="J514" s="427"/>
      <c r="K514" s="427"/>
      <c r="L514" s="427"/>
      <c r="M514" s="427"/>
      <c r="N514" s="427"/>
      <c r="O514" s="469"/>
    </row>
    <row r="515" spans="1:15">
      <c r="A515" s="468"/>
      <c r="E515" s="427"/>
      <c r="F515" s="427"/>
      <c r="G515" s="427"/>
      <c r="H515" s="427"/>
      <c r="I515" s="427"/>
      <c r="J515" s="427"/>
      <c r="K515" s="427"/>
      <c r="L515" s="427"/>
      <c r="M515" s="427"/>
      <c r="N515" s="427"/>
      <c r="O515" s="469"/>
    </row>
    <row r="516" spans="1:15">
      <c r="A516" s="468"/>
      <c r="E516" s="427"/>
      <c r="F516" s="427"/>
      <c r="G516" s="427"/>
      <c r="H516" s="427"/>
      <c r="I516" s="427"/>
      <c r="J516" s="427"/>
      <c r="K516" s="427"/>
      <c r="L516" s="427"/>
      <c r="M516" s="427"/>
      <c r="N516" s="427"/>
      <c r="O516" s="469"/>
    </row>
    <row r="517" spans="1:15">
      <c r="A517" s="468"/>
      <c r="E517" s="427"/>
      <c r="F517" s="427"/>
      <c r="G517" s="427"/>
      <c r="H517" s="427"/>
      <c r="I517" s="427"/>
      <c r="J517" s="427"/>
      <c r="K517" s="427"/>
      <c r="L517" s="427"/>
      <c r="M517" s="427"/>
      <c r="N517" s="427"/>
      <c r="O517" s="469"/>
    </row>
    <row r="518" spans="1:15" ht="12" thickBot="1">
      <c r="A518" s="468"/>
      <c r="E518" s="427"/>
      <c r="F518" s="427"/>
      <c r="G518" s="427"/>
      <c r="H518" s="427"/>
      <c r="I518" s="427"/>
      <c r="J518" s="427"/>
      <c r="K518" s="427"/>
      <c r="L518" s="427"/>
      <c r="M518" s="427"/>
      <c r="N518" s="427"/>
      <c r="O518" s="473"/>
    </row>
    <row r="519" spans="1:15" ht="12" thickBot="1">
      <c r="A519" s="468"/>
      <c r="E519" s="427"/>
      <c r="F519" s="427"/>
      <c r="G519" s="427"/>
      <c r="H519" s="427"/>
      <c r="I519" s="427"/>
      <c r="J519" s="427"/>
      <c r="K519" s="427"/>
      <c r="L519" s="427"/>
      <c r="M519" s="427"/>
      <c r="N519" s="427"/>
      <c r="O519" s="2367"/>
    </row>
    <row r="520" spans="1:15" ht="12" thickBot="1">
      <c r="A520" s="468"/>
      <c r="E520" s="427"/>
      <c r="F520" s="427"/>
      <c r="G520" s="427"/>
      <c r="H520" s="427"/>
      <c r="I520" s="427"/>
      <c r="J520" s="427"/>
      <c r="K520" s="427"/>
      <c r="L520" s="427"/>
      <c r="M520" s="427"/>
      <c r="N520" s="427"/>
      <c r="O520" s="2367"/>
    </row>
    <row r="521" spans="1:15" ht="12" thickBot="1">
      <c r="A521" s="470"/>
      <c r="B521" s="471"/>
      <c r="C521" s="471"/>
      <c r="D521" s="471"/>
      <c r="E521" s="472"/>
      <c r="F521" s="472"/>
      <c r="G521" s="472"/>
      <c r="H521" s="472"/>
      <c r="I521" s="472"/>
      <c r="J521" s="472"/>
      <c r="K521" s="472"/>
      <c r="L521" s="472"/>
      <c r="M521" s="472"/>
      <c r="N521" s="472"/>
      <c r="O521" s="2367"/>
    </row>
    <row r="522" spans="1:15" ht="12" thickBot="1">
      <c r="N522" s="471"/>
      <c r="O522" s="2328"/>
    </row>
    <row r="523" spans="1:15" ht="12" thickBot="1">
      <c r="N523" s="2344"/>
      <c r="O523" s="2328"/>
    </row>
    <row r="524" spans="1:15" ht="12" thickBot="1">
      <c r="N524" s="2344"/>
      <c r="O524" s="2328"/>
    </row>
    <row r="525" spans="1:15" ht="12" thickBot="1">
      <c r="N525" s="2344"/>
      <c r="O525" s="2328"/>
    </row>
    <row r="526" spans="1:15" ht="12" thickBot="1">
      <c r="N526" s="2344"/>
      <c r="O526" s="2328"/>
    </row>
    <row r="527" spans="1:15" ht="12" thickBot="1">
      <c r="A527" s="2358"/>
      <c r="B527" s="471"/>
      <c r="C527" s="471"/>
      <c r="D527" s="471"/>
      <c r="E527" s="471"/>
      <c r="F527" s="471"/>
      <c r="G527" s="471"/>
      <c r="H527" s="471"/>
      <c r="I527" s="471"/>
      <c r="J527" s="471"/>
      <c r="K527" s="471"/>
      <c r="L527" s="471"/>
      <c r="N527" s="2344"/>
      <c r="O527" s="2328"/>
    </row>
    <row r="528" spans="1:15" ht="12" thickBot="1">
      <c r="A528" s="2359"/>
      <c r="B528" s="465"/>
      <c r="C528" s="465"/>
      <c r="D528" s="465"/>
      <c r="E528" s="465"/>
      <c r="F528" s="465"/>
      <c r="G528" s="465"/>
      <c r="H528" s="465"/>
      <c r="I528" s="465"/>
      <c r="J528" s="465"/>
      <c r="K528" s="465"/>
      <c r="L528" s="465"/>
      <c r="N528" s="465"/>
      <c r="O528" s="2328"/>
    </row>
    <row r="529" spans="1:15" ht="12" thickBot="1">
      <c r="A529" s="2359"/>
      <c r="O529" s="2328"/>
    </row>
    <row r="530" spans="1:15" ht="12" thickBot="1">
      <c r="A530" s="2359"/>
      <c r="O530" s="2328"/>
    </row>
    <row r="531" spans="1:15" ht="12" thickBot="1">
      <c r="A531" s="2359"/>
      <c r="O531" s="2328"/>
    </row>
    <row r="532" spans="1:15" ht="12" thickBot="1">
      <c r="A532" s="2359"/>
      <c r="O532" s="2328"/>
    </row>
    <row r="533" spans="1:15" ht="12" thickBot="1">
      <c r="A533" s="2359"/>
      <c r="O533" s="2328"/>
    </row>
    <row r="534" spans="1:15" ht="12" thickBot="1">
      <c r="A534" s="2359"/>
      <c r="O534" s="2328"/>
    </row>
    <row r="535" spans="1:15">
      <c r="A535" s="2360"/>
      <c r="O535" s="2329"/>
    </row>
  </sheetData>
  <mergeCells count="103">
    <mergeCell ref="C96:C98"/>
    <mergeCell ref="M99:M104"/>
    <mergeCell ref="A105:A116"/>
    <mergeCell ref="A117:A128"/>
    <mergeCell ref="O117:O128"/>
    <mergeCell ref="C122:C123"/>
    <mergeCell ref="N124:N128"/>
    <mergeCell ref="A91:A103"/>
    <mergeCell ref="C100:C103"/>
    <mergeCell ref="N99:N103"/>
    <mergeCell ref="O91:O103"/>
    <mergeCell ref="O105:O116"/>
    <mergeCell ref="C110:C111"/>
    <mergeCell ref="C113:C114"/>
    <mergeCell ref="C115:C116"/>
    <mergeCell ref="N112:N116"/>
    <mergeCell ref="M112:M116"/>
    <mergeCell ref="C127:C128"/>
    <mergeCell ref="M124:M128"/>
    <mergeCell ref="O129:O140"/>
    <mergeCell ref="C131:C133"/>
    <mergeCell ref="C134:C135"/>
    <mergeCell ref="N136:N140"/>
    <mergeCell ref="C137:C138"/>
    <mergeCell ref="C139:C140"/>
    <mergeCell ref="M136:M140"/>
    <mergeCell ref="A141:A154"/>
    <mergeCell ref="O141:O154"/>
    <mergeCell ref="M149:M154"/>
    <mergeCell ref="N149:N154"/>
    <mergeCell ref="C150:C151"/>
    <mergeCell ref="C152:C154"/>
    <mergeCell ref="A129:A140"/>
    <mergeCell ref="M38:M40"/>
    <mergeCell ref="N38:N40"/>
    <mergeCell ref="C45:C49"/>
    <mergeCell ref="C51:C54"/>
    <mergeCell ref="O23:O31"/>
    <mergeCell ref="A43:A54"/>
    <mergeCell ref="O43:O54"/>
    <mergeCell ref="N50:N54"/>
    <mergeCell ref="A23:A31"/>
    <mergeCell ref="N29:N31"/>
    <mergeCell ref="C25:C31"/>
    <mergeCell ref="M29:M31"/>
    <mergeCell ref="M50:M54"/>
    <mergeCell ref="O32:O40"/>
    <mergeCell ref="A32:A42"/>
    <mergeCell ref="C34:C42"/>
    <mergeCell ref="B4:B5"/>
    <mergeCell ref="C4:C5"/>
    <mergeCell ref="D4:D5"/>
    <mergeCell ref="O4:O5"/>
    <mergeCell ref="O10:O22"/>
    <mergeCell ref="C11:C16"/>
    <mergeCell ref="C18:C22"/>
    <mergeCell ref="N4:N5"/>
    <mergeCell ref="N17:N22"/>
    <mergeCell ref="E4:E5"/>
    <mergeCell ref="F4:F5"/>
    <mergeCell ref="G4:L4"/>
    <mergeCell ref="M4:M5"/>
    <mergeCell ref="M17:M22"/>
    <mergeCell ref="C59:C61"/>
    <mergeCell ref="C63:C64"/>
    <mergeCell ref="C65:C66"/>
    <mergeCell ref="N62:N66"/>
    <mergeCell ref="M62:M66"/>
    <mergeCell ref="A67:A78"/>
    <mergeCell ref="O67:O78"/>
    <mergeCell ref="C69:C70"/>
    <mergeCell ref="C75:C76"/>
    <mergeCell ref="C77:C78"/>
    <mergeCell ref="N74:N78"/>
    <mergeCell ref="M74:M78"/>
    <mergeCell ref="A55:A66"/>
    <mergeCell ref="O55:O66"/>
    <mergeCell ref="C57:C58"/>
    <mergeCell ref="C71:C73"/>
    <mergeCell ref="C81:C83"/>
    <mergeCell ref="C87:C88"/>
    <mergeCell ref="C89:C90"/>
    <mergeCell ref="N86:N90"/>
    <mergeCell ref="M86:M90"/>
    <mergeCell ref="A167:A178"/>
    <mergeCell ref="O167:O178"/>
    <mergeCell ref="C172:C173"/>
    <mergeCell ref="M174:M178"/>
    <mergeCell ref="N174:N178"/>
    <mergeCell ref="C175:C176"/>
    <mergeCell ref="C177:C178"/>
    <mergeCell ref="A155:A166"/>
    <mergeCell ref="O155:O166"/>
    <mergeCell ref="C160:C161"/>
    <mergeCell ref="M162:M166"/>
    <mergeCell ref="N162:N166"/>
    <mergeCell ref="C163:C164"/>
    <mergeCell ref="C165:C166"/>
    <mergeCell ref="C125:C126"/>
    <mergeCell ref="A79:A90"/>
    <mergeCell ref="O79:O90"/>
    <mergeCell ref="C84:C85"/>
    <mergeCell ref="C146:C148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8" firstPageNumber="48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______________________________________________________________________________________________________________________________________</oddHeader>
    <oddFooter>&amp;C&amp;8&amp;P</oddFooter>
  </headerFooter>
  <rowBreaks count="3" manualBreakCount="3">
    <brk id="54" max="14" man="1"/>
    <brk id="104" max="14" man="1"/>
    <brk id="15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BN533"/>
  <sheetViews>
    <sheetView showGridLines="0" view="pageBreakPreview" zoomScaleSheetLayoutView="100" workbookViewId="0">
      <pane xSplit="3" ySplit="7" topLeftCell="D93" activePane="bottomRight" state="frozen"/>
      <selection activeCell="A4" sqref="A1:XFD1048576"/>
      <selection pane="topRight" activeCell="A4" sqref="A1:XFD1048576"/>
      <selection pane="bottomLeft" activeCell="A4" sqref="A1:XFD1048576"/>
      <selection pane="bottomRight" activeCell="A4" sqref="A1:XFD1048576"/>
    </sheetView>
  </sheetViews>
  <sheetFormatPr defaultColWidth="9.140625" defaultRowHeight="12" outlineLevelRow="1"/>
  <cols>
    <col min="1" max="1" width="3.7109375" style="421" customWidth="1"/>
    <col min="2" max="2" width="59" style="291" customWidth="1"/>
    <col min="3" max="3" width="9.7109375" style="291" customWidth="1"/>
    <col min="4" max="4" width="14.5703125" style="291" customWidth="1"/>
    <col min="5" max="5" width="12.5703125" style="291" customWidth="1"/>
    <col min="6" max="12" width="10.85546875" style="291" customWidth="1"/>
    <col min="13" max="13" width="11.7109375" style="291" hidden="1" customWidth="1"/>
    <col min="14" max="14" width="11.7109375" style="291" customWidth="1"/>
    <col min="15" max="15" width="17.42578125" style="425" customWidth="1"/>
    <col min="16" max="16" width="15.140625" style="291" customWidth="1"/>
    <col min="17" max="17" width="11.7109375" style="291" bestFit="1" customWidth="1"/>
    <col min="18" max="16384" width="9.140625" style="291"/>
  </cols>
  <sheetData>
    <row r="1" spans="1:66" ht="16.5" customHeight="1">
      <c r="F1" s="3937"/>
      <c r="G1" s="3937"/>
      <c r="H1" s="287" t="s">
        <v>525</v>
      </c>
      <c r="I1" s="284"/>
      <c r="J1" s="284"/>
      <c r="K1" s="284"/>
      <c r="L1" s="284"/>
      <c r="M1" s="6"/>
      <c r="N1" s="6"/>
      <c r="O1" s="7"/>
    </row>
    <row r="2" spans="1:66" ht="15" hidden="1" customHeight="1">
      <c r="F2" s="286"/>
      <c r="G2" s="286"/>
      <c r="H2" s="286"/>
      <c r="I2" s="286"/>
      <c r="J2" s="286"/>
      <c r="K2" s="286"/>
      <c r="L2" s="286"/>
      <c r="M2" s="6"/>
      <c r="N2" s="6"/>
      <c r="O2" s="7"/>
    </row>
    <row r="3" spans="1:66" ht="9" customHeight="1">
      <c r="D3" s="422"/>
      <c r="F3" s="288"/>
      <c r="G3" s="288"/>
      <c r="H3" s="288"/>
      <c r="I3" s="288"/>
      <c r="J3" s="288"/>
      <c r="K3" s="288"/>
      <c r="L3" s="288"/>
      <c r="M3" s="6"/>
      <c r="N3" s="6"/>
      <c r="O3" s="7"/>
    </row>
    <row r="4" spans="1:66" s="424" customFormat="1" ht="40.5" customHeight="1" thickBot="1">
      <c r="A4" s="3938" t="s">
        <v>224</v>
      </c>
      <c r="B4" s="3938"/>
      <c r="C4" s="3938"/>
      <c r="D4" s="3938"/>
      <c r="E4" s="3938"/>
      <c r="F4" s="3938"/>
      <c r="G4" s="3938"/>
      <c r="H4" s="3938"/>
      <c r="I4" s="3938"/>
      <c r="J4" s="3938"/>
      <c r="K4" s="3938"/>
      <c r="L4" s="3938"/>
      <c r="M4" s="3938"/>
      <c r="N4" s="3938"/>
      <c r="O4" s="3938"/>
      <c r="P4" s="423"/>
      <c r="Q4" s="423"/>
      <c r="R4" s="423"/>
      <c r="S4" s="423"/>
      <c r="T4" s="423"/>
      <c r="U4" s="423"/>
      <c r="V4" s="423"/>
      <c r="W4" s="423"/>
      <c r="X4" s="423"/>
      <c r="Y4" s="423"/>
      <c r="Z4" s="423"/>
      <c r="AA4" s="423"/>
      <c r="AB4" s="423"/>
      <c r="AC4" s="423"/>
      <c r="AD4" s="423"/>
      <c r="AE4" s="423"/>
      <c r="AF4" s="423"/>
      <c r="AG4" s="423"/>
      <c r="AH4" s="423"/>
      <c r="AI4" s="423"/>
      <c r="AJ4" s="423"/>
      <c r="AK4" s="423"/>
      <c r="AL4" s="290"/>
      <c r="AM4" s="290"/>
      <c r="AN4" s="290"/>
      <c r="AO4" s="290"/>
      <c r="AP4" s="290"/>
      <c r="AQ4" s="290"/>
      <c r="AR4" s="290"/>
      <c r="AS4" s="290"/>
      <c r="AT4" s="290"/>
      <c r="AU4" s="290"/>
      <c r="AV4" s="290"/>
      <c r="AW4" s="290"/>
      <c r="AX4" s="290"/>
      <c r="AY4" s="290"/>
      <c r="AZ4" s="290"/>
      <c r="BA4" s="290"/>
      <c r="BB4" s="290"/>
      <c r="BC4" s="290"/>
      <c r="BD4" s="290"/>
      <c r="BE4" s="290"/>
      <c r="BF4" s="290"/>
      <c r="BG4" s="290"/>
      <c r="BH4" s="290"/>
      <c r="BI4" s="290"/>
      <c r="BJ4" s="290"/>
      <c r="BK4" s="290"/>
      <c r="BL4" s="290"/>
      <c r="BM4" s="290"/>
      <c r="BN4" s="290"/>
    </row>
    <row r="5" spans="1:66" ht="72" customHeight="1">
      <c r="A5" s="2120"/>
      <c r="B5" s="3939" t="s">
        <v>67</v>
      </c>
      <c r="C5" s="3941" t="s">
        <v>63</v>
      </c>
      <c r="D5" s="3943" t="s">
        <v>64</v>
      </c>
      <c r="E5" s="1199" t="s">
        <v>255</v>
      </c>
      <c r="F5" s="3293" t="s">
        <v>573</v>
      </c>
      <c r="G5" s="3485" t="s">
        <v>513</v>
      </c>
      <c r="H5" s="3486"/>
      <c r="I5" s="3486"/>
      <c r="J5" s="3486"/>
      <c r="K5" s="3486"/>
      <c r="L5" s="3487"/>
      <c r="M5" s="3879" t="s">
        <v>528</v>
      </c>
      <c r="N5" s="3879" t="s">
        <v>514</v>
      </c>
      <c r="O5" s="3795" t="s">
        <v>65</v>
      </c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  <c r="AB5" s="290"/>
      <c r="AC5" s="290"/>
      <c r="AD5" s="290"/>
      <c r="AE5" s="290"/>
      <c r="AF5" s="290"/>
      <c r="AG5" s="290"/>
      <c r="AH5" s="290"/>
      <c r="AI5" s="290"/>
      <c r="AJ5" s="290"/>
      <c r="AK5" s="290"/>
      <c r="AL5" s="290"/>
      <c r="AM5" s="290"/>
      <c r="AN5" s="290"/>
      <c r="AO5" s="290"/>
      <c r="AP5" s="290"/>
      <c r="AQ5" s="290"/>
      <c r="AR5" s="290"/>
      <c r="AS5" s="290"/>
      <c r="AT5" s="290"/>
      <c r="AU5" s="290"/>
      <c r="AV5" s="290"/>
      <c r="AW5" s="290"/>
      <c r="AX5" s="290"/>
      <c r="AY5" s="290"/>
      <c r="AZ5" s="290"/>
      <c r="BA5" s="290"/>
      <c r="BB5" s="290"/>
      <c r="BC5" s="290"/>
      <c r="BD5" s="290"/>
      <c r="BE5" s="290"/>
      <c r="BF5" s="290"/>
      <c r="BG5" s="290"/>
      <c r="BH5" s="290"/>
      <c r="BI5" s="290"/>
      <c r="BJ5" s="290"/>
      <c r="BK5" s="290"/>
      <c r="BL5" s="290"/>
      <c r="BM5" s="290"/>
      <c r="BN5" s="290"/>
    </row>
    <row r="6" spans="1:66" ht="21" customHeight="1">
      <c r="A6" s="2121"/>
      <c r="B6" s="3940"/>
      <c r="C6" s="3942"/>
      <c r="D6" s="3944"/>
      <c r="E6" s="1200" t="s">
        <v>496</v>
      </c>
      <c r="F6" s="3950"/>
      <c r="G6" s="2967" t="s">
        <v>6</v>
      </c>
      <c r="H6" s="1330" t="s">
        <v>202</v>
      </c>
      <c r="I6" s="1330" t="s">
        <v>203</v>
      </c>
      <c r="J6" s="1330" t="s">
        <v>248</v>
      </c>
      <c r="K6" s="1330" t="s">
        <v>249</v>
      </c>
      <c r="L6" s="1330" t="s">
        <v>250</v>
      </c>
      <c r="M6" s="3946"/>
      <c r="N6" s="3946"/>
      <c r="O6" s="3945"/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290"/>
      <c r="AH6" s="290"/>
      <c r="AI6" s="290"/>
      <c r="AJ6" s="290"/>
      <c r="AK6" s="290"/>
      <c r="AL6" s="290"/>
      <c r="AM6" s="290"/>
      <c r="AN6" s="290"/>
      <c r="AO6" s="290"/>
      <c r="AP6" s="290"/>
      <c r="AQ6" s="290"/>
      <c r="AR6" s="290"/>
      <c r="AS6" s="290"/>
      <c r="AT6" s="290"/>
      <c r="AU6" s="290"/>
      <c r="AV6" s="290"/>
      <c r="AW6" s="290"/>
      <c r="AX6" s="290"/>
      <c r="AY6" s="290"/>
      <c r="AZ6" s="290"/>
      <c r="BA6" s="290"/>
      <c r="BB6" s="290"/>
      <c r="BC6" s="290"/>
      <c r="BD6" s="290"/>
      <c r="BE6" s="290"/>
      <c r="BF6" s="290"/>
      <c r="BG6" s="290"/>
      <c r="BH6" s="290"/>
      <c r="BI6" s="290"/>
      <c r="BJ6" s="290"/>
      <c r="BK6" s="290"/>
      <c r="BL6" s="290"/>
      <c r="BM6" s="290"/>
      <c r="BN6" s="290"/>
    </row>
    <row r="7" spans="1:66" ht="11.25">
      <c r="A7" s="2122">
        <v>1</v>
      </c>
      <c r="B7" s="2123">
        <v>2</v>
      </c>
      <c r="C7" s="2124" t="s">
        <v>110</v>
      </c>
      <c r="D7" s="2124" t="s">
        <v>111</v>
      </c>
      <c r="E7" s="2124">
        <v>5</v>
      </c>
      <c r="F7" s="1215">
        <v>6</v>
      </c>
      <c r="G7" s="1215">
        <v>7</v>
      </c>
      <c r="H7" s="1215">
        <v>8</v>
      </c>
      <c r="I7" s="1215">
        <v>9</v>
      </c>
      <c r="J7" s="1215">
        <v>10</v>
      </c>
      <c r="K7" s="1215">
        <v>11</v>
      </c>
      <c r="L7" s="1215">
        <v>12</v>
      </c>
      <c r="M7" s="2125">
        <v>13</v>
      </c>
      <c r="N7" s="2125">
        <v>13</v>
      </c>
      <c r="O7" s="2126">
        <v>14</v>
      </c>
      <c r="P7" s="290"/>
      <c r="Q7" s="290"/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/>
      <c r="AF7" s="290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  <c r="AV7" s="290"/>
      <c r="AW7" s="290"/>
      <c r="AX7" s="290"/>
      <c r="AY7" s="290"/>
      <c r="AZ7" s="290"/>
      <c r="BA7" s="290"/>
      <c r="BB7" s="290"/>
      <c r="BC7" s="290"/>
      <c r="BD7" s="290"/>
      <c r="BE7" s="290"/>
      <c r="BF7" s="290"/>
      <c r="BG7" s="290"/>
      <c r="BH7" s="290"/>
      <c r="BI7" s="290"/>
      <c r="BJ7" s="290"/>
      <c r="BK7" s="290"/>
      <c r="BL7" s="290"/>
      <c r="BM7" s="290"/>
      <c r="BN7" s="290"/>
    </row>
    <row r="8" spans="1:66" s="2454" customFormat="1" ht="16.5" customHeight="1">
      <c r="A8" s="1105"/>
      <c r="B8" s="568" t="s">
        <v>68</v>
      </c>
      <c r="C8" s="214"/>
      <c r="D8" s="215">
        <f>+D9+D10</f>
        <v>43479650</v>
      </c>
      <c r="E8" s="215">
        <f t="shared" ref="E8:L8" si="0">+E9+E10</f>
        <v>7493703</v>
      </c>
      <c r="F8" s="215">
        <f t="shared" si="0"/>
        <v>4882915</v>
      </c>
      <c r="G8" s="215">
        <f t="shared" si="0"/>
        <v>6770610</v>
      </c>
      <c r="H8" s="215">
        <f t="shared" si="0"/>
        <v>8678868</v>
      </c>
      <c r="I8" s="215">
        <f t="shared" si="0"/>
        <v>8469761</v>
      </c>
      <c r="J8" s="215">
        <f t="shared" si="0"/>
        <v>2668770</v>
      </c>
      <c r="K8" s="215">
        <f t="shared" si="0"/>
        <v>2602467</v>
      </c>
      <c r="L8" s="215">
        <f t="shared" si="0"/>
        <v>1912556</v>
      </c>
      <c r="M8" s="145">
        <f t="shared" ref="M8" si="1">+M9+M10</f>
        <v>35985947</v>
      </c>
      <c r="N8" s="145">
        <f t="shared" ref="N8" si="2">+N9+N10</f>
        <v>31103032</v>
      </c>
      <c r="O8" s="17"/>
      <c r="P8" s="2455">
        <f>+F8+G8+H8+I8+J8+K8+L8</f>
        <v>35985947</v>
      </c>
    </row>
    <row r="9" spans="1:66" s="2454" customFormat="1" ht="13.5" customHeight="1">
      <c r="A9" s="572"/>
      <c r="B9" s="568" t="s">
        <v>69</v>
      </c>
      <c r="C9" s="214"/>
      <c r="D9" s="215">
        <f t="shared" ref="D9:L9" si="3">+D44+D78+D87+D58+D96</f>
        <v>42463630</v>
      </c>
      <c r="E9" s="215">
        <f t="shared" si="3"/>
        <v>7444603</v>
      </c>
      <c r="F9" s="215">
        <f t="shared" si="3"/>
        <v>4882915</v>
      </c>
      <c r="G9" s="215">
        <f t="shared" si="3"/>
        <v>6547080</v>
      </c>
      <c r="H9" s="215">
        <f t="shared" si="3"/>
        <v>8113878</v>
      </c>
      <c r="I9" s="215">
        <f t="shared" si="3"/>
        <v>8291361</v>
      </c>
      <c r="J9" s="215">
        <f t="shared" si="3"/>
        <v>2668770</v>
      </c>
      <c r="K9" s="215">
        <f t="shared" si="3"/>
        <v>2602467</v>
      </c>
      <c r="L9" s="215">
        <f t="shared" si="3"/>
        <v>1912556</v>
      </c>
      <c r="M9" s="145">
        <f>SUM(F9:L9)</f>
        <v>35019027</v>
      </c>
      <c r="N9" s="145">
        <f>SUM(G9:L9)</f>
        <v>30136112</v>
      </c>
      <c r="O9" s="17"/>
      <c r="P9" s="2455"/>
    </row>
    <row r="10" spans="1:66" s="2454" customFormat="1" ht="13.5" customHeight="1" thickBot="1">
      <c r="A10" s="572"/>
      <c r="B10" s="219" t="s">
        <v>9</v>
      </c>
      <c r="C10" s="529"/>
      <c r="D10" s="217">
        <f t="shared" ref="D10:L10" si="4">+D33+D69</f>
        <v>1016020</v>
      </c>
      <c r="E10" s="217">
        <f t="shared" si="4"/>
        <v>49100</v>
      </c>
      <c r="F10" s="217">
        <f t="shared" si="4"/>
        <v>0</v>
      </c>
      <c r="G10" s="217">
        <f t="shared" si="4"/>
        <v>223530</v>
      </c>
      <c r="H10" s="217">
        <f t="shared" si="4"/>
        <v>564990</v>
      </c>
      <c r="I10" s="217">
        <f t="shared" si="4"/>
        <v>178400</v>
      </c>
      <c r="J10" s="217">
        <f t="shared" si="4"/>
        <v>0</v>
      </c>
      <c r="K10" s="217">
        <f t="shared" si="4"/>
        <v>0</v>
      </c>
      <c r="L10" s="217">
        <f t="shared" si="4"/>
        <v>0</v>
      </c>
      <c r="M10" s="1572">
        <f>SUM(F10:L10)</f>
        <v>966920</v>
      </c>
      <c r="N10" s="147">
        <f>SUM(G10:L10)</f>
        <v>966920</v>
      </c>
      <c r="O10" s="1109"/>
    </row>
    <row r="11" spans="1:66" s="1145" customFormat="1" ht="14.25" customHeight="1">
      <c r="A11" s="2127"/>
      <c r="B11" s="80" t="s">
        <v>10</v>
      </c>
      <c r="C11" s="183"/>
      <c r="D11" s="97">
        <f t="shared" ref="D11:L11" si="5">+D12+D16</f>
        <v>43479650</v>
      </c>
      <c r="E11" s="97">
        <f t="shared" si="5"/>
        <v>7493703</v>
      </c>
      <c r="F11" s="97">
        <f t="shared" si="5"/>
        <v>4882915</v>
      </c>
      <c r="G11" s="97">
        <f t="shared" si="5"/>
        <v>6770610</v>
      </c>
      <c r="H11" s="97">
        <f t="shared" si="5"/>
        <v>8678868</v>
      </c>
      <c r="I11" s="97">
        <f t="shared" si="5"/>
        <v>8469761</v>
      </c>
      <c r="J11" s="97">
        <f t="shared" si="5"/>
        <v>2668770</v>
      </c>
      <c r="K11" s="97">
        <f t="shared" si="5"/>
        <v>2602467</v>
      </c>
      <c r="L11" s="97">
        <f t="shared" si="5"/>
        <v>1912556</v>
      </c>
      <c r="M11" s="1142">
        <f>+M12+M16</f>
        <v>27727926</v>
      </c>
      <c r="N11" s="1142">
        <f>+N12+N16</f>
        <v>24015233</v>
      </c>
      <c r="O11" s="2932"/>
      <c r="P11" s="1143"/>
      <c r="Q11" s="662"/>
      <c r="R11" s="1144"/>
      <c r="S11" s="1144"/>
      <c r="T11" s="1144"/>
      <c r="U11" s="1144"/>
      <c r="V11" s="1144"/>
      <c r="W11" s="1144"/>
      <c r="X11" s="1144"/>
      <c r="Y11" s="1144"/>
      <c r="Z11" s="1144"/>
      <c r="AA11" s="1144"/>
      <c r="AB11" s="1144"/>
      <c r="AC11" s="1144"/>
      <c r="AD11" s="1144"/>
      <c r="AE11" s="1144"/>
      <c r="AF11" s="1144"/>
      <c r="AG11" s="1144"/>
      <c r="AH11" s="1144"/>
      <c r="AI11" s="1144"/>
      <c r="AJ11" s="1144"/>
      <c r="AK11" s="1144"/>
      <c r="AL11" s="1144"/>
      <c r="AM11" s="1144"/>
      <c r="AN11" s="1144"/>
      <c r="AO11" s="1144"/>
      <c r="AP11" s="1144"/>
      <c r="AQ11" s="1144"/>
      <c r="AR11" s="1144"/>
      <c r="AS11" s="1144"/>
      <c r="AT11" s="1144"/>
      <c r="AU11" s="1144"/>
      <c r="AV11" s="1144"/>
      <c r="AW11" s="1144"/>
      <c r="AX11" s="1144"/>
      <c r="AY11" s="1144"/>
      <c r="AZ11" s="1144"/>
      <c r="BA11" s="1144"/>
      <c r="BB11" s="1144"/>
      <c r="BC11" s="1144"/>
      <c r="BD11" s="1144"/>
      <c r="BE11" s="1144"/>
      <c r="BF11" s="1144"/>
      <c r="BG11" s="1144"/>
      <c r="BH11" s="1144"/>
      <c r="BI11" s="1144"/>
      <c r="BJ11" s="1144"/>
      <c r="BK11" s="1144"/>
      <c r="BL11" s="1144"/>
      <c r="BM11" s="1144"/>
      <c r="BN11" s="1144"/>
    </row>
    <row r="12" spans="1:66" s="2745" customFormat="1" ht="14.25" customHeight="1">
      <c r="A12" s="1107"/>
      <c r="B12" s="2048" t="s">
        <v>11</v>
      </c>
      <c r="C12" s="1146"/>
      <c r="D12" s="2049">
        <f t="shared" ref="D12:N12" si="6">SUM(D13:D15)</f>
        <v>14131859</v>
      </c>
      <c r="E12" s="2049">
        <f t="shared" si="6"/>
        <v>2568301</v>
      </c>
      <c r="F12" s="2049">
        <f t="shared" si="6"/>
        <v>1642862</v>
      </c>
      <c r="G12" s="2049">
        <f t="shared" si="6"/>
        <v>2253852</v>
      </c>
      <c r="H12" s="2049">
        <f t="shared" si="6"/>
        <v>2810831</v>
      </c>
      <c r="I12" s="2049">
        <f t="shared" si="6"/>
        <v>2646464</v>
      </c>
      <c r="J12" s="2049">
        <f t="shared" si="6"/>
        <v>808164</v>
      </c>
      <c r="K12" s="2049">
        <f t="shared" si="6"/>
        <v>739309</v>
      </c>
      <c r="L12" s="2049">
        <f t="shared" si="6"/>
        <v>662076</v>
      </c>
      <c r="M12" s="2128">
        <f t="shared" si="6"/>
        <v>9875654</v>
      </c>
      <c r="N12" s="2128">
        <f t="shared" si="6"/>
        <v>8525347</v>
      </c>
      <c r="O12" s="2945"/>
      <c r="Q12" s="2454"/>
    </row>
    <row r="13" spans="1:66" s="2745" customFormat="1" ht="14.25" customHeight="1">
      <c r="A13" s="1106"/>
      <c r="B13" s="2052" t="s">
        <v>12</v>
      </c>
      <c r="C13" s="1147"/>
      <c r="D13" s="2051">
        <f t="shared" ref="D13:L13" si="7">+D46+D71+D80+D89+D98</f>
        <v>740904</v>
      </c>
      <c r="E13" s="2051">
        <f t="shared" si="7"/>
        <v>29465</v>
      </c>
      <c r="F13" s="2051">
        <f t="shared" si="7"/>
        <v>0</v>
      </c>
      <c r="G13" s="2051">
        <f t="shared" si="7"/>
        <v>61592</v>
      </c>
      <c r="H13" s="2051">
        <f>+H46+H71+H80+H89+H98</f>
        <v>146831</v>
      </c>
      <c r="I13" s="2051">
        <f t="shared" si="7"/>
        <v>229464</v>
      </c>
      <c r="J13" s="2051">
        <f t="shared" si="7"/>
        <v>110329</v>
      </c>
      <c r="K13" s="2051">
        <f t="shared" si="7"/>
        <v>141733</v>
      </c>
      <c r="L13" s="2051">
        <f t="shared" si="7"/>
        <v>21490</v>
      </c>
      <c r="M13" s="2129">
        <f t="shared" ref="M13:N13" si="8">+M46+M71+M80</f>
        <v>146536</v>
      </c>
      <c r="N13" s="2129">
        <f t="shared" si="8"/>
        <v>146536</v>
      </c>
      <c r="O13" s="2945"/>
      <c r="P13" s="1148"/>
      <c r="Q13" s="2746"/>
    </row>
    <row r="14" spans="1:66" s="2745" customFormat="1" ht="13.5" customHeight="1" outlineLevel="1">
      <c r="A14" s="1106"/>
      <c r="B14" s="2050" t="s">
        <v>13</v>
      </c>
      <c r="C14" s="1147"/>
      <c r="D14" s="2051">
        <f>+D47+D60</f>
        <v>13390955</v>
      </c>
      <c r="E14" s="2051">
        <f t="shared" ref="E14:L14" si="9">+E47+E60</f>
        <v>2538836</v>
      </c>
      <c r="F14" s="2051">
        <f t="shared" si="9"/>
        <v>1642862</v>
      </c>
      <c r="G14" s="2051">
        <f t="shared" si="9"/>
        <v>2192260</v>
      </c>
      <c r="H14" s="2051">
        <f t="shared" si="9"/>
        <v>2664000</v>
      </c>
      <c r="I14" s="2051">
        <f t="shared" si="9"/>
        <v>2417000</v>
      </c>
      <c r="J14" s="2051">
        <f t="shared" si="9"/>
        <v>697835</v>
      </c>
      <c r="K14" s="2051">
        <f t="shared" si="9"/>
        <v>597576</v>
      </c>
      <c r="L14" s="2051">
        <f t="shared" si="9"/>
        <v>640586</v>
      </c>
      <c r="M14" s="2129">
        <f>+M47</f>
        <v>9729118</v>
      </c>
      <c r="N14" s="2129">
        <f>+N47</f>
        <v>8378811</v>
      </c>
      <c r="O14" s="2945"/>
      <c r="P14" s="1148">
        <f>D14-D23</f>
        <v>0</v>
      </c>
      <c r="Q14" s="2746"/>
    </row>
    <row r="15" spans="1:66" s="2745" customFormat="1" ht="14.25" hidden="1" customHeight="1" outlineLevel="1">
      <c r="A15" s="1106"/>
      <c r="B15" s="2052" t="s">
        <v>16</v>
      </c>
      <c r="C15" s="1619"/>
      <c r="D15" s="2051">
        <f>+D35</f>
        <v>0</v>
      </c>
      <c r="E15" s="2051">
        <f t="shared" ref="E15:L15" si="10">+E35</f>
        <v>0</v>
      </c>
      <c r="F15" s="2051">
        <f t="shared" si="10"/>
        <v>0</v>
      </c>
      <c r="G15" s="2051">
        <f t="shared" si="10"/>
        <v>0</v>
      </c>
      <c r="H15" s="2051">
        <f t="shared" si="10"/>
        <v>0</v>
      </c>
      <c r="I15" s="2051">
        <f t="shared" si="10"/>
        <v>0</v>
      </c>
      <c r="J15" s="2051">
        <f t="shared" si="10"/>
        <v>0</v>
      </c>
      <c r="K15" s="2051">
        <f t="shared" si="10"/>
        <v>0</v>
      </c>
      <c r="L15" s="2051">
        <f t="shared" si="10"/>
        <v>0</v>
      </c>
      <c r="M15" s="2129">
        <f>+M35</f>
        <v>0</v>
      </c>
      <c r="N15" s="2129">
        <f>+N35</f>
        <v>0</v>
      </c>
      <c r="O15" s="2945"/>
      <c r="P15" s="1148">
        <f>D15-D25</f>
        <v>0</v>
      </c>
      <c r="Q15" s="2746"/>
    </row>
    <row r="16" spans="1:66" s="2745" customFormat="1" ht="14.25" customHeight="1" outlineLevel="1">
      <c r="A16" s="1107"/>
      <c r="B16" s="1149" t="s">
        <v>18</v>
      </c>
      <c r="C16" s="1150"/>
      <c r="D16" s="1151">
        <f>+D18+D19+D20+D17</f>
        <v>29347791</v>
      </c>
      <c r="E16" s="1151">
        <f t="shared" ref="E16:L16" si="11">+E18+E19+E20+E17</f>
        <v>4925402</v>
      </c>
      <c r="F16" s="1151">
        <f t="shared" si="11"/>
        <v>3240053</v>
      </c>
      <c r="G16" s="1151">
        <f t="shared" si="11"/>
        <v>4516758</v>
      </c>
      <c r="H16" s="1151">
        <f t="shared" si="11"/>
        <v>5868037</v>
      </c>
      <c r="I16" s="1151">
        <f t="shared" si="11"/>
        <v>5823297</v>
      </c>
      <c r="J16" s="1151">
        <f t="shared" si="11"/>
        <v>1860606</v>
      </c>
      <c r="K16" s="1151">
        <f t="shared" si="11"/>
        <v>1863158</v>
      </c>
      <c r="L16" s="1151">
        <f t="shared" si="11"/>
        <v>1250480</v>
      </c>
      <c r="M16" s="1152">
        <f>+M18+M19+M20+M17</f>
        <v>17852272</v>
      </c>
      <c r="N16" s="1152">
        <f>+N18+N19+N20+N17</f>
        <v>15489886</v>
      </c>
      <c r="O16" s="2945"/>
      <c r="P16" s="2746">
        <f>D18-D29</f>
        <v>0</v>
      </c>
      <c r="Q16" s="2746"/>
    </row>
    <row r="17" spans="1:17" s="2745" customFormat="1" ht="14.25" hidden="1" customHeight="1" outlineLevel="1">
      <c r="A17" s="1107"/>
      <c r="B17" s="2052" t="s">
        <v>12</v>
      </c>
      <c r="C17" s="1146"/>
      <c r="D17" s="2051"/>
      <c r="E17" s="2051"/>
      <c r="F17" s="2051"/>
      <c r="G17" s="2051"/>
      <c r="H17" s="2051"/>
      <c r="I17" s="2051"/>
      <c r="J17" s="2051"/>
      <c r="K17" s="2051"/>
      <c r="L17" s="2051"/>
      <c r="M17" s="2129"/>
      <c r="N17" s="2129"/>
      <c r="O17" s="2945"/>
      <c r="P17" s="2746"/>
      <c r="Q17" s="2746"/>
    </row>
    <row r="18" spans="1:17" s="2745" customFormat="1" ht="14.25" customHeight="1" outlineLevel="1">
      <c r="A18" s="1107"/>
      <c r="B18" s="2050" t="s">
        <v>20</v>
      </c>
      <c r="C18" s="1147"/>
      <c r="D18" s="2051">
        <f t="shared" ref="D18:L18" si="12">+D49+D73+D82+D62+D91+D100</f>
        <v>29347791</v>
      </c>
      <c r="E18" s="2051">
        <f t="shared" si="12"/>
        <v>4925402</v>
      </c>
      <c r="F18" s="2051">
        <f t="shared" si="12"/>
        <v>3240053</v>
      </c>
      <c r="G18" s="2051">
        <f t="shared" si="12"/>
        <v>4516758</v>
      </c>
      <c r="H18" s="2051">
        <f t="shared" si="12"/>
        <v>5868037</v>
      </c>
      <c r="I18" s="2051">
        <f t="shared" si="12"/>
        <v>5823297</v>
      </c>
      <c r="J18" s="2051">
        <f t="shared" si="12"/>
        <v>1860606</v>
      </c>
      <c r="K18" s="2051">
        <f t="shared" si="12"/>
        <v>1863158</v>
      </c>
      <c r="L18" s="2051">
        <f t="shared" si="12"/>
        <v>1250480</v>
      </c>
      <c r="M18" s="2129">
        <f>+M49+M73+M82</f>
        <v>17852272</v>
      </c>
      <c r="N18" s="2129">
        <f>+N49+N73+N82</f>
        <v>15489886</v>
      </c>
      <c r="O18" s="2945"/>
      <c r="P18" s="1148"/>
      <c r="Q18" s="2746"/>
    </row>
    <row r="19" spans="1:17" s="2745" customFormat="1" ht="14.25" hidden="1" customHeight="1" outlineLevel="1">
      <c r="A19" s="1107"/>
      <c r="B19" s="2052" t="s">
        <v>14</v>
      </c>
      <c r="C19" s="1153"/>
      <c r="D19" s="2051"/>
      <c r="E19" s="2051"/>
      <c r="F19" s="2051"/>
      <c r="G19" s="2051"/>
      <c r="H19" s="2051"/>
      <c r="I19" s="2051"/>
      <c r="J19" s="2051"/>
      <c r="K19" s="2051"/>
      <c r="L19" s="2051"/>
      <c r="M19" s="2129"/>
      <c r="N19" s="2129"/>
      <c r="O19" s="2945"/>
      <c r="P19" s="1148"/>
      <c r="Q19" s="2746"/>
    </row>
    <row r="20" spans="1:17" s="2745" customFormat="1" ht="14.25" hidden="1" customHeight="1" outlineLevel="1">
      <c r="A20" s="1107"/>
      <c r="B20" s="2050" t="s">
        <v>19</v>
      </c>
      <c r="C20" s="1153"/>
      <c r="D20" s="2051">
        <f>+D37</f>
        <v>0</v>
      </c>
      <c r="E20" s="2051">
        <f t="shared" ref="E20:L20" si="13">+E37</f>
        <v>0</v>
      </c>
      <c r="F20" s="2051">
        <f t="shared" si="13"/>
        <v>0</v>
      </c>
      <c r="G20" s="2051">
        <f t="shared" si="13"/>
        <v>0</v>
      </c>
      <c r="H20" s="2051">
        <f t="shared" si="13"/>
        <v>0</v>
      </c>
      <c r="I20" s="2051">
        <f t="shared" si="13"/>
        <v>0</v>
      </c>
      <c r="J20" s="2051">
        <f t="shared" si="13"/>
        <v>0</v>
      </c>
      <c r="K20" s="2051">
        <f t="shared" si="13"/>
        <v>0</v>
      </c>
      <c r="L20" s="2051">
        <f t="shared" si="13"/>
        <v>0</v>
      </c>
      <c r="M20" s="2129">
        <f>+M37</f>
        <v>0</v>
      </c>
      <c r="N20" s="2129">
        <f>+N37</f>
        <v>0</v>
      </c>
      <c r="O20" s="2946"/>
      <c r="P20" s="1148"/>
      <c r="Q20" s="2746"/>
    </row>
    <row r="21" spans="1:17" s="2745" customFormat="1" ht="14.25" customHeight="1" outlineLevel="1">
      <c r="A21" s="572"/>
      <c r="B21" s="80" t="s">
        <v>21</v>
      </c>
      <c r="C21" s="88"/>
      <c r="D21" s="1154">
        <f>+D22+D28</f>
        <v>42738746</v>
      </c>
      <c r="E21" s="1154">
        <f t="shared" ref="E21:L21" si="14">+E22+E28</f>
        <v>7444603</v>
      </c>
      <c r="F21" s="1154">
        <f t="shared" si="14"/>
        <v>4882915</v>
      </c>
      <c r="G21" s="1154">
        <f t="shared" si="14"/>
        <v>6728653</v>
      </c>
      <c r="H21" s="1154">
        <f t="shared" si="14"/>
        <v>8532037</v>
      </c>
      <c r="I21" s="1154">
        <f t="shared" si="14"/>
        <v>8240297</v>
      </c>
      <c r="J21" s="1154">
        <f t="shared" si="14"/>
        <v>2558441</v>
      </c>
      <c r="K21" s="1154">
        <f t="shared" si="14"/>
        <v>2460734</v>
      </c>
      <c r="L21" s="1154">
        <f t="shared" si="14"/>
        <v>1891066</v>
      </c>
      <c r="M21" s="3947" t="s">
        <v>53</v>
      </c>
      <c r="N21" s="3947" t="s">
        <v>53</v>
      </c>
      <c r="O21" s="2130"/>
      <c r="P21" s="2746">
        <f>D31-D20-D17</f>
        <v>0</v>
      </c>
    </row>
    <row r="22" spans="1:17" s="2745" customFormat="1" ht="14.25" customHeight="1" outlineLevel="1">
      <c r="A22" s="1107"/>
      <c r="B22" s="2048" t="s">
        <v>11</v>
      </c>
      <c r="C22" s="1146"/>
      <c r="D22" s="2049">
        <f t="shared" ref="D22:L22" si="15">SUM(D23:D27)</f>
        <v>13390955</v>
      </c>
      <c r="E22" s="2049">
        <f t="shared" si="15"/>
        <v>2538836</v>
      </c>
      <c r="F22" s="2049">
        <f t="shared" si="15"/>
        <v>1642862</v>
      </c>
      <c r="G22" s="2049">
        <f t="shared" si="15"/>
        <v>2192260</v>
      </c>
      <c r="H22" s="2049">
        <f t="shared" si="15"/>
        <v>2664000</v>
      </c>
      <c r="I22" s="2049">
        <f t="shared" si="15"/>
        <v>2417000</v>
      </c>
      <c r="J22" s="2049">
        <f t="shared" si="15"/>
        <v>697835</v>
      </c>
      <c r="K22" s="2049">
        <f t="shared" si="15"/>
        <v>597576</v>
      </c>
      <c r="L22" s="2049">
        <f t="shared" si="15"/>
        <v>640586</v>
      </c>
      <c r="M22" s="3948"/>
      <c r="N22" s="3948"/>
      <c r="O22" s="2945"/>
      <c r="P22" s="2746"/>
    </row>
    <row r="23" spans="1:17" s="2745" customFormat="1" ht="14.25" customHeight="1" outlineLevel="1">
      <c r="A23" s="1106"/>
      <c r="B23" s="2050" t="s">
        <v>13</v>
      </c>
      <c r="C23" s="1619"/>
      <c r="D23" s="2051">
        <f>+D52+D65</f>
        <v>13390955</v>
      </c>
      <c r="E23" s="2051">
        <f t="shared" ref="E23:L23" si="16">+E52+E65</f>
        <v>2538836</v>
      </c>
      <c r="F23" s="2051">
        <f t="shared" si="16"/>
        <v>1642862</v>
      </c>
      <c r="G23" s="2051">
        <f t="shared" si="16"/>
        <v>2192260</v>
      </c>
      <c r="H23" s="2051">
        <f t="shared" si="16"/>
        <v>2664000</v>
      </c>
      <c r="I23" s="2051">
        <f t="shared" si="16"/>
        <v>2417000</v>
      </c>
      <c r="J23" s="2051">
        <f t="shared" si="16"/>
        <v>697835</v>
      </c>
      <c r="K23" s="2051">
        <f t="shared" si="16"/>
        <v>597576</v>
      </c>
      <c r="L23" s="2051">
        <f t="shared" si="16"/>
        <v>640586</v>
      </c>
      <c r="M23" s="3948"/>
      <c r="N23" s="3948"/>
      <c r="O23" s="2945"/>
      <c r="P23" s="2746">
        <f>D23-D14</f>
        <v>0</v>
      </c>
    </row>
    <row r="24" spans="1:17" s="2745" customFormat="1" ht="14.25" hidden="1" customHeight="1" outlineLevel="1">
      <c r="A24" s="1106"/>
      <c r="B24" s="2052" t="s">
        <v>14</v>
      </c>
      <c r="C24" s="1147"/>
      <c r="D24" s="2051"/>
      <c r="E24" s="2051"/>
      <c r="F24" s="2051"/>
      <c r="G24" s="2051"/>
      <c r="H24" s="2051"/>
      <c r="I24" s="2051"/>
      <c r="J24" s="2051"/>
      <c r="K24" s="2051"/>
      <c r="L24" s="2051"/>
      <c r="M24" s="3948"/>
      <c r="N24" s="3948"/>
      <c r="O24" s="2945"/>
      <c r="P24" s="2746" t="e">
        <f>D24-#REF!</f>
        <v>#REF!</v>
      </c>
    </row>
    <row r="25" spans="1:17" s="2745" customFormat="1" ht="14.25" hidden="1" customHeight="1" outlineLevel="1">
      <c r="A25" s="1106"/>
      <c r="B25" s="2052" t="s">
        <v>54</v>
      </c>
      <c r="C25" s="1147"/>
      <c r="D25" s="2051">
        <f>+D40</f>
        <v>0</v>
      </c>
      <c r="E25" s="2051">
        <f t="shared" ref="E25:L25" si="17">+E40</f>
        <v>0</v>
      </c>
      <c r="F25" s="2051">
        <f t="shared" si="17"/>
        <v>0</v>
      </c>
      <c r="G25" s="2051">
        <f t="shared" si="17"/>
        <v>0</v>
      </c>
      <c r="H25" s="2051">
        <f t="shared" si="17"/>
        <v>0</v>
      </c>
      <c r="I25" s="2051">
        <f t="shared" si="17"/>
        <v>0</v>
      </c>
      <c r="J25" s="2051">
        <f t="shared" si="17"/>
        <v>0</v>
      </c>
      <c r="K25" s="2051">
        <f t="shared" si="17"/>
        <v>0</v>
      </c>
      <c r="L25" s="2051">
        <f t="shared" si="17"/>
        <v>0</v>
      </c>
      <c r="M25" s="3948"/>
      <c r="N25" s="3948"/>
      <c r="O25" s="2945"/>
      <c r="P25" s="2746">
        <f>D25-D15</f>
        <v>0</v>
      </c>
    </row>
    <row r="26" spans="1:17" s="2745" customFormat="1" ht="14.25" hidden="1" customHeight="1" outlineLevel="1">
      <c r="A26" s="1106"/>
      <c r="B26" s="2052" t="s">
        <v>24</v>
      </c>
      <c r="C26" s="1147"/>
      <c r="D26" s="2051"/>
      <c r="E26" s="2051"/>
      <c r="F26" s="2051"/>
      <c r="G26" s="2051"/>
      <c r="H26" s="2051"/>
      <c r="I26" s="2051"/>
      <c r="J26" s="2051"/>
      <c r="K26" s="2051"/>
      <c r="L26" s="2051"/>
      <c r="M26" s="3948"/>
      <c r="N26" s="3948"/>
      <c r="O26" s="2945"/>
    </row>
    <row r="27" spans="1:17" s="2745" customFormat="1" ht="12.75" hidden="1" customHeight="1" outlineLevel="1">
      <c r="A27" s="1106"/>
      <c r="B27" s="572" t="s">
        <v>12</v>
      </c>
      <c r="C27" s="1155"/>
      <c r="D27" s="1156"/>
      <c r="E27" s="1156"/>
      <c r="F27" s="1156"/>
      <c r="G27" s="1156"/>
      <c r="H27" s="1156"/>
      <c r="I27" s="1156"/>
      <c r="J27" s="1156"/>
      <c r="K27" s="1156"/>
      <c r="L27" s="1156"/>
      <c r="M27" s="3948"/>
      <c r="N27" s="3948"/>
      <c r="O27" s="2945"/>
    </row>
    <row r="28" spans="1:17" s="2745" customFormat="1" ht="14.25" customHeight="1" outlineLevel="1">
      <c r="A28" s="1107"/>
      <c r="B28" s="1149" t="s">
        <v>18</v>
      </c>
      <c r="C28" s="1157"/>
      <c r="D28" s="1151">
        <f>+D29+D31+D30</f>
        <v>29347791</v>
      </c>
      <c r="E28" s="1151">
        <f t="shared" ref="E28:L28" si="18">+E29+E31+E30</f>
        <v>4905767</v>
      </c>
      <c r="F28" s="1151">
        <f t="shared" si="18"/>
        <v>3240053</v>
      </c>
      <c r="G28" s="1151">
        <f t="shared" si="18"/>
        <v>4536393</v>
      </c>
      <c r="H28" s="1151">
        <f t="shared" si="18"/>
        <v>5868037</v>
      </c>
      <c r="I28" s="1151">
        <f t="shared" si="18"/>
        <v>5823297</v>
      </c>
      <c r="J28" s="1151">
        <f t="shared" si="18"/>
        <v>1860606</v>
      </c>
      <c r="K28" s="1151">
        <f t="shared" si="18"/>
        <v>1863158</v>
      </c>
      <c r="L28" s="1151">
        <f t="shared" si="18"/>
        <v>1250480</v>
      </c>
      <c r="M28" s="3948"/>
      <c r="N28" s="3948"/>
      <c r="O28" s="2945"/>
    </row>
    <row r="29" spans="1:17" s="2745" customFormat="1" ht="14.25" customHeight="1" outlineLevel="1" thickBot="1">
      <c r="A29" s="1106"/>
      <c r="B29" s="2050" t="s">
        <v>20</v>
      </c>
      <c r="C29" s="1158"/>
      <c r="D29" s="2051">
        <f t="shared" ref="D29:L29" si="19">D55+D67+D76+D85+D94+D103</f>
        <v>29347791</v>
      </c>
      <c r="E29" s="2051">
        <f t="shared" si="19"/>
        <v>4905767</v>
      </c>
      <c r="F29" s="2051">
        <f t="shared" si="19"/>
        <v>3240053</v>
      </c>
      <c r="G29" s="2051">
        <f>G55+G67+G76+G85+G94+G103</f>
        <v>4536393</v>
      </c>
      <c r="H29" s="2051">
        <f t="shared" si="19"/>
        <v>5868037</v>
      </c>
      <c r="I29" s="2051">
        <f t="shared" si="19"/>
        <v>5823297</v>
      </c>
      <c r="J29" s="2051">
        <f t="shared" si="19"/>
        <v>1860606</v>
      </c>
      <c r="K29" s="2051">
        <f>K55+K67+K76+K85+K94+K103</f>
        <v>1863158</v>
      </c>
      <c r="L29" s="2051">
        <f t="shared" si="19"/>
        <v>1250480</v>
      </c>
      <c r="M29" s="3948"/>
      <c r="N29" s="3948"/>
      <c r="O29" s="2945"/>
      <c r="P29" s="2746">
        <f>D29-D18</f>
        <v>0</v>
      </c>
    </row>
    <row r="30" spans="1:17" s="2745" customFormat="1" ht="14.25" hidden="1" customHeight="1" outlineLevel="1">
      <c r="A30" s="1106"/>
      <c r="B30" s="2052" t="s">
        <v>14</v>
      </c>
      <c r="C30" s="1158"/>
      <c r="D30" s="2051"/>
      <c r="E30" s="2051"/>
      <c r="F30" s="2051"/>
      <c r="G30" s="2051"/>
      <c r="H30" s="2051"/>
      <c r="I30" s="2051"/>
      <c r="J30" s="2051"/>
      <c r="K30" s="2051"/>
      <c r="L30" s="2051"/>
      <c r="M30" s="3948"/>
      <c r="N30" s="3948"/>
      <c r="O30" s="2945"/>
      <c r="P30" s="2746">
        <f>D30-D19</f>
        <v>0</v>
      </c>
      <c r="Q30" s="2746"/>
    </row>
    <row r="31" spans="1:17" s="2745" customFormat="1" ht="14.25" hidden="1" customHeight="1" collapsed="1" thickBot="1">
      <c r="A31" s="1108"/>
      <c r="B31" s="1159" t="s">
        <v>19</v>
      </c>
      <c r="C31" s="2053"/>
      <c r="D31" s="2054">
        <f>+D42</f>
        <v>0</v>
      </c>
      <c r="E31" s="2054">
        <f t="shared" ref="E31:L31" si="20">+E42</f>
        <v>0</v>
      </c>
      <c r="F31" s="2054">
        <f t="shared" si="20"/>
        <v>0</v>
      </c>
      <c r="G31" s="2054">
        <f t="shared" si="20"/>
        <v>0</v>
      </c>
      <c r="H31" s="2054">
        <f t="shared" si="20"/>
        <v>0</v>
      </c>
      <c r="I31" s="2054">
        <f t="shared" si="20"/>
        <v>0</v>
      </c>
      <c r="J31" s="2054">
        <f t="shared" si="20"/>
        <v>0</v>
      </c>
      <c r="K31" s="2054">
        <f t="shared" si="20"/>
        <v>0</v>
      </c>
      <c r="L31" s="2054">
        <f t="shared" si="20"/>
        <v>0</v>
      </c>
      <c r="M31" s="3949"/>
      <c r="N31" s="3949"/>
      <c r="O31" s="2948"/>
      <c r="P31" s="2746">
        <f>D31-D20-D17</f>
        <v>0</v>
      </c>
    </row>
    <row r="32" spans="1:17" s="586" customFormat="1" ht="12.75" hidden="1" thickBot="1">
      <c r="A32" s="3374"/>
      <c r="B32" s="1959"/>
      <c r="C32" s="1068" t="s">
        <v>74</v>
      </c>
      <c r="D32" s="1068"/>
      <c r="E32" s="59"/>
      <c r="F32" s="1069"/>
      <c r="G32" s="1069"/>
      <c r="H32" s="1069"/>
      <c r="I32" s="1069"/>
      <c r="J32" s="1069"/>
      <c r="K32" s="1069"/>
      <c r="L32" s="1069"/>
      <c r="M32" s="1070"/>
      <c r="N32" s="1070"/>
      <c r="O32" s="3317" t="s">
        <v>524</v>
      </c>
    </row>
    <row r="33" spans="1:15" s="586" customFormat="1" ht="14.25" hidden="1" customHeight="1">
      <c r="A33" s="3375"/>
      <c r="B33" s="2055" t="s">
        <v>10</v>
      </c>
      <c r="C33" s="2131"/>
      <c r="D33" s="587">
        <f t="shared" ref="D33" si="21">+D34+D36</f>
        <v>0</v>
      </c>
      <c r="E33" s="2132">
        <f t="shared" ref="E33" si="22">+E34+E36</f>
        <v>0</v>
      </c>
      <c r="F33" s="1828">
        <f>+F34+F36</f>
        <v>0</v>
      </c>
      <c r="G33" s="1828">
        <f>+G34+G36</f>
        <v>0</v>
      </c>
      <c r="H33" s="1828">
        <f>+H34+H36</f>
        <v>0</v>
      </c>
      <c r="I33" s="1835"/>
      <c r="J33" s="1835"/>
      <c r="K33" s="1835"/>
      <c r="L33" s="1835"/>
      <c r="M33" s="2133">
        <f>+M34+M36</f>
        <v>0</v>
      </c>
      <c r="N33" s="2133">
        <f>+N34+N36</f>
        <v>0</v>
      </c>
      <c r="O33" s="3318"/>
    </row>
    <row r="34" spans="1:15" s="586" customFormat="1" ht="14.25" hidden="1" customHeight="1">
      <c r="A34" s="3375"/>
      <c r="B34" s="2057" t="s">
        <v>11</v>
      </c>
      <c r="C34" s="3932" t="s">
        <v>157</v>
      </c>
      <c r="D34" s="2058">
        <f>D35</f>
        <v>0</v>
      </c>
      <c r="E34" s="2134">
        <f t="shared" ref="E34" si="23">E35</f>
        <v>0</v>
      </c>
      <c r="F34" s="1814">
        <f>F35</f>
        <v>0</v>
      </c>
      <c r="G34" s="1814">
        <f>G35</f>
        <v>0</v>
      </c>
      <c r="H34" s="1814">
        <f>H35</f>
        <v>0</v>
      </c>
      <c r="I34" s="2058"/>
      <c r="J34" s="2058"/>
      <c r="K34" s="2058"/>
      <c r="L34" s="2058"/>
      <c r="M34" s="2135">
        <f>M35</f>
        <v>0</v>
      </c>
      <c r="N34" s="2135">
        <f>N35</f>
        <v>0</v>
      </c>
      <c r="O34" s="3318"/>
    </row>
    <row r="35" spans="1:15" s="591" customFormat="1" ht="12.75" hidden="1" thickBot="1">
      <c r="A35" s="3375"/>
      <c r="B35" s="2136" t="s">
        <v>54</v>
      </c>
      <c r="C35" s="3933"/>
      <c r="D35" s="773">
        <f>E35+F35+G35+H35+I35+J35+K35+L35</f>
        <v>0</v>
      </c>
      <c r="E35" s="2137"/>
      <c r="F35" s="2138"/>
      <c r="G35" s="2138"/>
      <c r="H35" s="2138"/>
      <c r="I35" s="2061"/>
      <c r="J35" s="2061"/>
      <c r="K35" s="2061"/>
      <c r="L35" s="2061"/>
      <c r="M35" s="2063">
        <f>SUM(F35:K35)</f>
        <v>0</v>
      </c>
      <c r="N35" s="2063">
        <f>SUM(G35:L35)</f>
        <v>0</v>
      </c>
      <c r="O35" s="3318"/>
    </row>
    <row r="36" spans="1:15" s="586" customFormat="1" ht="14.25" hidden="1" customHeight="1">
      <c r="A36" s="3375"/>
      <c r="B36" s="2065" t="s">
        <v>18</v>
      </c>
      <c r="C36" s="3933"/>
      <c r="D36" s="576">
        <f>D37</f>
        <v>0</v>
      </c>
      <c r="E36" s="2139">
        <f t="shared" ref="E36:H36" si="24">E37</f>
        <v>0</v>
      </c>
      <c r="F36" s="1814">
        <f t="shared" si="24"/>
        <v>0</v>
      </c>
      <c r="G36" s="592">
        <f t="shared" si="24"/>
        <v>0</v>
      </c>
      <c r="H36" s="592">
        <f t="shared" si="24"/>
        <v>0</v>
      </c>
      <c r="I36" s="576"/>
      <c r="J36" s="576"/>
      <c r="K36" s="576"/>
      <c r="L36" s="576"/>
      <c r="M36" s="2135">
        <f>M37</f>
        <v>0</v>
      </c>
      <c r="N36" s="2135">
        <f>N37</f>
        <v>0</v>
      </c>
      <c r="O36" s="3318"/>
    </row>
    <row r="37" spans="1:15" s="586" customFormat="1" ht="12.75" hidden="1" thickBot="1">
      <c r="A37" s="3375"/>
      <c r="B37" s="2060" t="s">
        <v>19</v>
      </c>
      <c r="C37" s="3933"/>
      <c r="D37" s="773">
        <f>E37+F37+G37+H37+I37+J37+K37+L37</f>
        <v>0</v>
      </c>
      <c r="E37" s="2137"/>
      <c r="F37" s="2140"/>
      <c r="G37" s="2141"/>
      <c r="H37" s="2141"/>
      <c r="I37" s="2142"/>
      <c r="J37" s="2142"/>
      <c r="K37" s="2142"/>
      <c r="L37" s="2142"/>
      <c r="M37" s="2063">
        <f>SUM(F37:K37)</f>
        <v>0</v>
      </c>
      <c r="N37" s="2063">
        <f>SUM(G37:L37)</f>
        <v>0</v>
      </c>
      <c r="O37" s="3318"/>
    </row>
    <row r="38" spans="1:15" s="593" customFormat="1" ht="14.25" hidden="1" customHeight="1">
      <c r="A38" s="3375"/>
      <c r="B38" s="2055" t="s">
        <v>21</v>
      </c>
      <c r="C38" s="2131"/>
      <c r="D38" s="573">
        <f t="shared" ref="D38" si="25">+D39+D42</f>
        <v>0</v>
      </c>
      <c r="E38" s="2143">
        <f t="shared" ref="E38" si="26">+E39+E42</f>
        <v>0</v>
      </c>
      <c r="F38" s="1828">
        <f>+F39+F42</f>
        <v>0</v>
      </c>
      <c r="G38" s="1828">
        <f>+G39+G42</f>
        <v>0</v>
      </c>
      <c r="H38" s="1835">
        <f>+H39+H42</f>
        <v>0</v>
      </c>
      <c r="I38" s="1835"/>
      <c r="J38" s="1835"/>
      <c r="K38" s="1835"/>
      <c r="L38" s="1835"/>
      <c r="M38" s="3935" t="s">
        <v>53</v>
      </c>
      <c r="N38" s="3935" t="s">
        <v>53</v>
      </c>
      <c r="O38" s="3318"/>
    </row>
    <row r="39" spans="1:15" s="586" customFormat="1" ht="14.25" hidden="1" customHeight="1">
      <c r="A39" s="3375"/>
      <c r="B39" s="2057" t="s">
        <v>11</v>
      </c>
      <c r="C39" s="3932" t="s">
        <v>157</v>
      </c>
      <c r="D39" s="2058">
        <f>D40</f>
        <v>0</v>
      </c>
      <c r="E39" s="2134">
        <f t="shared" ref="E39:H39" si="27">E40</f>
        <v>0</v>
      </c>
      <c r="F39" s="1814">
        <f t="shared" si="27"/>
        <v>0</v>
      </c>
      <c r="G39" s="1814">
        <f t="shared" si="27"/>
        <v>0</v>
      </c>
      <c r="H39" s="2058">
        <f t="shared" si="27"/>
        <v>0</v>
      </c>
      <c r="I39" s="2058"/>
      <c r="J39" s="2058"/>
      <c r="K39" s="2058"/>
      <c r="L39" s="2058"/>
      <c r="M39" s="3935"/>
      <c r="N39" s="3935"/>
      <c r="O39" s="3318"/>
    </row>
    <row r="40" spans="1:15" s="586" customFormat="1" ht="12.75" hidden="1" customHeight="1">
      <c r="A40" s="3375"/>
      <c r="B40" s="2060" t="s">
        <v>16</v>
      </c>
      <c r="C40" s="3933"/>
      <c r="D40" s="773">
        <f>E40+F40+G40+H40+I40+J40+K40+L40</f>
        <v>0</v>
      </c>
      <c r="E40" s="2138"/>
      <c r="F40" s="2138"/>
      <c r="G40" s="2138"/>
      <c r="H40" s="2061"/>
      <c r="I40" s="2061"/>
      <c r="J40" s="2061"/>
      <c r="K40" s="2061"/>
      <c r="L40" s="2061"/>
      <c r="M40" s="3935"/>
      <c r="N40" s="3935"/>
      <c r="O40" s="3318"/>
    </row>
    <row r="41" spans="1:15" s="586" customFormat="1" ht="14.25" hidden="1" customHeight="1">
      <c r="A41" s="3375"/>
      <c r="B41" s="2065" t="s">
        <v>18</v>
      </c>
      <c r="C41" s="3933"/>
      <c r="D41" s="2058">
        <f>D42</f>
        <v>0</v>
      </c>
      <c r="E41" s="2134">
        <f t="shared" ref="E41:H41" si="28">E42</f>
        <v>0</v>
      </c>
      <c r="F41" s="1814">
        <f t="shared" si="28"/>
        <v>0</v>
      </c>
      <c r="G41" s="1814">
        <f t="shared" si="28"/>
        <v>0</v>
      </c>
      <c r="H41" s="2058">
        <f t="shared" si="28"/>
        <v>0</v>
      </c>
      <c r="I41" s="2058"/>
      <c r="J41" s="2058"/>
      <c r="K41" s="2058"/>
      <c r="L41" s="2058"/>
      <c r="M41" s="3935"/>
      <c r="N41" s="3935"/>
      <c r="O41" s="3318"/>
    </row>
    <row r="42" spans="1:15" s="586" customFormat="1" ht="12.75" hidden="1" thickBot="1">
      <c r="A42" s="3531"/>
      <c r="B42" s="79" t="s">
        <v>19</v>
      </c>
      <c r="C42" s="3934"/>
      <c r="D42" s="1570">
        <f>E42+F42+G42+H42+I42+J42+K42+L42</f>
        <v>0</v>
      </c>
      <c r="E42" s="1628"/>
      <c r="F42" s="2144"/>
      <c r="G42" s="1960"/>
      <c r="H42" s="1079"/>
      <c r="I42" s="1079"/>
      <c r="J42" s="1079"/>
      <c r="K42" s="1079"/>
      <c r="L42" s="1079"/>
      <c r="M42" s="3936"/>
      <c r="N42" s="3936"/>
      <c r="O42" s="3422"/>
    </row>
    <row r="43" spans="1:15" ht="18.75" customHeight="1">
      <c r="A43" s="3374" t="s">
        <v>55</v>
      </c>
      <c r="B43" s="1959" t="s">
        <v>691</v>
      </c>
      <c r="C43" s="2658" t="s">
        <v>101</v>
      </c>
      <c r="D43" s="2658"/>
      <c r="E43" s="2658"/>
      <c r="F43" s="2643"/>
      <c r="G43" s="2643"/>
      <c r="H43" s="2643"/>
      <c r="I43" s="2643"/>
      <c r="J43" s="2643"/>
      <c r="K43" s="2643"/>
      <c r="L43" s="58"/>
      <c r="M43" s="3002"/>
      <c r="N43" s="3002"/>
      <c r="O43" s="3384" t="s">
        <v>324</v>
      </c>
    </row>
    <row r="44" spans="1:15" ht="13.5" customHeight="1">
      <c r="A44" s="3375"/>
      <c r="B44" s="2055" t="s">
        <v>10</v>
      </c>
      <c r="C44" s="1989"/>
      <c r="D44" s="573">
        <f t="shared" ref="D44:L44" si="29">+D45+D48</f>
        <v>32711308</v>
      </c>
      <c r="E44" s="573">
        <f t="shared" ref="E44" si="30">+E45+E48</f>
        <v>5960282</v>
      </c>
      <c r="F44" s="1835">
        <f t="shared" si="29"/>
        <v>3712693</v>
      </c>
      <c r="G44" s="1835">
        <f t="shared" si="29"/>
        <v>5300000</v>
      </c>
      <c r="H44" s="1835">
        <f t="shared" si="29"/>
        <v>6500000</v>
      </c>
      <c r="I44" s="1835">
        <f t="shared" si="29"/>
        <v>6000000</v>
      </c>
      <c r="J44" s="1835">
        <f t="shared" si="29"/>
        <v>1883242</v>
      </c>
      <c r="K44" s="1835">
        <f t="shared" si="29"/>
        <v>1607578</v>
      </c>
      <c r="L44" s="1835">
        <f t="shared" si="29"/>
        <v>1747513</v>
      </c>
      <c r="M44" s="2056">
        <f>+M45+M48</f>
        <v>26751026</v>
      </c>
      <c r="N44" s="2056">
        <f>+N45+N48</f>
        <v>23038333</v>
      </c>
      <c r="O44" s="3951"/>
    </row>
    <row r="45" spans="1:15" ht="13.5" customHeight="1">
      <c r="A45" s="3375"/>
      <c r="B45" s="2057" t="s">
        <v>11</v>
      </c>
      <c r="C45" s="3953" t="s">
        <v>158</v>
      </c>
      <c r="D45" s="576">
        <f>+D46+D47</f>
        <v>11896874</v>
      </c>
      <c r="E45" s="576">
        <f t="shared" ref="E45" si="31">+E46+E47</f>
        <v>2167756</v>
      </c>
      <c r="F45" s="2058">
        <f t="shared" ref="F45:L45" si="32">+F46+F47</f>
        <v>1350307</v>
      </c>
      <c r="G45" s="2058">
        <f t="shared" si="32"/>
        <v>1927260</v>
      </c>
      <c r="H45" s="2058">
        <f t="shared" si="32"/>
        <v>2364000</v>
      </c>
      <c r="I45" s="2058">
        <f t="shared" si="32"/>
        <v>2182000</v>
      </c>
      <c r="J45" s="2058">
        <f t="shared" si="32"/>
        <v>685335</v>
      </c>
      <c r="K45" s="2058">
        <f t="shared" si="32"/>
        <v>585076</v>
      </c>
      <c r="L45" s="2058">
        <f t="shared" si="32"/>
        <v>635140</v>
      </c>
      <c r="M45" s="2059">
        <f>SUM(M46:M47)</f>
        <v>9729118</v>
      </c>
      <c r="N45" s="2059">
        <f>SUM(N46:N47)</f>
        <v>8378811</v>
      </c>
      <c r="O45" s="3951"/>
    </row>
    <row r="46" spans="1:15" ht="12.6" hidden="1" customHeight="1">
      <c r="A46" s="3375"/>
      <c r="B46" s="2060" t="s">
        <v>12</v>
      </c>
      <c r="C46" s="3953"/>
      <c r="D46" s="1961">
        <f>E46+F46+G46+H46+I46+J46+K46+L46</f>
        <v>0</v>
      </c>
      <c r="E46" s="2061">
        <v>0</v>
      </c>
      <c r="F46" s="2062">
        <f>450000-450000</f>
        <v>0</v>
      </c>
      <c r="G46" s="2062">
        <f>500000-500000</f>
        <v>0</v>
      </c>
      <c r="H46" s="2062">
        <v>0</v>
      </c>
      <c r="I46" s="2062"/>
      <c r="J46" s="2062"/>
      <c r="K46" s="2062"/>
      <c r="L46" s="2062"/>
      <c r="M46" s="2063">
        <f>SUM(F46:K46)</f>
        <v>0</v>
      </c>
      <c r="N46" s="2063">
        <f>SUM(G46:L46)</f>
        <v>0</v>
      </c>
      <c r="O46" s="3951"/>
    </row>
    <row r="47" spans="1:15" ht="13.5" customHeight="1">
      <c r="A47" s="3375"/>
      <c r="B47" s="2064" t="s">
        <v>230</v>
      </c>
      <c r="C47" s="3953"/>
      <c r="D47" s="1961">
        <f>E47+F47+G47+H47+I47+J47+K47+L47</f>
        <v>11896874</v>
      </c>
      <c r="E47" s="2061">
        <v>2167756</v>
      </c>
      <c r="F47" s="2062">
        <f>2546000-1636750+205354+303396-67693</f>
        <v>1350307</v>
      </c>
      <c r="G47" s="2062">
        <f>2910000-2000750-303396+585470+808676-72740</f>
        <v>1927260</v>
      </c>
      <c r="H47" s="2062">
        <f>909250+1454750</f>
        <v>2364000</v>
      </c>
      <c r="I47" s="2062">
        <f>989414+1192586</f>
        <v>2182000</v>
      </c>
      <c r="J47" s="2062">
        <f>989414-404338+100259</f>
        <v>685335</v>
      </c>
      <c r="K47" s="2062">
        <f>989414-404338</f>
        <v>585076</v>
      </c>
      <c r="L47" s="2062">
        <f>494707+67693+72740</f>
        <v>635140</v>
      </c>
      <c r="M47" s="2063">
        <f>SUM(F47:L47)</f>
        <v>9729118</v>
      </c>
      <c r="N47" s="2063">
        <f>SUM(G47:L47)</f>
        <v>8378811</v>
      </c>
      <c r="O47" s="3951"/>
    </row>
    <row r="48" spans="1:15" ht="13.5" customHeight="1">
      <c r="A48" s="3375"/>
      <c r="B48" s="2065" t="s">
        <v>18</v>
      </c>
      <c r="C48" s="3953"/>
      <c r="D48" s="576">
        <f>+D49</f>
        <v>20814434</v>
      </c>
      <c r="E48" s="576">
        <f t="shared" ref="E48:L48" si="33">+E49</f>
        <v>3792526</v>
      </c>
      <c r="F48" s="576">
        <f t="shared" si="33"/>
        <v>2362386</v>
      </c>
      <c r="G48" s="576">
        <f t="shared" si="33"/>
        <v>3372740</v>
      </c>
      <c r="H48" s="576">
        <f t="shared" si="33"/>
        <v>4136000</v>
      </c>
      <c r="I48" s="576">
        <f t="shared" si="33"/>
        <v>3818000</v>
      </c>
      <c r="J48" s="576">
        <f t="shared" si="33"/>
        <v>1197907</v>
      </c>
      <c r="K48" s="576">
        <f t="shared" si="33"/>
        <v>1022502</v>
      </c>
      <c r="L48" s="576">
        <f t="shared" si="33"/>
        <v>1112373</v>
      </c>
      <c r="M48" s="596">
        <f>+M49</f>
        <v>17021908</v>
      </c>
      <c r="N48" s="596">
        <f>+N49</f>
        <v>14659522</v>
      </c>
      <c r="O48" s="3951"/>
    </row>
    <row r="49" spans="1:16" ht="13.5" customHeight="1">
      <c r="A49" s="3375"/>
      <c r="B49" s="2064" t="s">
        <v>364</v>
      </c>
      <c r="C49" s="3953"/>
      <c r="D49" s="1961">
        <f>E49+F49+G49+H49+I49+J49+K49+L49</f>
        <v>20814434</v>
      </c>
      <c r="E49" s="2061">
        <v>3792526</v>
      </c>
      <c r="F49" s="2062">
        <f>4454000-2863250+358256+532994-119614</f>
        <v>2362386</v>
      </c>
      <c r="G49" s="2062">
        <f>5090000-3499250-532994+1025255+1416989-127260</f>
        <v>3372740</v>
      </c>
      <c r="H49" s="2062">
        <f>1590750+2545250</f>
        <v>4136000</v>
      </c>
      <c r="I49" s="2062">
        <f>1730997+2087003</f>
        <v>3818000</v>
      </c>
      <c r="J49" s="2062">
        <f>1730997-708494+175404</f>
        <v>1197907</v>
      </c>
      <c r="K49" s="2062">
        <f>1730997-708495</f>
        <v>1022502</v>
      </c>
      <c r="L49" s="2062">
        <f>865499+119614+127260</f>
        <v>1112373</v>
      </c>
      <c r="M49" s="2063">
        <f>SUM(F49:L49)</f>
        <v>17021908</v>
      </c>
      <c r="N49" s="2063">
        <f>SUM(G49:L49)</f>
        <v>14659522</v>
      </c>
      <c r="O49" s="3951"/>
      <c r="P49" s="422">
        <f>D55-D49</f>
        <v>0</v>
      </c>
    </row>
    <row r="50" spans="1:16" s="2173" customFormat="1" ht="14.25" customHeight="1">
      <c r="A50" s="3375"/>
      <c r="B50" s="2055" t="s">
        <v>21</v>
      </c>
      <c r="C50" s="1989"/>
      <c r="D50" s="1835">
        <f>+D51+D54</f>
        <v>32711308</v>
      </c>
      <c r="E50" s="1835">
        <f t="shared" ref="E50" si="34">+E51+E54</f>
        <v>5960282</v>
      </c>
      <c r="F50" s="1835">
        <f t="shared" ref="F50:L50" si="35">+F51+F54</f>
        <v>3712693</v>
      </c>
      <c r="G50" s="1835">
        <f t="shared" si="35"/>
        <v>5300000</v>
      </c>
      <c r="H50" s="1835">
        <f t="shared" si="35"/>
        <v>6500000</v>
      </c>
      <c r="I50" s="1835">
        <f t="shared" si="35"/>
        <v>6000000</v>
      </c>
      <c r="J50" s="1835">
        <f t="shared" si="35"/>
        <v>1883242</v>
      </c>
      <c r="K50" s="1835">
        <f t="shared" si="35"/>
        <v>1607578</v>
      </c>
      <c r="L50" s="1835">
        <f t="shared" si="35"/>
        <v>1747513</v>
      </c>
      <c r="M50" s="3956" t="s">
        <v>53</v>
      </c>
      <c r="N50" s="3956" t="s">
        <v>53</v>
      </c>
      <c r="O50" s="3951"/>
    </row>
    <row r="51" spans="1:16" s="2173" customFormat="1" ht="13.5" customHeight="1">
      <c r="A51" s="3375"/>
      <c r="B51" s="2057" t="s">
        <v>11</v>
      </c>
      <c r="C51" s="3954" t="s">
        <v>158</v>
      </c>
      <c r="D51" s="576">
        <f>+D52</f>
        <v>11896874</v>
      </c>
      <c r="E51" s="576">
        <f t="shared" ref="E51:L51" si="36">+E52</f>
        <v>2167756</v>
      </c>
      <c r="F51" s="2058">
        <f t="shared" si="36"/>
        <v>1350307</v>
      </c>
      <c r="G51" s="2058">
        <f t="shared" si="36"/>
        <v>1927260</v>
      </c>
      <c r="H51" s="2058">
        <f t="shared" si="36"/>
        <v>2364000</v>
      </c>
      <c r="I51" s="2058">
        <f t="shared" si="36"/>
        <v>2182000</v>
      </c>
      <c r="J51" s="2058">
        <f t="shared" si="36"/>
        <v>685335</v>
      </c>
      <c r="K51" s="2058">
        <f t="shared" si="36"/>
        <v>585076</v>
      </c>
      <c r="L51" s="2058">
        <f t="shared" si="36"/>
        <v>635140</v>
      </c>
      <c r="M51" s="3956"/>
      <c r="N51" s="3956"/>
      <c r="O51" s="3951"/>
    </row>
    <row r="52" spans="1:16" s="2173" customFormat="1" ht="12.75" customHeight="1">
      <c r="A52" s="3375"/>
      <c r="B52" s="2064" t="s">
        <v>230</v>
      </c>
      <c r="C52" s="3954"/>
      <c r="D52" s="1961">
        <f>E52+F52+G52+H52+I52+J52+K52+L52</f>
        <v>11896874</v>
      </c>
      <c r="E52" s="2061">
        <v>2167756</v>
      </c>
      <c r="F52" s="2062">
        <f>2546000-1636750+205354+303396-67693</f>
        <v>1350307</v>
      </c>
      <c r="G52" s="2062">
        <f>2910000-2000750-303396+585470+808676-72740</f>
        <v>1927260</v>
      </c>
      <c r="H52" s="2062">
        <f>909250+1454750</f>
        <v>2364000</v>
      </c>
      <c r="I52" s="2062">
        <f>989414+1192586</f>
        <v>2182000</v>
      </c>
      <c r="J52" s="2062">
        <f>989414-404338+100259</f>
        <v>685335</v>
      </c>
      <c r="K52" s="2062">
        <f>989414-404338</f>
        <v>585076</v>
      </c>
      <c r="L52" s="2062">
        <f>494707+67693+72740</f>
        <v>635140</v>
      </c>
      <c r="M52" s="3956"/>
      <c r="N52" s="3956"/>
      <c r="O52" s="3951"/>
    </row>
    <row r="53" spans="1:16" s="2173" customFormat="1" ht="13.5" hidden="1" customHeight="1">
      <c r="A53" s="3375"/>
      <c r="B53" s="2060" t="s">
        <v>24</v>
      </c>
      <c r="C53" s="3954"/>
      <c r="D53" s="1961">
        <f>E53+F53+G53+H53+I53+J53+K53+L53</f>
        <v>0</v>
      </c>
      <c r="E53" s="2061">
        <v>0</v>
      </c>
      <c r="F53" s="2062"/>
      <c r="G53" s="2062"/>
      <c r="H53" s="2062"/>
      <c r="I53" s="2062"/>
      <c r="J53" s="2062"/>
      <c r="K53" s="2062"/>
      <c r="L53" s="2062"/>
      <c r="M53" s="3956"/>
      <c r="N53" s="3956"/>
      <c r="O53" s="3951"/>
    </row>
    <row r="54" spans="1:16" s="2173" customFormat="1" ht="12.75" customHeight="1">
      <c r="A54" s="3375"/>
      <c r="B54" s="2065" t="s">
        <v>18</v>
      </c>
      <c r="C54" s="3954"/>
      <c r="D54" s="576">
        <f>+D55</f>
        <v>20814434</v>
      </c>
      <c r="E54" s="576">
        <f t="shared" ref="E54:L54" si="37">+E55</f>
        <v>3792526</v>
      </c>
      <c r="F54" s="2058">
        <f t="shared" si="37"/>
        <v>2362386</v>
      </c>
      <c r="G54" s="2058">
        <f t="shared" si="37"/>
        <v>3372740</v>
      </c>
      <c r="H54" s="2058">
        <f t="shared" si="37"/>
        <v>4136000</v>
      </c>
      <c r="I54" s="2058">
        <f t="shared" si="37"/>
        <v>3818000</v>
      </c>
      <c r="J54" s="2058">
        <f t="shared" si="37"/>
        <v>1197907</v>
      </c>
      <c r="K54" s="2058">
        <f t="shared" si="37"/>
        <v>1022502</v>
      </c>
      <c r="L54" s="2058">
        <f t="shared" si="37"/>
        <v>1112373</v>
      </c>
      <c r="M54" s="3956"/>
      <c r="N54" s="3956"/>
      <c r="O54" s="3951"/>
    </row>
    <row r="55" spans="1:16" s="2173" customFormat="1" ht="12.75" customHeight="1" thickBot="1">
      <c r="A55" s="3531"/>
      <c r="B55" s="1962" t="s">
        <v>364</v>
      </c>
      <c r="C55" s="3955"/>
      <c r="D55" s="2175">
        <f>E55+F55+G55+H55+I55+J55+K55+L55</f>
        <v>20814434</v>
      </c>
      <c r="E55" s="1990">
        <v>3792526</v>
      </c>
      <c r="F55" s="3003">
        <f>4454000-2863250+358256+532994-119614</f>
        <v>2362386</v>
      </c>
      <c r="G55" s="3003">
        <f>5090000-3499250-532994+1025255+1416989-127260</f>
        <v>3372740</v>
      </c>
      <c r="H55" s="3003">
        <f>1590750+2545250</f>
        <v>4136000</v>
      </c>
      <c r="I55" s="3003">
        <f>1730997+2087003</f>
        <v>3818000</v>
      </c>
      <c r="J55" s="3003">
        <f>1730997-708494+175404</f>
        <v>1197907</v>
      </c>
      <c r="K55" s="3003">
        <f>1730997-708495</f>
        <v>1022502</v>
      </c>
      <c r="L55" s="3003">
        <f>865499+119614+127260</f>
        <v>1112373</v>
      </c>
      <c r="M55" s="3957"/>
      <c r="N55" s="3957"/>
      <c r="O55" s="3952"/>
    </row>
    <row r="56" spans="1:16" ht="11.25" hidden="1" customHeight="1" thickBot="1">
      <c r="A56" s="2145"/>
      <c r="B56" s="597" t="s">
        <v>19</v>
      </c>
      <c r="C56" s="2747"/>
      <c r="D56" s="2651">
        <f>E56+F56+G56+H56+I56+J56+K56+L56</f>
        <v>0</v>
      </c>
      <c r="E56" s="598"/>
      <c r="F56" s="598"/>
      <c r="G56" s="598"/>
      <c r="H56" s="598"/>
      <c r="I56" s="598"/>
      <c r="J56" s="598"/>
      <c r="K56" s="598"/>
      <c r="L56" s="598"/>
      <c r="M56" s="599"/>
      <c r="N56" s="599"/>
      <c r="O56" s="2146"/>
    </row>
    <row r="57" spans="1:16" s="2173" customFormat="1" ht="27" customHeight="1">
      <c r="A57" s="3375" t="s">
        <v>56</v>
      </c>
      <c r="B57" s="3004" t="s">
        <v>624</v>
      </c>
      <c r="C57" s="2657" t="s">
        <v>101</v>
      </c>
      <c r="D57" s="2658"/>
      <c r="E57" s="2658"/>
      <c r="F57" s="2643"/>
      <c r="G57" s="2643"/>
      <c r="H57" s="2643"/>
      <c r="I57" s="2643"/>
      <c r="J57" s="2643"/>
      <c r="K57" s="2643"/>
      <c r="L57" s="58"/>
      <c r="M57" s="2174"/>
      <c r="N57" s="2174"/>
      <c r="O57" s="3951" t="s">
        <v>308</v>
      </c>
    </row>
    <row r="58" spans="1:16" s="2173" customFormat="1" ht="13.5" customHeight="1">
      <c r="A58" s="3375"/>
      <c r="B58" s="2055" t="s">
        <v>10</v>
      </c>
      <c r="C58" s="1989"/>
      <c r="D58" s="573">
        <f t="shared" ref="D58:N58" si="38">+D59+D61</f>
        <v>5976322</v>
      </c>
      <c r="E58" s="573">
        <f t="shared" si="38"/>
        <v>1484321</v>
      </c>
      <c r="F58" s="1835">
        <f t="shared" si="38"/>
        <v>1170222</v>
      </c>
      <c r="G58" s="1835">
        <f t="shared" si="38"/>
        <v>1060000</v>
      </c>
      <c r="H58" s="1835">
        <f t="shared" si="38"/>
        <v>1200000</v>
      </c>
      <c r="I58" s="1835">
        <f t="shared" si="38"/>
        <v>940000</v>
      </c>
      <c r="J58" s="1835">
        <f t="shared" si="38"/>
        <v>50000</v>
      </c>
      <c r="K58" s="1835">
        <f t="shared" si="38"/>
        <v>50000</v>
      </c>
      <c r="L58" s="1835">
        <f t="shared" si="38"/>
        <v>21779</v>
      </c>
      <c r="M58" s="2056">
        <f t="shared" si="38"/>
        <v>4492001</v>
      </c>
      <c r="N58" s="2056">
        <f t="shared" si="38"/>
        <v>3321779</v>
      </c>
      <c r="O58" s="3951"/>
    </row>
    <row r="59" spans="1:16" s="2173" customFormat="1" ht="13.5" customHeight="1">
      <c r="A59" s="3375"/>
      <c r="B59" s="2057" t="s">
        <v>11</v>
      </c>
      <c r="C59" s="3953" t="s">
        <v>622</v>
      </c>
      <c r="D59" s="576">
        <f>+D60</f>
        <v>1494081</v>
      </c>
      <c r="E59" s="576">
        <f t="shared" ref="E59:K59" si="39">+E60</f>
        <v>371080</v>
      </c>
      <c r="F59" s="576">
        <f t="shared" si="39"/>
        <v>292555</v>
      </c>
      <c r="G59" s="576">
        <f t="shared" si="39"/>
        <v>265000</v>
      </c>
      <c r="H59" s="576">
        <f t="shared" si="39"/>
        <v>300000</v>
      </c>
      <c r="I59" s="576">
        <f t="shared" si="39"/>
        <v>235000</v>
      </c>
      <c r="J59" s="576">
        <f t="shared" si="39"/>
        <v>12500</v>
      </c>
      <c r="K59" s="576">
        <f t="shared" si="39"/>
        <v>12500</v>
      </c>
      <c r="L59" s="576">
        <f>+L60</f>
        <v>5446</v>
      </c>
      <c r="M59" s="2059">
        <f>SUM(M60:M60)</f>
        <v>1123001</v>
      </c>
      <c r="N59" s="2059">
        <f>SUM(N60:N60)</f>
        <v>830446</v>
      </c>
      <c r="O59" s="3951"/>
    </row>
    <row r="60" spans="1:16" s="2173" customFormat="1" ht="13.5" customHeight="1">
      <c r="A60" s="3375"/>
      <c r="B60" s="2064" t="s">
        <v>230</v>
      </c>
      <c r="C60" s="3953"/>
      <c r="D60" s="1961">
        <f>E60+F60+G60+H60+I60+J60+K60+L60</f>
        <v>1494081</v>
      </c>
      <c r="E60" s="2061">
        <v>371080</v>
      </c>
      <c r="F60" s="2062">
        <v>292555</v>
      </c>
      <c r="G60" s="2062">
        <f>350000-85000</f>
        <v>265000</v>
      </c>
      <c r="H60" s="2062">
        <v>300000</v>
      </c>
      <c r="I60" s="2062">
        <f>150000+85000</f>
        <v>235000</v>
      </c>
      <c r="J60" s="2062">
        <v>12500</v>
      </c>
      <c r="K60" s="2062">
        <v>12500</v>
      </c>
      <c r="L60" s="2062">
        <v>5446</v>
      </c>
      <c r="M60" s="2063">
        <f>SUM(F60:L60)</f>
        <v>1123001</v>
      </c>
      <c r="N60" s="2063">
        <f>SUM(G60:L60)</f>
        <v>830446</v>
      </c>
      <c r="O60" s="3951"/>
    </row>
    <row r="61" spans="1:16" s="2173" customFormat="1" ht="13.5" customHeight="1">
      <c r="A61" s="3375"/>
      <c r="B61" s="2065" t="s">
        <v>18</v>
      </c>
      <c r="C61" s="3953"/>
      <c r="D61" s="576">
        <f>+D62</f>
        <v>4482241</v>
      </c>
      <c r="E61" s="576">
        <f t="shared" ref="E61:L61" si="40">+E62</f>
        <v>1113241</v>
      </c>
      <c r="F61" s="576">
        <f t="shared" si="40"/>
        <v>877667</v>
      </c>
      <c r="G61" s="576">
        <f t="shared" si="40"/>
        <v>795000</v>
      </c>
      <c r="H61" s="576">
        <f t="shared" si="40"/>
        <v>900000</v>
      </c>
      <c r="I61" s="576">
        <f t="shared" si="40"/>
        <v>705000</v>
      </c>
      <c r="J61" s="576">
        <f t="shared" si="40"/>
        <v>37500</v>
      </c>
      <c r="K61" s="576">
        <f t="shared" si="40"/>
        <v>37500</v>
      </c>
      <c r="L61" s="576">
        <f t="shared" si="40"/>
        <v>16333</v>
      </c>
      <c r="M61" s="596">
        <f>+M62</f>
        <v>3369000</v>
      </c>
      <c r="N61" s="596">
        <f>+N62</f>
        <v>2491333</v>
      </c>
      <c r="O61" s="3951"/>
    </row>
    <row r="62" spans="1:16" s="2173" customFormat="1" ht="13.5" customHeight="1">
      <c r="A62" s="3375"/>
      <c r="B62" s="2064" t="s">
        <v>364</v>
      </c>
      <c r="C62" s="3953"/>
      <c r="D62" s="1961">
        <f>E62+F62+G62+H62+I62+J62+K62+L62</f>
        <v>4482241</v>
      </c>
      <c r="E62" s="2061">
        <v>1113241</v>
      </c>
      <c r="F62" s="2062">
        <v>877667</v>
      </c>
      <c r="G62" s="2062">
        <f>1050000-255000</f>
        <v>795000</v>
      </c>
      <c r="H62" s="2062">
        <v>900000</v>
      </c>
      <c r="I62" s="2062">
        <f>450000+255000</f>
        <v>705000</v>
      </c>
      <c r="J62" s="2062">
        <v>37500</v>
      </c>
      <c r="K62" s="2062">
        <v>37500</v>
      </c>
      <c r="L62" s="2062">
        <v>16333</v>
      </c>
      <c r="M62" s="2063">
        <f>SUM(F62:L62)</f>
        <v>3369000</v>
      </c>
      <c r="N62" s="2063">
        <f>SUM(G62:L62)</f>
        <v>2491333</v>
      </c>
      <c r="O62" s="3951"/>
    </row>
    <row r="63" spans="1:16" s="2173" customFormat="1" ht="13.5" customHeight="1">
      <c r="A63" s="3375"/>
      <c r="B63" s="2055" t="s">
        <v>21</v>
      </c>
      <c r="C63" s="1989"/>
      <c r="D63" s="1835">
        <f t="shared" ref="D63:L63" si="41">+D64+D66</f>
        <v>5976322</v>
      </c>
      <c r="E63" s="1835">
        <f t="shared" si="41"/>
        <v>1484321</v>
      </c>
      <c r="F63" s="1835">
        <f t="shared" si="41"/>
        <v>1170222</v>
      </c>
      <c r="G63" s="1835">
        <f t="shared" si="41"/>
        <v>1060000</v>
      </c>
      <c r="H63" s="1835">
        <f t="shared" si="41"/>
        <v>1200000</v>
      </c>
      <c r="I63" s="1835">
        <f t="shared" si="41"/>
        <v>940000</v>
      </c>
      <c r="J63" s="1835">
        <f t="shared" si="41"/>
        <v>50000</v>
      </c>
      <c r="K63" s="1835">
        <f t="shared" si="41"/>
        <v>50000</v>
      </c>
      <c r="L63" s="1835">
        <f t="shared" si="41"/>
        <v>21779</v>
      </c>
      <c r="M63" s="3956" t="s">
        <v>53</v>
      </c>
      <c r="N63" s="3956" t="s">
        <v>53</v>
      </c>
      <c r="O63" s="3951"/>
    </row>
    <row r="64" spans="1:16" s="2173" customFormat="1" ht="13.5" customHeight="1">
      <c r="A64" s="3375"/>
      <c r="B64" s="2057" t="s">
        <v>11</v>
      </c>
      <c r="C64" s="3954" t="s">
        <v>622</v>
      </c>
      <c r="D64" s="576">
        <f>+D65</f>
        <v>1494081</v>
      </c>
      <c r="E64" s="576">
        <f t="shared" ref="E64:L64" si="42">+E65</f>
        <v>371080</v>
      </c>
      <c r="F64" s="576">
        <f t="shared" si="42"/>
        <v>292555</v>
      </c>
      <c r="G64" s="576">
        <f t="shared" si="42"/>
        <v>265000</v>
      </c>
      <c r="H64" s="576">
        <f t="shared" si="42"/>
        <v>300000</v>
      </c>
      <c r="I64" s="576">
        <f t="shared" si="42"/>
        <v>235000</v>
      </c>
      <c r="J64" s="576">
        <f t="shared" si="42"/>
        <v>12500</v>
      </c>
      <c r="K64" s="576">
        <f t="shared" si="42"/>
        <v>12500</v>
      </c>
      <c r="L64" s="576">
        <f t="shared" si="42"/>
        <v>5446</v>
      </c>
      <c r="M64" s="3956"/>
      <c r="N64" s="3956"/>
      <c r="O64" s="3951"/>
    </row>
    <row r="65" spans="1:16" s="2173" customFormat="1" ht="13.5" customHeight="1">
      <c r="A65" s="3375"/>
      <c r="B65" s="2064" t="s">
        <v>230</v>
      </c>
      <c r="C65" s="3954"/>
      <c r="D65" s="1961">
        <f>E65+F65+G65+H65+I65+J65+K65+L65</f>
        <v>1494081</v>
      </c>
      <c r="E65" s="2061">
        <v>371080</v>
      </c>
      <c r="F65" s="2061">
        <v>292555</v>
      </c>
      <c r="G65" s="2061">
        <f>350000-85000</f>
        <v>265000</v>
      </c>
      <c r="H65" s="2061">
        <v>300000</v>
      </c>
      <c r="I65" s="2061">
        <f>150000+85000</f>
        <v>235000</v>
      </c>
      <c r="J65" s="2061">
        <v>12500</v>
      </c>
      <c r="K65" s="2061">
        <v>12500</v>
      </c>
      <c r="L65" s="2061">
        <v>5446</v>
      </c>
      <c r="M65" s="3956"/>
      <c r="N65" s="3956"/>
      <c r="O65" s="3951"/>
    </row>
    <row r="66" spans="1:16" s="2173" customFormat="1" ht="13.5" customHeight="1">
      <c r="A66" s="3375"/>
      <c r="B66" s="2065" t="s">
        <v>18</v>
      </c>
      <c r="C66" s="3954"/>
      <c r="D66" s="576">
        <f>+D67</f>
        <v>4482241</v>
      </c>
      <c r="E66" s="576">
        <f t="shared" ref="E66:L66" si="43">+E67</f>
        <v>1113241</v>
      </c>
      <c r="F66" s="576">
        <f t="shared" si="43"/>
        <v>877667</v>
      </c>
      <c r="G66" s="576">
        <f t="shared" si="43"/>
        <v>795000</v>
      </c>
      <c r="H66" s="576">
        <f t="shared" si="43"/>
        <v>900000</v>
      </c>
      <c r="I66" s="576">
        <f t="shared" si="43"/>
        <v>705000</v>
      </c>
      <c r="J66" s="576">
        <f t="shared" si="43"/>
        <v>37500</v>
      </c>
      <c r="K66" s="576">
        <f t="shared" si="43"/>
        <v>37500</v>
      </c>
      <c r="L66" s="576">
        <f t="shared" si="43"/>
        <v>16333</v>
      </c>
      <c r="M66" s="3956"/>
      <c r="N66" s="3956"/>
      <c r="O66" s="3951"/>
    </row>
    <row r="67" spans="1:16" s="2173" customFormat="1" ht="13.5" customHeight="1" thickBot="1">
      <c r="A67" s="3531"/>
      <c r="B67" s="1962" t="s">
        <v>364</v>
      </c>
      <c r="C67" s="3955"/>
      <c r="D67" s="2175">
        <f>E67+F67+G67+H67+I67+J67+K67+L67</f>
        <v>4482241</v>
      </c>
      <c r="E67" s="1990">
        <v>1113241</v>
      </c>
      <c r="F67" s="1990">
        <v>877667</v>
      </c>
      <c r="G67" s="1990">
        <f>1050000-255000</f>
        <v>795000</v>
      </c>
      <c r="H67" s="1990">
        <v>900000</v>
      </c>
      <c r="I67" s="1990">
        <f>450000+255000</f>
        <v>705000</v>
      </c>
      <c r="J67" s="1990">
        <v>37500</v>
      </c>
      <c r="K67" s="1990">
        <v>37500</v>
      </c>
      <c r="L67" s="1990">
        <v>16333</v>
      </c>
      <c r="M67" s="3957"/>
      <c r="N67" s="3957"/>
      <c r="O67" s="3952"/>
    </row>
    <row r="68" spans="1:16" ht="52.5" customHeight="1">
      <c r="A68" s="3375" t="s">
        <v>57</v>
      </c>
      <c r="B68" s="1574" t="s">
        <v>692</v>
      </c>
      <c r="C68" s="2654" t="s">
        <v>74</v>
      </c>
      <c r="D68" s="1966"/>
      <c r="E68" s="2661"/>
      <c r="F68" s="2655"/>
      <c r="G68" s="2655"/>
      <c r="H68" s="2655"/>
      <c r="I68" s="1966"/>
      <c r="J68" s="1966"/>
      <c r="K68" s="1966"/>
      <c r="L68" s="2656"/>
      <c r="M68" s="614"/>
      <c r="N68" s="614"/>
      <c r="O68" s="3357" t="s">
        <v>403</v>
      </c>
    </row>
    <row r="69" spans="1:16" ht="15.75" customHeight="1">
      <c r="A69" s="3375"/>
      <c r="B69" s="815" t="s">
        <v>10</v>
      </c>
      <c r="C69" s="1284"/>
      <c r="D69" s="573">
        <f>+D70+D72</f>
        <v>1016020</v>
      </c>
      <c r="E69" s="573">
        <f>+E70+E72</f>
        <v>49100</v>
      </c>
      <c r="F69" s="573">
        <f>+F70+F72</f>
        <v>0</v>
      </c>
      <c r="G69" s="573">
        <f t="shared" ref="G69:I69" si="44">+G70+G72</f>
        <v>223530</v>
      </c>
      <c r="H69" s="573">
        <f t="shared" si="44"/>
        <v>564990</v>
      </c>
      <c r="I69" s="573">
        <f t="shared" si="44"/>
        <v>178400</v>
      </c>
      <c r="J69" s="573">
        <v>0</v>
      </c>
      <c r="K69" s="573">
        <v>0</v>
      </c>
      <c r="L69" s="573">
        <v>0</v>
      </c>
      <c r="M69" s="1802">
        <f>+M70+M72</f>
        <v>966920</v>
      </c>
      <c r="N69" s="1802">
        <f>+N70+N72</f>
        <v>966920</v>
      </c>
      <c r="O69" s="3358"/>
      <c r="P69" s="291" t="s">
        <v>477</v>
      </c>
    </row>
    <row r="70" spans="1:16" ht="12.75" customHeight="1">
      <c r="A70" s="3375"/>
      <c r="B70" s="808" t="s">
        <v>23</v>
      </c>
      <c r="C70" s="3344" t="s">
        <v>211</v>
      </c>
      <c r="D70" s="516">
        <f>+D71</f>
        <v>174504</v>
      </c>
      <c r="E70" s="1080">
        <f>+E71</f>
        <v>29465</v>
      </c>
      <c r="F70" s="1080">
        <f>+F71</f>
        <v>0</v>
      </c>
      <c r="G70" s="1080">
        <f>+G71</f>
        <v>33530</v>
      </c>
      <c r="H70" s="1080">
        <f t="shared" ref="H70:I70" si="45">+H71</f>
        <v>84749</v>
      </c>
      <c r="I70" s="1080">
        <f t="shared" si="45"/>
        <v>26760</v>
      </c>
      <c r="J70" s="1810">
        <v>0</v>
      </c>
      <c r="K70" s="1810">
        <v>0</v>
      </c>
      <c r="L70" s="1810">
        <v>0</v>
      </c>
      <c r="M70" s="515">
        <f>+M71</f>
        <v>145039</v>
      </c>
      <c r="N70" s="515">
        <f>+N71</f>
        <v>145039</v>
      </c>
      <c r="O70" s="3358"/>
    </row>
    <row r="71" spans="1:16" ht="12.75" customHeight="1">
      <c r="A71" s="3375"/>
      <c r="B71" s="1057" t="s">
        <v>12</v>
      </c>
      <c r="C71" s="3347"/>
      <c r="D71" s="773">
        <f>E71+F71+G71+H71+I71+J71+K71+L71</f>
        <v>174504</v>
      </c>
      <c r="E71" s="773">
        <v>29465</v>
      </c>
      <c r="F71" s="806">
        <f>16229-16229</f>
        <v>0</v>
      </c>
      <c r="G71" s="806">
        <f>53796+12764-33030</f>
        <v>33530</v>
      </c>
      <c r="H71" s="806">
        <f>51719+33030</f>
        <v>84749</v>
      </c>
      <c r="I71" s="806">
        <v>26760</v>
      </c>
      <c r="J71" s="1810">
        <v>0</v>
      </c>
      <c r="K71" s="1810">
        <v>0</v>
      </c>
      <c r="L71" s="1810">
        <v>0</v>
      </c>
      <c r="M71" s="1163">
        <f>SUM(F71:K71)</f>
        <v>145039</v>
      </c>
      <c r="N71" s="1163">
        <f>SUM(G71:L71)</f>
        <v>145039</v>
      </c>
      <c r="O71" s="3358"/>
    </row>
    <row r="72" spans="1:16" ht="14.25" customHeight="1">
      <c r="A72" s="3375"/>
      <c r="B72" s="800" t="s">
        <v>18</v>
      </c>
      <c r="C72" s="3347"/>
      <c r="D72" s="516">
        <f>+D73</f>
        <v>841516</v>
      </c>
      <c r="E72" s="1080">
        <f>+E73</f>
        <v>19635</v>
      </c>
      <c r="F72" s="1080">
        <f>+F73</f>
        <v>0</v>
      </c>
      <c r="G72" s="1080">
        <f t="shared" ref="G72:I72" si="46">+G73</f>
        <v>190000</v>
      </c>
      <c r="H72" s="1080">
        <f t="shared" si="46"/>
        <v>480241</v>
      </c>
      <c r="I72" s="1080">
        <f t="shared" si="46"/>
        <v>151640</v>
      </c>
      <c r="J72" s="1810">
        <v>0</v>
      </c>
      <c r="K72" s="1810">
        <v>0</v>
      </c>
      <c r="L72" s="1810">
        <v>0</v>
      </c>
      <c r="M72" s="515">
        <f>+M73</f>
        <v>821881</v>
      </c>
      <c r="N72" s="515">
        <f>+N73</f>
        <v>821881</v>
      </c>
      <c r="O72" s="3358"/>
    </row>
    <row r="73" spans="1:16" ht="12.75" customHeight="1">
      <c r="A73" s="3375"/>
      <c r="B73" s="2970" t="s">
        <v>20</v>
      </c>
      <c r="C73" s="3348"/>
      <c r="D73" s="773">
        <f>E73+F73+G73+H73+I73+J73+K73+L73</f>
        <v>841516</v>
      </c>
      <c r="E73" s="1815">
        <v>19635</v>
      </c>
      <c r="F73" s="1811">
        <f>91961-91961</f>
        <v>0</v>
      </c>
      <c r="G73" s="1811">
        <f>304844+72326-187170</f>
        <v>190000</v>
      </c>
      <c r="H73" s="1811">
        <f>293071+187170</f>
        <v>480241</v>
      </c>
      <c r="I73" s="1811">
        <v>151640</v>
      </c>
      <c r="J73" s="1810">
        <v>0</v>
      </c>
      <c r="K73" s="1810">
        <v>0</v>
      </c>
      <c r="L73" s="1810">
        <v>0</v>
      </c>
      <c r="M73" s="1163">
        <f>SUM(F73:K73)</f>
        <v>821881</v>
      </c>
      <c r="N73" s="1163">
        <f>SUM(G73:L73)</f>
        <v>821881</v>
      </c>
      <c r="O73" s="3931"/>
    </row>
    <row r="74" spans="1:16" ht="12" customHeight="1">
      <c r="A74" s="3375"/>
      <c r="B74" s="815" t="s">
        <v>21</v>
      </c>
      <c r="C74" s="1284"/>
      <c r="D74" s="573">
        <f t="shared" ref="D74:I75" si="47">+D75</f>
        <v>841516</v>
      </c>
      <c r="E74" s="97">
        <f t="shared" si="47"/>
        <v>0</v>
      </c>
      <c r="F74" s="97">
        <f t="shared" si="47"/>
        <v>0</v>
      </c>
      <c r="G74" s="97">
        <f t="shared" si="47"/>
        <v>209635</v>
      </c>
      <c r="H74" s="97">
        <f t="shared" si="47"/>
        <v>480241</v>
      </c>
      <c r="I74" s="97">
        <f t="shared" si="47"/>
        <v>151640</v>
      </c>
      <c r="J74" s="573">
        <v>0</v>
      </c>
      <c r="K74" s="573">
        <v>0</v>
      </c>
      <c r="L74" s="573">
        <v>0</v>
      </c>
      <c r="M74" s="3403"/>
      <c r="N74" s="3403"/>
      <c r="O74" s="3358" t="s">
        <v>219</v>
      </c>
    </row>
    <row r="75" spans="1:16" ht="13.5" customHeight="1">
      <c r="A75" s="3375"/>
      <c r="B75" s="800" t="s">
        <v>18</v>
      </c>
      <c r="C75" s="3410" t="s">
        <v>214</v>
      </c>
      <c r="D75" s="516">
        <f t="shared" si="47"/>
        <v>841516</v>
      </c>
      <c r="E75" s="1810">
        <f t="shared" si="47"/>
        <v>0</v>
      </c>
      <c r="F75" s="1810">
        <f t="shared" si="47"/>
        <v>0</v>
      </c>
      <c r="G75" s="1810">
        <f t="shared" si="47"/>
        <v>209635</v>
      </c>
      <c r="H75" s="1810">
        <f t="shared" si="47"/>
        <v>480241</v>
      </c>
      <c r="I75" s="1810">
        <f t="shared" si="47"/>
        <v>151640</v>
      </c>
      <c r="J75" s="1810">
        <v>0</v>
      </c>
      <c r="K75" s="1810">
        <v>0</v>
      </c>
      <c r="L75" s="1810">
        <v>0</v>
      </c>
      <c r="M75" s="3366"/>
      <c r="N75" s="3366"/>
      <c r="O75" s="3358"/>
    </row>
    <row r="76" spans="1:16" ht="13.5" customHeight="1" thickBot="1">
      <c r="A76" s="3531"/>
      <c r="B76" s="2739" t="s">
        <v>20</v>
      </c>
      <c r="C76" s="3353"/>
      <c r="D76" s="773">
        <f>E76+F76+G76+H76+I76+J76+K76+L76</f>
        <v>841516</v>
      </c>
      <c r="E76" s="773">
        <v>0</v>
      </c>
      <c r="F76" s="1586">
        <f>91961-91961</f>
        <v>0</v>
      </c>
      <c r="G76" s="1586">
        <f>304844+91961-187170</f>
        <v>209635</v>
      </c>
      <c r="H76" s="1586">
        <f>293071+187170</f>
        <v>480241</v>
      </c>
      <c r="I76" s="1586">
        <v>151640</v>
      </c>
      <c r="J76" s="1586">
        <v>0</v>
      </c>
      <c r="K76" s="1586">
        <v>0</v>
      </c>
      <c r="L76" s="1586">
        <v>0</v>
      </c>
      <c r="M76" s="3367"/>
      <c r="N76" s="3367"/>
      <c r="O76" s="3359"/>
    </row>
    <row r="77" spans="1:16" ht="50.25" customHeight="1">
      <c r="A77" s="3374" t="s">
        <v>58</v>
      </c>
      <c r="B77" s="1574" t="s">
        <v>693</v>
      </c>
      <c r="C77" s="2654" t="s">
        <v>162</v>
      </c>
      <c r="D77" s="1966"/>
      <c r="E77" s="1966"/>
      <c r="F77" s="2655"/>
      <c r="G77" s="2655"/>
      <c r="H77" s="2655"/>
      <c r="I77" s="1966"/>
      <c r="J77" s="1966"/>
      <c r="K77" s="1966"/>
      <c r="L77" s="2656"/>
      <c r="M77" s="614"/>
      <c r="N77" s="614"/>
      <c r="O77" s="3357" t="s">
        <v>403</v>
      </c>
    </row>
    <row r="78" spans="1:16" ht="13.5" customHeight="1">
      <c r="A78" s="3375"/>
      <c r="B78" s="815" t="s">
        <v>10</v>
      </c>
      <c r="C78" s="1284"/>
      <c r="D78" s="573">
        <f>+D79+D81</f>
        <v>9980</v>
      </c>
      <c r="E78" s="573">
        <f>+E79+E81</f>
        <v>0</v>
      </c>
      <c r="F78" s="573">
        <f>+F79+F81</f>
        <v>0</v>
      </c>
      <c r="G78" s="573">
        <f t="shared" ref="G78:H78" si="48">+G79+G81</f>
        <v>3380</v>
      </c>
      <c r="H78" s="573">
        <f t="shared" si="48"/>
        <v>6600</v>
      </c>
      <c r="I78" s="573">
        <v>0</v>
      </c>
      <c r="J78" s="573">
        <v>0</v>
      </c>
      <c r="K78" s="573">
        <v>0</v>
      </c>
      <c r="L78" s="573">
        <v>0</v>
      </c>
      <c r="M78" s="1802">
        <f>+M79+M81</f>
        <v>9980</v>
      </c>
      <c r="N78" s="1802">
        <f>+N79+N81</f>
        <v>9980</v>
      </c>
      <c r="O78" s="3358"/>
    </row>
    <row r="79" spans="1:16" ht="13.5" customHeight="1">
      <c r="A79" s="3375"/>
      <c r="B79" s="808" t="s">
        <v>23</v>
      </c>
      <c r="C79" s="3344" t="s">
        <v>211</v>
      </c>
      <c r="D79" s="516">
        <f>+D80</f>
        <v>1497</v>
      </c>
      <c r="E79" s="1080">
        <f>+E80</f>
        <v>0</v>
      </c>
      <c r="F79" s="1080">
        <f>+F80</f>
        <v>0</v>
      </c>
      <c r="G79" s="1080">
        <f t="shared" ref="G79:H79" si="49">+G80</f>
        <v>507</v>
      </c>
      <c r="H79" s="1080">
        <f t="shared" si="49"/>
        <v>990</v>
      </c>
      <c r="I79" s="1810">
        <v>0</v>
      </c>
      <c r="J79" s="1810">
        <v>0</v>
      </c>
      <c r="K79" s="1810">
        <v>0</v>
      </c>
      <c r="L79" s="1810">
        <v>0</v>
      </c>
      <c r="M79" s="515">
        <f>+M80</f>
        <v>1497</v>
      </c>
      <c r="N79" s="515">
        <f>+N80</f>
        <v>1497</v>
      </c>
      <c r="O79" s="3358"/>
      <c r="P79" s="291" t="s">
        <v>477</v>
      </c>
    </row>
    <row r="80" spans="1:16" ht="13.5" customHeight="1">
      <c r="A80" s="3375"/>
      <c r="B80" s="1057" t="s">
        <v>12</v>
      </c>
      <c r="C80" s="3347"/>
      <c r="D80" s="773">
        <f>E80+F80+G80+H80+I80+J80+K80+L80</f>
        <v>1497</v>
      </c>
      <c r="E80" s="773">
        <v>0</v>
      </c>
      <c r="F80" s="806">
        <f>507-507</f>
        <v>0</v>
      </c>
      <c r="G80" s="806">
        <f>495+507-495</f>
        <v>507</v>
      </c>
      <c r="H80" s="806">
        <f>495+495</f>
        <v>990</v>
      </c>
      <c r="I80" s="1810">
        <v>0</v>
      </c>
      <c r="J80" s="1810">
        <v>0</v>
      </c>
      <c r="K80" s="1810">
        <v>0</v>
      </c>
      <c r="L80" s="1810">
        <v>0</v>
      </c>
      <c r="M80" s="1163">
        <f>SUM(F80:K80)</f>
        <v>1497</v>
      </c>
      <c r="N80" s="1163">
        <f>SUM(G80:L80)</f>
        <v>1497</v>
      </c>
      <c r="O80" s="3358"/>
    </row>
    <row r="81" spans="1:15" ht="13.5" customHeight="1">
      <c r="A81" s="3375"/>
      <c r="B81" s="800" t="s">
        <v>18</v>
      </c>
      <c r="C81" s="3347"/>
      <c r="D81" s="516">
        <f>+D82</f>
        <v>8483</v>
      </c>
      <c r="E81" s="1080">
        <f>+E82</f>
        <v>0</v>
      </c>
      <c r="F81" s="1080">
        <f>+F82</f>
        <v>0</v>
      </c>
      <c r="G81" s="1080">
        <f t="shared" ref="G81:H81" si="50">+G82</f>
        <v>2873</v>
      </c>
      <c r="H81" s="1080">
        <f t="shared" si="50"/>
        <v>5610</v>
      </c>
      <c r="I81" s="1810">
        <v>0</v>
      </c>
      <c r="J81" s="1810">
        <v>0</v>
      </c>
      <c r="K81" s="1810">
        <v>0</v>
      </c>
      <c r="L81" s="1810">
        <v>0</v>
      </c>
      <c r="M81" s="515">
        <f>+M82</f>
        <v>8483</v>
      </c>
      <c r="N81" s="515">
        <f>+N82</f>
        <v>8483</v>
      </c>
      <c r="O81" s="3358"/>
    </row>
    <row r="82" spans="1:15" ht="13.5" customHeight="1">
      <c r="A82" s="3375"/>
      <c r="B82" s="2970" t="s">
        <v>20</v>
      </c>
      <c r="C82" s="3348"/>
      <c r="D82" s="773">
        <f>E82+F82+G82+H82+I82+J82+K82+L82</f>
        <v>8483</v>
      </c>
      <c r="E82" s="773">
        <v>0</v>
      </c>
      <c r="F82" s="806">
        <f>2873-2873</f>
        <v>0</v>
      </c>
      <c r="G82" s="806">
        <f>2805+2873-2805</f>
        <v>2873</v>
      </c>
      <c r="H82" s="806">
        <f>2805+2805</f>
        <v>5610</v>
      </c>
      <c r="I82" s="1810">
        <v>0</v>
      </c>
      <c r="J82" s="1810">
        <v>0</v>
      </c>
      <c r="K82" s="1810">
        <v>0</v>
      </c>
      <c r="L82" s="1810">
        <v>0</v>
      </c>
      <c r="M82" s="1163">
        <f>SUM(F82:K82)</f>
        <v>8483</v>
      </c>
      <c r="N82" s="1163">
        <f>SUM(G82:L82)</f>
        <v>8483</v>
      </c>
      <c r="O82" s="3358"/>
    </row>
    <row r="83" spans="1:15" ht="13.5" customHeight="1">
      <c r="A83" s="3375"/>
      <c r="B83" s="815" t="s">
        <v>21</v>
      </c>
      <c r="C83" s="1284"/>
      <c r="D83" s="573">
        <f t="shared" ref="D83:H84" si="51">+D84</f>
        <v>8483</v>
      </c>
      <c r="E83" s="573">
        <f t="shared" si="51"/>
        <v>0</v>
      </c>
      <c r="F83" s="573">
        <f t="shared" si="51"/>
        <v>0</v>
      </c>
      <c r="G83" s="573">
        <f t="shared" si="51"/>
        <v>2873</v>
      </c>
      <c r="H83" s="573">
        <f t="shared" si="51"/>
        <v>5610</v>
      </c>
      <c r="I83" s="573">
        <v>0</v>
      </c>
      <c r="J83" s="573">
        <v>0</v>
      </c>
      <c r="K83" s="573">
        <v>0</v>
      </c>
      <c r="L83" s="573">
        <v>0</v>
      </c>
      <c r="M83" s="3403"/>
      <c r="N83" s="3925"/>
      <c r="O83" s="3928" t="s">
        <v>219</v>
      </c>
    </row>
    <row r="84" spans="1:15" ht="13.5" customHeight="1">
      <c r="A84" s="3375"/>
      <c r="B84" s="800" t="s">
        <v>18</v>
      </c>
      <c r="C84" s="3410" t="s">
        <v>214</v>
      </c>
      <c r="D84" s="516">
        <f t="shared" si="51"/>
        <v>8483</v>
      </c>
      <c r="E84" s="1810">
        <f t="shared" si="51"/>
        <v>0</v>
      </c>
      <c r="F84" s="1810">
        <f t="shared" si="51"/>
        <v>0</v>
      </c>
      <c r="G84" s="1810">
        <f t="shared" si="51"/>
        <v>2873</v>
      </c>
      <c r="H84" s="1810">
        <f t="shared" si="51"/>
        <v>5610</v>
      </c>
      <c r="I84" s="1810">
        <v>0</v>
      </c>
      <c r="J84" s="1810">
        <v>0</v>
      </c>
      <c r="K84" s="1810">
        <v>0</v>
      </c>
      <c r="L84" s="1810">
        <v>0</v>
      </c>
      <c r="M84" s="3366"/>
      <c r="N84" s="3926"/>
      <c r="O84" s="3929"/>
    </row>
    <row r="85" spans="1:15" ht="13.5" customHeight="1" thickBot="1">
      <c r="A85" s="3531"/>
      <c r="B85" s="2739" t="s">
        <v>20</v>
      </c>
      <c r="C85" s="3353"/>
      <c r="D85" s="1955">
        <f>E85+F85+G85+H85+I85+J85+K85+L85</f>
        <v>8483</v>
      </c>
      <c r="E85" s="1955">
        <v>0</v>
      </c>
      <c r="F85" s="1586">
        <f>2873-2873</f>
        <v>0</v>
      </c>
      <c r="G85" s="1586">
        <f>2805+2873-2805</f>
        <v>2873</v>
      </c>
      <c r="H85" s="1586">
        <f>2805+2805</f>
        <v>5610</v>
      </c>
      <c r="I85" s="1586">
        <v>0</v>
      </c>
      <c r="J85" s="1586">
        <v>0</v>
      </c>
      <c r="K85" s="1586">
        <v>0</v>
      </c>
      <c r="L85" s="1586">
        <v>0</v>
      </c>
      <c r="M85" s="3367"/>
      <c r="N85" s="3927"/>
      <c r="O85" s="3930"/>
    </row>
    <row r="86" spans="1:15" ht="27" customHeight="1">
      <c r="A86" s="3374" t="s">
        <v>59</v>
      </c>
      <c r="B86" s="1574" t="s">
        <v>626</v>
      </c>
      <c r="C86" s="2654" t="s">
        <v>162</v>
      </c>
      <c r="D86" s="1966"/>
      <c r="E86" s="1966"/>
      <c r="F86" s="2655"/>
      <c r="G86" s="2655"/>
      <c r="H86" s="2655"/>
      <c r="I86" s="1966"/>
      <c r="J86" s="1966"/>
      <c r="K86" s="1966"/>
      <c r="L86" s="2656"/>
      <c r="M86" s="614"/>
      <c r="N86" s="2400"/>
      <c r="O86" s="3977" t="s">
        <v>403</v>
      </c>
    </row>
    <row r="87" spans="1:15" ht="13.5" customHeight="1">
      <c r="A87" s="3976"/>
      <c r="B87" s="815" t="s">
        <v>10</v>
      </c>
      <c r="C87" s="1284"/>
      <c r="D87" s="573">
        <f>+D88+D90</f>
        <v>320000</v>
      </c>
      <c r="E87" s="573">
        <f>+E88+E90</f>
        <v>0</v>
      </c>
      <c r="F87" s="573">
        <f>+F88+F90</f>
        <v>0</v>
      </c>
      <c r="G87" s="573">
        <f t="shared" ref="G87:I87" si="52">+G88+G90</f>
        <v>183700</v>
      </c>
      <c r="H87" s="573">
        <f t="shared" si="52"/>
        <v>109000</v>
      </c>
      <c r="I87" s="573">
        <f t="shared" si="52"/>
        <v>27300</v>
      </c>
      <c r="J87" s="573">
        <v>0</v>
      </c>
      <c r="K87" s="573">
        <v>0</v>
      </c>
      <c r="L87" s="573">
        <v>0</v>
      </c>
      <c r="M87" s="1802">
        <f>+M88+M90</f>
        <v>320000</v>
      </c>
      <c r="N87" s="2539">
        <f>+N88+N90</f>
        <v>320000</v>
      </c>
      <c r="O87" s="3929"/>
    </row>
    <row r="88" spans="1:15" ht="13.5" customHeight="1">
      <c r="A88" s="3976"/>
      <c r="B88" s="808" t="s">
        <v>23</v>
      </c>
      <c r="C88" s="3344" t="s">
        <v>211</v>
      </c>
      <c r="D88" s="516">
        <f>+D89</f>
        <v>48000</v>
      </c>
      <c r="E88" s="1080">
        <f>+E89</f>
        <v>0</v>
      </c>
      <c r="F88" s="1080">
        <f>+F89</f>
        <v>0</v>
      </c>
      <c r="G88" s="1080">
        <f t="shared" ref="G88:I88" si="53">+G89</f>
        <v>27555</v>
      </c>
      <c r="H88" s="1080">
        <f t="shared" si="53"/>
        <v>16350</v>
      </c>
      <c r="I88" s="1080">
        <f t="shared" si="53"/>
        <v>4095</v>
      </c>
      <c r="J88" s="1810">
        <v>0</v>
      </c>
      <c r="K88" s="1810">
        <v>0</v>
      </c>
      <c r="L88" s="1810">
        <v>0</v>
      </c>
      <c r="M88" s="515">
        <f>+M89</f>
        <v>48000</v>
      </c>
      <c r="N88" s="2537">
        <f>+N89</f>
        <v>48000</v>
      </c>
      <c r="O88" s="3929"/>
    </row>
    <row r="89" spans="1:15" ht="13.5" customHeight="1" thickBot="1">
      <c r="A89" s="3375"/>
      <c r="B89" s="1057" t="s">
        <v>12</v>
      </c>
      <c r="C89" s="3347"/>
      <c r="D89" s="773">
        <f>SUM(E89:L89)</f>
        <v>48000</v>
      </c>
      <c r="E89" s="773">
        <v>0</v>
      </c>
      <c r="F89" s="806">
        <f>507-507</f>
        <v>0</v>
      </c>
      <c r="G89" s="806">
        <v>27555</v>
      </c>
      <c r="H89" s="806">
        <v>16350</v>
      </c>
      <c r="I89" s="806">
        <v>4095</v>
      </c>
      <c r="J89" s="1810">
        <v>0</v>
      </c>
      <c r="K89" s="1810">
        <v>0</v>
      </c>
      <c r="L89" s="1810">
        <v>0</v>
      </c>
      <c r="M89" s="1163">
        <f>SUM(F89:K89)</f>
        <v>48000</v>
      </c>
      <c r="N89" s="2538">
        <f>SUM(G89:L89)</f>
        <v>48000</v>
      </c>
      <c r="O89" s="3930"/>
    </row>
    <row r="90" spans="1:15" ht="13.5" customHeight="1" thickBot="1">
      <c r="A90" s="3375"/>
      <c r="B90" s="800" t="s">
        <v>18</v>
      </c>
      <c r="C90" s="3347"/>
      <c r="D90" s="516">
        <f>+D91</f>
        <v>272000</v>
      </c>
      <c r="E90" s="1080">
        <f>+E91</f>
        <v>0</v>
      </c>
      <c r="F90" s="1080">
        <f>+F91</f>
        <v>0</v>
      </c>
      <c r="G90" s="1080">
        <f t="shared" ref="G90:I90" si="54">+G91</f>
        <v>156145</v>
      </c>
      <c r="H90" s="1080">
        <f t="shared" si="54"/>
        <v>92650</v>
      </c>
      <c r="I90" s="1080">
        <f t="shared" si="54"/>
        <v>23205</v>
      </c>
      <c r="J90" s="1810">
        <v>0</v>
      </c>
      <c r="K90" s="1810">
        <v>0</v>
      </c>
      <c r="L90" s="1810">
        <v>0</v>
      </c>
      <c r="M90" s="515">
        <f>+M91</f>
        <v>272000</v>
      </c>
      <c r="N90" s="2537">
        <f>+N91</f>
        <v>272000</v>
      </c>
      <c r="O90" s="3978"/>
    </row>
    <row r="91" spans="1:15" ht="13.5" customHeight="1" thickBot="1">
      <c r="A91" s="3375"/>
      <c r="B91" s="2970" t="s">
        <v>20</v>
      </c>
      <c r="C91" s="3348"/>
      <c r="D91" s="773">
        <f>SUM(E91:L91)</f>
        <v>272000</v>
      </c>
      <c r="E91" s="773">
        <v>0</v>
      </c>
      <c r="F91" s="806">
        <f>2873-2873</f>
        <v>0</v>
      </c>
      <c r="G91" s="806">
        <v>156145</v>
      </c>
      <c r="H91" s="806">
        <v>92650</v>
      </c>
      <c r="I91" s="806">
        <v>23205</v>
      </c>
      <c r="J91" s="1810">
        <v>0</v>
      </c>
      <c r="K91" s="1810">
        <v>0</v>
      </c>
      <c r="L91" s="1810">
        <v>0</v>
      </c>
      <c r="M91" s="1163">
        <f>SUM(F91:K91)</f>
        <v>272000</v>
      </c>
      <c r="N91" s="2538">
        <f>SUM(G91:L91)</f>
        <v>272000</v>
      </c>
      <c r="O91" s="3978"/>
    </row>
    <row r="92" spans="1:15" ht="13.5" customHeight="1">
      <c r="A92" s="3375"/>
      <c r="B92" s="815" t="s">
        <v>21</v>
      </c>
      <c r="C92" s="1284"/>
      <c r="D92" s="573">
        <f t="shared" ref="D92:I93" si="55">+D93</f>
        <v>272000</v>
      </c>
      <c r="E92" s="573">
        <f t="shared" si="55"/>
        <v>0</v>
      </c>
      <c r="F92" s="573">
        <f t="shared" si="55"/>
        <v>0</v>
      </c>
      <c r="G92" s="573">
        <f t="shared" si="55"/>
        <v>156145</v>
      </c>
      <c r="H92" s="573">
        <f t="shared" si="55"/>
        <v>92650</v>
      </c>
      <c r="I92" s="573">
        <f t="shared" si="55"/>
        <v>23205</v>
      </c>
      <c r="J92" s="573">
        <v>0</v>
      </c>
      <c r="K92" s="573">
        <v>0</v>
      </c>
      <c r="L92" s="573">
        <v>0</v>
      </c>
      <c r="M92" s="3403"/>
      <c r="N92" s="3925"/>
      <c r="O92" s="3979" t="s">
        <v>219</v>
      </c>
    </row>
    <row r="93" spans="1:15" ht="13.5" customHeight="1" thickBot="1">
      <c r="A93" s="3976"/>
      <c r="B93" s="800" t="s">
        <v>18</v>
      </c>
      <c r="C93" s="3410" t="s">
        <v>214</v>
      </c>
      <c r="D93" s="516">
        <f t="shared" si="55"/>
        <v>272000</v>
      </c>
      <c r="E93" s="1810">
        <f t="shared" si="55"/>
        <v>0</v>
      </c>
      <c r="F93" s="1810">
        <f t="shared" si="55"/>
        <v>0</v>
      </c>
      <c r="G93" s="1810">
        <f t="shared" si="55"/>
        <v>156145</v>
      </c>
      <c r="H93" s="1810">
        <f t="shared" si="55"/>
        <v>92650</v>
      </c>
      <c r="I93" s="1810">
        <f t="shared" si="55"/>
        <v>23205</v>
      </c>
      <c r="J93" s="1810">
        <v>0</v>
      </c>
      <c r="K93" s="1810">
        <v>0</v>
      </c>
      <c r="L93" s="1810">
        <v>0</v>
      </c>
      <c r="M93" s="3366"/>
      <c r="N93" s="3926"/>
      <c r="O93" s="3980"/>
    </row>
    <row r="94" spans="1:15" ht="13.5" customHeight="1" thickBot="1">
      <c r="A94" s="3976"/>
      <c r="B94" s="2970" t="s">
        <v>20</v>
      </c>
      <c r="C94" s="3352"/>
      <c r="D94" s="1216">
        <f>SUM(E94:L94)</f>
        <v>272000</v>
      </c>
      <c r="E94" s="1216">
        <v>0</v>
      </c>
      <c r="F94" s="1319">
        <f>2873-2873</f>
        <v>0</v>
      </c>
      <c r="G94" s="1319">
        <v>156145</v>
      </c>
      <c r="H94" s="1319">
        <v>92650</v>
      </c>
      <c r="I94" s="1319">
        <v>23205</v>
      </c>
      <c r="J94" s="1319">
        <v>0</v>
      </c>
      <c r="K94" s="1319">
        <v>0</v>
      </c>
      <c r="L94" s="1319">
        <v>0</v>
      </c>
      <c r="M94" s="3366"/>
      <c r="N94" s="3926"/>
      <c r="O94" s="3977"/>
    </row>
    <row r="95" spans="1:15" ht="39.75" customHeight="1" thickBot="1">
      <c r="A95" s="3374" t="s">
        <v>107</v>
      </c>
      <c r="B95" s="1574" t="s">
        <v>627</v>
      </c>
      <c r="C95" s="2654" t="s">
        <v>162</v>
      </c>
      <c r="D95" s="1966"/>
      <c r="E95" s="1966"/>
      <c r="F95" s="2655"/>
      <c r="G95" s="2655"/>
      <c r="H95" s="2655"/>
      <c r="I95" s="1966"/>
      <c r="J95" s="1966"/>
      <c r="K95" s="1966"/>
      <c r="L95" s="2656"/>
      <c r="M95" s="614"/>
      <c r="N95" s="2400"/>
      <c r="O95" s="3984" t="s">
        <v>403</v>
      </c>
    </row>
    <row r="96" spans="1:15" ht="13.5" customHeight="1">
      <c r="A96" s="3976"/>
      <c r="B96" s="1283" t="s">
        <v>10</v>
      </c>
      <c r="C96" s="2495"/>
      <c r="D96" s="1285">
        <f>+D97+D99</f>
        <v>3446020</v>
      </c>
      <c r="E96" s="1285">
        <f>+E97+E99</f>
        <v>0</v>
      </c>
      <c r="F96" s="1285">
        <f>+F97+F99</f>
        <v>0</v>
      </c>
      <c r="G96" s="1285">
        <f t="shared" ref="G96:L96" si="56">+G97+G99</f>
        <v>0</v>
      </c>
      <c r="H96" s="1285">
        <f t="shared" si="56"/>
        <v>298278</v>
      </c>
      <c r="I96" s="1285">
        <f t="shared" si="56"/>
        <v>1324061</v>
      </c>
      <c r="J96" s="1285">
        <f t="shared" si="56"/>
        <v>735528</v>
      </c>
      <c r="K96" s="1285">
        <f t="shared" si="56"/>
        <v>944889</v>
      </c>
      <c r="L96" s="1285">
        <f t="shared" si="56"/>
        <v>143264</v>
      </c>
      <c r="M96" s="1286">
        <f>+M97+M99</f>
        <v>3302756</v>
      </c>
      <c r="N96" s="2539">
        <f>+N97+N99</f>
        <v>3446020</v>
      </c>
      <c r="O96" s="3985"/>
    </row>
    <row r="97" spans="1:16" ht="13.5" customHeight="1" thickBot="1">
      <c r="A97" s="3976"/>
      <c r="B97" s="1287" t="s">
        <v>23</v>
      </c>
      <c r="C97" s="3351" t="s">
        <v>211</v>
      </c>
      <c r="D97" s="1288">
        <f>+D98</f>
        <v>516903</v>
      </c>
      <c r="E97" s="1293">
        <f>+E98</f>
        <v>0</v>
      </c>
      <c r="F97" s="1293">
        <f>+F98</f>
        <v>0</v>
      </c>
      <c r="G97" s="1293">
        <f t="shared" ref="G97:L97" si="57">+G98</f>
        <v>0</v>
      </c>
      <c r="H97" s="1293">
        <f t="shared" si="57"/>
        <v>44742</v>
      </c>
      <c r="I97" s="1293">
        <f t="shared" si="57"/>
        <v>198609</v>
      </c>
      <c r="J97" s="1293">
        <f t="shared" si="57"/>
        <v>110329</v>
      </c>
      <c r="K97" s="1293">
        <f t="shared" si="57"/>
        <v>141733</v>
      </c>
      <c r="L97" s="1293">
        <f t="shared" si="57"/>
        <v>21490</v>
      </c>
      <c r="M97" s="1289">
        <f>+M98</f>
        <v>495413</v>
      </c>
      <c r="N97" s="2537">
        <f>+N98</f>
        <v>516903</v>
      </c>
      <c r="O97" s="3986"/>
    </row>
    <row r="98" spans="1:16" ht="13.5" customHeight="1">
      <c r="A98" s="3976"/>
      <c r="B98" s="1290" t="s">
        <v>12</v>
      </c>
      <c r="C98" s="3347"/>
      <c r="D98" s="1216">
        <f>SUM(E98:L98)</f>
        <v>516903</v>
      </c>
      <c r="E98" s="1216">
        <v>0</v>
      </c>
      <c r="F98" s="1291">
        <f>507-507</f>
        <v>0</v>
      </c>
      <c r="G98" s="1291">
        <v>0</v>
      </c>
      <c r="H98" s="1291">
        <v>44742</v>
      </c>
      <c r="I98" s="1291">
        <v>198609</v>
      </c>
      <c r="J98" s="1291">
        <v>110329</v>
      </c>
      <c r="K98" s="1291">
        <v>141733</v>
      </c>
      <c r="L98" s="1291">
        <v>21490</v>
      </c>
      <c r="M98" s="2538">
        <f>SUM(F98:K98)</f>
        <v>495413</v>
      </c>
      <c r="N98" s="2545">
        <f>SUM(G98:L98)</f>
        <v>516903</v>
      </c>
      <c r="O98" s="3357"/>
    </row>
    <row r="99" spans="1:16" ht="13.5" customHeight="1" thickBot="1">
      <c r="A99" s="3976"/>
      <c r="B99" s="1292" t="s">
        <v>18</v>
      </c>
      <c r="C99" s="3347"/>
      <c r="D99" s="1288">
        <f>+D100</f>
        <v>2929117</v>
      </c>
      <c r="E99" s="1293">
        <f>+E100</f>
        <v>0</v>
      </c>
      <c r="F99" s="1293">
        <f>+F100</f>
        <v>0</v>
      </c>
      <c r="G99" s="1293">
        <f t="shared" ref="G99:L99" si="58">+G100</f>
        <v>0</v>
      </c>
      <c r="H99" s="1293">
        <f t="shared" si="58"/>
        <v>253536</v>
      </c>
      <c r="I99" s="1293">
        <f t="shared" si="58"/>
        <v>1125452</v>
      </c>
      <c r="J99" s="1293">
        <f t="shared" si="58"/>
        <v>625199</v>
      </c>
      <c r="K99" s="1293">
        <f t="shared" si="58"/>
        <v>803156</v>
      </c>
      <c r="L99" s="1293">
        <f t="shared" si="58"/>
        <v>121774</v>
      </c>
      <c r="M99" s="1289">
        <f>+M100</f>
        <v>2807343</v>
      </c>
      <c r="N99" s="2541">
        <f>+N100</f>
        <v>2929117</v>
      </c>
      <c r="O99" s="3359"/>
    </row>
    <row r="100" spans="1:16" ht="13.5" customHeight="1" thickBot="1">
      <c r="A100" s="3976"/>
      <c r="B100" s="2740" t="s">
        <v>20</v>
      </c>
      <c r="C100" s="3391"/>
      <c r="D100" s="1262">
        <f>SUM(E100:L100)</f>
        <v>2929117</v>
      </c>
      <c r="E100" s="1262">
        <v>0</v>
      </c>
      <c r="F100" s="1301">
        <f>2873-2873</f>
        <v>0</v>
      </c>
      <c r="G100" s="1301">
        <v>0</v>
      </c>
      <c r="H100" s="1301">
        <v>253536</v>
      </c>
      <c r="I100" s="1301">
        <v>1125452</v>
      </c>
      <c r="J100" s="1301">
        <v>625199</v>
      </c>
      <c r="K100" s="1301">
        <v>803156</v>
      </c>
      <c r="L100" s="1301">
        <v>121774</v>
      </c>
      <c r="M100" s="1598">
        <f>SUM(F100:K100)</f>
        <v>2807343</v>
      </c>
      <c r="N100" s="2540">
        <f>SUM(G100:L100)</f>
        <v>2929117</v>
      </c>
      <c r="O100" s="3357"/>
    </row>
    <row r="101" spans="1:16" ht="13.5" customHeight="1" thickBot="1">
      <c r="A101" s="3976"/>
      <c r="B101" s="2496" t="s">
        <v>21</v>
      </c>
      <c r="C101" s="2305"/>
      <c r="D101" s="2427">
        <f t="shared" ref="D101:L102" si="59">+D102</f>
        <v>2929117</v>
      </c>
      <c r="E101" s="2427">
        <f t="shared" si="59"/>
        <v>0</v>
      </c>
      <c r="F101" s="2427">
        <f t="shared" si="59"/>
        <v>0</v>
      </c>
      <c r="G101" s="2427">
        <f t="shared" si="59"/>
        <v>0</v>
      </c>
      <c r="H101" s="2427">
        <f t="shared" si="59"/>
        <v>253536</v>
      </c>
      <c r="I101" s="2427">
        <f t="shared" si="59"/>
        <v>1125452</v>
      </c>
      <c r="J101" s="2427">
        <f t="shared" si="59"/>
        <v>625199</v>
      </c>
      <c r="K101" s="2427">
        <f t="shared" si="59"/>
        <v>803156</v>
      </c>
      <c r="L101" s="2427">
        <f t="shared" si="59"/>
        <v>121774</v>
      </c>
      <c r="M101" s="3367"/>
      <c r="N101" s="3927"/>
      <c r="O101" s="3986" t="s">
        <v>219</v>
      </c>
    </row>
    <row r="102" spans="1:16" ht="13.5" customHeight="1">
      <c r="A102" s="3976"/>
      <c r="B102" s="2373" t="s">
        <v>18</v>
      </c>
      <c r="C102" s="3982" t="s">
        <v>214</v>
      </c>
      <c r="D102" s="2585">
        <f t="shared" si="59"/>
        <v>2929117</v>
      </c>
      <c r="E102" s="2585">
        <f t="shared" si="59"/>
        <v>0</v>
      </c>
      <c r="F102" s="2585">
        <f t="shared" si="59"/>
        <v>0</v>
      </c>
      <c r="G102" s="2585">
        <f t="shared" si="59"/>
        <v>0</v>
      </c>
      <c r="H102" s="2585">
        <f t="shared" si="59"/>
        <v>253536</v>
      </c>
      <c r="I102" s="2585">
        <f t="shared" si="59"/>
        <v>1125452</v>
      </c>
      <c r="J102" s="2585">
        <f t="shared" si="59"/>
        <v>625199</v>
      </c>
      <c r="K102" s="2585">
        <f t="shared" si="59"/>
        <v>803156</v>
      </c>
      <c r="L102" s="2585">
        <f t="shared" si="59"/>
        <v>121774</v>
      </c>
      <c r="M102" s="3366"/>
      <c r="N102" s="3926"/>
      <c r="O102" s="3358"/>
    </row>
    <row r="103" spans="1:16" ht="13.5" customHeight="1" thickBot="1">
      <c r="A103" s="3981"/>
      <c r="B103" s="2724" t="s">
        <v>20</v>
      </c>
      <c r="C103" s="3983"/>
      <c r="D103" s="1570">
        <f>SUM(E103:L103)</f>
        <v>2929117</v>
      </c>
      <c r="E103" s="1570">
        <v>0</v>
      </c>
      <c r="F103" s="1586">
        <f>2873-2873</f>
        <v>0</v>
      </c>
      <c r="G103" s="1586">
        <v>0</v>
      </c>
      <c r="H103" s="1586">
        <v>253536</v>
      </c>
      <c r="I103" s="1586">
        <v>1125452</v>
      </c>
      <c r="J103" s="1586">
        <v>625199</v>
      </c>
      <c r="K103" s="1586">
        <v>803156</v>
      </c>
      <c r="L103" s="1586">
        <v>121774</v>
      </c>
      <c r="M103" s="3987"/>
      <c r="N103" s="3987"/>
      <c r="O103" s="3359"/>
    </row>
    <row r="104" spans="1:16" s="600" customFormat="1" ht="36" hidden="1" customHeight="1">
      <c r="A104" s="2458" t="s">
        <v>159</v>
      </c>
      <c r="B104" s="2459"/>
      <c r="C104" s="2459"/>
      <c r="D104" s="2459"/>
      <c r="E104" s="2459"/>
      <c r="F104" s="2459"/>
      <c r="G104" s="2459"/>
      <c r="H104" s="2459"/>
      <c r="I104" s="2459"/>
      <c r="J104" s="2459"/>
      <c r="K104" s="2459"/>
      <c r="L104" s="2459"/>
      <c r="M104" s="2460"/>
      <c r="N104" s="2460"/>
      <c r="O104" s="2461"/>
    </row>
    <row r="105" spans="1:16" s="2454" customFormat="1" ht="19.5" hidden="1" customHeight="1">
      <c r="A105" s="2526"/>
      <c r="B105" s="1101" t="s">
        <v>68</v>
      </c>
      <c r="C105" s="1101"/>
      <c r="D105" s="2527">
        <f>+D106+D107</f>
        <v>0</v>
      </c>
      <c r="E105" s="2528">
        <f>+E106+E107</f>
        <v>0</v>
      </c>
      <c r="F105" s="2527">
        <f t="shared" ref="F105:N105" si="60">+F106+F107</f>
        <v>0</v>
      </c>
      <c r="G105" s="2527">
        <f t="shared" si="60"/>
        <v>0</v>
      </c>
      <c r="H105" s="2527">
        <f t="shared" si="60"/>
        <v>0</v>
      </c>
      <c r="I105" s="2527">
        <f t="shared" si="60"/>
        <v>0</v>
      </c>
      <c r="J105" s="2527">
        <f t="shared" si="60"/>
        <v>0</v>
      </c>
      <c r="K105" s="2527">
        <f t="shared" si="60"/>
        <v>0</v>
      </c>
      <c r="L105" s="2527">
        <f t="shared" si="60"/>
        <v>0</v>
      </c>
      <c r="M105" s="2529">
        <f t="shared" ref="M105" si="61">+M106+M107</f>
        <v>0</v>
      </c>
      <c r="N105" s="2529">
        <f t="shared" si="60"/>
        <v>0</v>
      </c>
      <c r="O105" s="2530"/>
    </row>
    <row r="106" spans="1:16" s="2454" customFormat="1" ht="12.75" hidden="1" customHeight="1">
      <c r="A106" s="2517"/>
      <c r="B106" s="568" t="s">
        <v>69</v>
      </c>
      <c r="C106" s="214"/>
      <c r="D106" s="215">
        <f>D131</f>
        <v>0</v>
      </c>
      <c r="E106" s="1065">
        <f t="shared" ref="E106:L106" si="62">E131</f>
        <v>0</v>
      </c>
      <c r="F106" s="215">
        <f t="shared" si="62"/>
        <v>0</v>
      </c>
      <c r="G106" s="215">
        <f t="shared" si="62"/>
        <v>0</v>
      </c>
      <c r="H106" s="215">
        <f t="shared" si="62"/>
        <v>0</v>
      </c>
      <c r="I106" s="215">
        <f t="shared" si="62"/>
        <v>0</v>
      </c>
      <c r="J106" s="215">
        <f t="shared" si="62"/>
        <v>0</v>
      </c>
      <c r="K106" s="215">
        <f t="shared" si="62"/>
        <v>0</v>
      </c>
      <c r="L106" s="215">
        <f t="shared" si="62"/>
        <v>0</v>
      </c>
      <c r="M106" s="145">
        <f>SUM(E106:G106)</f>
        <v>0</v>
      </c>
      <c r="N106" s="2401">
        <f>SUM(G106:H106)</f>
        <v>0</v>
      </c>
      <c r="O106" s="2449"/>
    </row>
    <row r="107" spans="1:16" s="2454" customFormat="1" ht="15" hidden="1" customHeight="1">
      <c r="A107" s="2376"/>
      <c r="B107" s="1066" t="s">
        <v>9</v>
      </c>
      <c r="C107" s="1600"/>
      <c r="D107" s="1601">
        <f>+D135+D122</f>
        <v>0</v>
      </c>
      <c r="E107" s="1602">
        <f t="shared" ref="E107:L107" si="63">+E135+E122</f>
        <v>0</v>
      </c>
      <c r="F107" s="1601">
        <f t="shared" si="63"/>
        <v>0</v>
      </c>
      <c r="G107" s="1601">
        <f t="shared" si="63"/>
        <v>0</v>
      </c>
      <c r="H107" s="1601">
        <f t="shared" si="63"/>
        <v>0</v>
      </c>
      <c r="I107" s="1601">
        <f t="shared" si="63"/>
        <v>0</v>
      </c>
      <c r="J107" s="1601">
        <f t="shared" si="63"/>
        <v>0</v>
      </c>
      <c r="K107" s="1601">
        <f t="shared" si="63"/>
        <v>0</v>
      </c>
      <c r="L107" s="1601">
        <f t="shared" si="63"/>
        <v>0</v>
      </c>
      <c r="M107" s="1599">
        <f>SUM(E107:G107)</f>
        <v>0</v>
      </c>
      <c r="N107" s="2402">
        <f>SUM(G107:K107)</f>
        <v>0</v>
      </c>
      <c r="O107" s="2415"/>
      <c r="P107" s="2455"/>
    </row>
    <row r="108" spans="1:16" ht="14.25" hidden="1" customHeight="1">
      <c r="A108" s="2376"/>
      <c r="B108" s="531" t="s">
        <v>10</v>
      </c>
      <c r="C108" s="1603"/>
      <c r="D108" s="1604">
        <f>+D109</f>
        <v>0</v>
      </c>
      <c r="E108" s="1605">
        <f t="shared" ref="E108:L108" si="64">+E109</f>
        <v>0</v>
      </c>
      <c r="F108" s="1606">
        <f t="shared" si="64"/>
        <v>0</v>
      </c>
      <c r="G108" s="1606">
        <f t="shared" si="64"/>
        <v>0</v>
      </c>
      <c r="H108" s="1606">
        <f t="shared" si="64"/>
        <v>0</v>
      </c>
      <c r="I108" s="1606">
        <f t="shared" si="64"/>
        <v>0</v>
      </c>
      <c r="J108" s="1606">
        <f t="shared" si="64"/>
        <v>0</v>
      </c>
      <c r="K108" s="1606">
        <f t="shared" si="64"/>
        <v>0</v>
      </c>
      <c r="L108" s="1606">
        <f t="shared" si="64"/>
        <v>0</v>
      </c>
      <c r="M108" s="1254">
        <f>+M109</f>
        <v>0</v>
      </c>
      <c r="N108" s="2398">
        <f>+N109</f>
        <v>0</v>
      </c>
      <c r="O108" s="2415"/>
      <c r="P108" s="422"/>
    </row>
    <row r="109" spans="1:16" ht="12.95" hidden="1" customHeight="1">
      <c r="A109" s="2377"/>
      <c r="B109" s="569" t="s">
        <v>11</v>
      </c>
      <c r="C109" s="1607"/>
      <c r="D109" s="1608">
        <f>+D113+D114+D110</f>
        <v>0</v>
      </c>
      <c r="E109" s="1609">
        <f t="shared" ref="E109:L109" si="65">+E113+E114+E110</f>
        <v>0</v>
      </c>
      <c r="F109" s="1608">
        <f t="shared" si="65"/>
        <v>0</v>
      </c>
      <c r="G109" s="1608">
        <f t="shared" si="65"/>
        <v>0</v>
      </c>
      <c r="H109" s="1608">
        <f t="shared" si="65"/>
        <v>0</v>
      </c>
      <c r="I109" s="1608">
        <f t="shared" si="65"/>
        <v>0</v>
      </c>
      <c r="J109" s="1608">
        <f t="shared" si="65"/>
        <v>0</v>
      </c>
      <c r="K109" s="1608">
        <f t="shared" si="65"/>
        <v>0</v>
      </c>
      <c r="L109" s="1608">
        <f t="shared" si="65"/>
        <v>0</v>
      </c>
      <c r="M109" s="1610">
        <f>+M113+M114</f>
        <v>0</v>
      </c>
      <c r="N109" s="2403">
        <f>+N113+N114</f>
        <v>0</v>
      </c>
      <c r="O109" s="2415"/>
    </row>
    <row r="110" spans="1:16" ht="12.95" hidden="1" customHeight="1">
      <c r="A110" s="2378"/>
      <c r="B110" s="570" t="s">
        <v>12</v>
      </c>
      <c r="C110" s="1611"/>
      <c r="D110" s="1612">
        <f>D132</f>
        <v>0</v>
      </c>
      <c r="E110" s="1613">
        <f t="shared" ref="E110:L110" si="66">E132</f>
        <v>0</v>
      </c>
      <c r="F110" s="1612">
        <f t="shared" si="66"/>
        <v>0</v>
      </c>
      <c r="G110" s="1612">
        <f t="shared" si="66"/>
        <v>0</v>
      </c>
      <c r="H110" s="1612">
        <f t="shared" si="66"/>
        <v>0</v>
      </c>
      <c r="I110" s="1612">
        <f t="shared" si="66"/>
        <v>0</v>
      </c>
      <c r="J110" s="1612">
        <f t="shared" si="66"/>
        <v>0</v>
      </c>
      <c r="K110" s="1612">
        <f t="shared" si="66"/>
        <v>0</v>
      </c>
      <c r="L110" s="1612">
        <f t="shared" si="66"/>
        <v>0</v>
      </c>
      <c r="M110" s="1614"/>
      <c r="N110" s="2404"/>
      <c r="O110" s="2415"/>
    </row>
    <row r="111" spans="1:16" ht="13.5" hidden="1" customHeight="1">
      <c r="A111" s="2378"/>
      <c r="B111" s="834" t="s">
        <v>13</v>
      </c>
      <c r="C111" s="1615"/>
      <c r="D111" s="1616">
        <v>0</v>
      </c>
      <c r="E111" s="1617">
        <v>0</v>
      </c>
      <c r="F111" s="1616"/>
      <c r="G111" s="1616"/>
      <c r="H111" s="1616"/>
      <c r="I111" s="1616"/>
      <c r="J111" s="1616"/>
      <c r="K111" s="1616"/>
      <c r="L111" s="1616"/>
      <c r="M111" s="1614"/>
      <c r="N111" s="2404"/>
      <c r="O111" s="2415"/>
    </row>
    <row r="112" spans="1:16" ht="12.75" hidden="1" customHeight="1">
      <c r="A112" s="2378"/>
      <c r="B112" s="571" t="s">
        <v>13</v>
      </c>
      <c r="C112" s="1615"/>
      <c r="D112" s="1616">
        <v>0</v>
      </c>
      <c r="E112" s="1617">
        <v>0</v>
      </c>
      <c r="F112" s="1616"/>
      <c r="G112" s="1616"/>
      <c r="H112" s="1616"/>
      <c r="I112" s="1616"/>
      <c r="J112" s="1616"/>
      <c r="K112" s="1616"/>
      <c r="L112" s="1616"/>
      <c r="M112" s="1614"/>
      <c r="N112" s="2404"/>
      <c r="O112" s="2415"/>
    </row>
    <row r="113" spans="1:15" s="600" customFormat="1" ht="12.75" hidden="1" customHeight="1">
      <c r="A113" s="2379"/>
      <c r="B113" s="1067" t="s">
        <v>14</v>
      </c>
      <c r="C113" s="1615"/>
      <c r="D113" s="1616">
        <f>+D124</f>
        <v>0</v>
      </c>
      <c r="E113" s="1618">
        <f t="shared" ref="E113:L113" si="67">+E124</f>
        <v>0</v>
      </c>
      <c r="F113" s="1616">
        <f t="shared" si="67"/>
        <v>0</v>
      </c>
      <c r="G113" s="1616">
        <f t="shared" si="67"/>
        <v>0</v>
      </c>
      <c r="H113" s="1616">
        <f t="shared" si="67"/>
        <v>0</v>
      </c>
      <c r="I113" s="1616">
        <f t="shared" si="67"/>
        <v>0</v>
      </c>
      <c r="J113" s="1616">
        <f t="shared" si="67"/>
        <v>0</v>
      </c>
      <c r="K113" s="1616">
        <f t="shared" si="67"/>
        <v>0</v>
      </c>
      <c r="L113" s="1616">
        <f t="shared" si="67"/>
        <v>0</v>
      </c>
      <c r="M113" s="1614">
        <f>SUM(E113:L114)</f>
        <v>0</v>
      </c>
      <c r="N113" s="2404">
        <f>SUM(G113:L113)</f>
        <v>0</v>
      </c>
      <c r="O113" s="2416"/>
    </row>
    <row r="114" spans="1:15" ht="12.75" hidden="1" customHeight="1">
      <c r="A114" s="2380"/>
      <c r="B114" s="570" t="s">
        <v>54</v>
      </c>
      <c r="C114" s="1619"/>
      <c r="D114" s="1612">
        <f>+D137+D125</f>
        <v>0</v>
      </c>
      <c r="E114" s="1613">
        <f>+E137+E125</f>
        <v>0</v>
      </c>
      <c r="F114" s="1612"/>
      <c r="G114" s="1612"/>
      <c r="H114" s="1612"/>
      <c r="I114" s="1612"/>
      <c r="J114" s="1612"/>
      <c r="K114" s="1612"/>
      <c r="L114" s="1612"/>
      <c r="M114" s="1614">
        <f>SUM(E114:H114)</f>
        <v>0</v>
      </c>
      <c r="N114" s="2404">
        <f>SUM(F114:I114)</f>
        <v>0</v>
      </c>
      <c r="O114" s="2417"/>
    </row>
    <row r="115" spans="1:15" ht="15" hidden="1" customHeight="1">
      <c r="A115" s="572"/>
      <c r="B115" s="531" t="s">
        <v>21</v>
      </c>
      <c r="C115" s="1284"/>
      <c r="D115" s="1341">
        <f>+D116</f>
        <v>0</v>
      </c>
      <c r="E115" s="1342">
        <f t="shared" ref="E115:L115" si="68">+E116</f>
        <v>0</v>
      </c>
      <c r="F115" s="1341">
        <f t="shared" si="68"/>
        <v>0</v>
      </c>
      <c r="G115" s="1341">
        <f t="shared" si="68"/>
        <v>0</v>
      </c>
      <c r="H115" s="1341">
        <f t="shared" si="68"/>
        <v>0</v>
      </c>
      <c r="I115" s="1341">
        <f t="shared" si="68"/>
        <v>0</v>
      </c>
      <c r="J115" s="1341">
        <f t="shared" si="68"/>
        <v>0</v>
      </c>
      <c r="K115" s="1341">
        <f t="shared" si="68"/>
        <v>0</v>
      </c>
      <c r="L115" s="1341">
        <f t="shared" si="68"/>
        <v>0</v>
      </c>
      <c r="M115" s="3964" t="s">
        <v>22</v>
      </c>
      <c r="N115" s="3964" t="s">
        <v>22</v>
      </c>
      <c r="O115" s="17"/>
    </row>
    <row r="116" spans="1:15" ht="12" hidden="1" customHeight="1">
      <c r="A116" s="1107"/>
      <c r="B116" s="569" t="s">
        <v>11</v>
      </c>
      <c r="C116" s="1607"/>
      <c r="D116" s="1608">
        <f>SUM(D118:D120)</f>
        <v>0</v>
      </c>
      <c r="E116" s="1609">
        <f>SUM(E118:E120)</f>
        <v>0</v>
      </c>
      <c r="F116" s="1608">
        <f t="shared" ref="F116:L116" si="69">SUM(F118:F120)</f>
        <v>0</v>
      </c>
      <c r="G116" s="1608">
        <f t="shared" si="69"/>
        <v>0</v>
      </c>
      <c r="H116" s="1608">
        <f t="shared" si="69"/>
        <v>0</v>
      </c>
      <c r="I116" s="1608">
        <f t="shared" si="69"/>
        <v>0</v>
      </c>
      <c r="J116" s="1608">
        <f t="shared" si="69"/>
        <v>0</v>
      </c>
      <c r="K116" s="1608">
        <f t="shared" si="69"/>
        <v>0</v>
      </c>
      <c r="L116" s="1608">
        <f t="shared" si="69"/>
        <v>0</v>
      </c>
      <c r="M116" s="3948"/>
      <c r="N116" s="3948"/>
      <c r="O116" s="17"/>
    </row>
    <row r="117" spans="1:15" ht="13.5" hidden="1" customHeight="1">
      <c r="A117" s="1106"/>
      <c r="B117" s="571" t="s">
        <v>13</v>
      </c>
      <c r="C117" s="1619"/>
      <c r="D117" s="1620">
        <v>0</v>
      </c>
      <c r="E117" s="1621">
        <v>0</v>
      </c>
      <c r="F117" s="1612"/>
      <c r="G117" s="1612"/>
      <c r="H117" s="1612"/>
      <c r="I117" s="1612"/>
      <c r="J117" s="1612"/>
      <c r="K117" s="1612"/>
      <c r="L117" s="1612"/>
      <c r="M117" s="3948"/>
      <c r="N117" s="3948"/>
      <c r="O117" s="17"/>
    </row>
    <row r="118" spans="1:15" ht="12.95" hidden="1" customHeight="1">
      <c r="A118" s="1106"/>
      <c r="B118" s="571" t="s">
        <v>13</v>
      </c>
      <c r="C118" s="1611"/>
      <c r="D118" s="1620">
        <v>0</v>
      </c>
      <c r="E118" s="1621">
        <v>0</v>
      </c>
      <c r="F118" s="1620"/>
      <c r="G118" s="1620"/>
      <c r="H118" s="1620"/>
      <c r="I118" s="1620"/>
      <c r="J118" s="1620"/>
      <c r="K118" s="1620"/>
      <c r="L118" s="1620"/>
      <c r="M118" s="3948"/>
      <c r="N118" s="3948"/>
      <c r="O118" s="17"/>
    </row>
    <row r="119" spans="1:15" ht="13.5" hidden="1" customHeight="1">
      <c r="A119" s="1106"/>
      <c r="B119" s="570" t="s">
        <v>14</v>
      </c>
      <c r="C119" s="1611"/>
      <c r="D119" s="1620">
        <f>+D128</f>
        <v>0</v>
      </c>
      <c r="E119" s="1621">
        <f t="shared" ref="E119:L119" si="70">+E128</f>
        <v>0</v>
      </c>
      <c r="F119" s="1620">
        <f t="shared" si="70"/>
        <v>0</v>
      </c>
      <c r="G119" s="1620">
        <f t="shared" si="70"/>
        <v>0</v>
      </c>
      <c r="H119" s="1620">
        <f t="shared" si="70"/>
        <v>0</v>
      </c>
      <c r="I119" s="1620">
        <f t="shared" si="70"/>
        <v>0</v>
      </c>
      <c r="J119" s="1620">
        <f t="shared" si="70"/>
        <v>0</v>
      </c>
      <c r="K119" s="1620">
        <f t="shared" si="70"/>
        <v>0</v>
      </c>
      <c r="L119" s="1620">
        <f t="shared" si="70"/>
        <v>0</v>
      </c>
      <c r="M119" s="3948"/>
      <c r="N119" s="3948"/>
      <c r="O119" s="17"/>
    </row>
    <row r="120" spans="1:15" ht="14.25" hidden="1" customHeight="1" thickBot="1">
      <c r="A120" s="1108"/>
      <c r="B120" s="812" t="s">
        <v>54</v>
      </c>
      <c r="C120" s="1622"/>
      <c r="D120" s="1623">
        <f>+D140+D129</f>
        <v>0</v>
      </c>
      <c r="E120" s="1623">
        <f>+E140+E129</f>
        <v>0</v>
      </c>
      <c r="F120" s="1623"/>
      <c r="G120" s="1623"/>
      <c r="H120" s="1623"/>
      <c r="I120" s="1623"/>
      <c r="J120" s="1623"/>
      <c r="K120" s="1623"/>
      <c r="L120" s="1623"/>
      <c r="M120" s="3949"/>
      <c r="N120" s="3949"/>
      <c r="O120" s="1109"/>
    </row>
    <row r="121" spans="1:15" ht="15.75" hidden="1" customHeight="1">
      <c r="A121" s="3374" t="s">
        <v>55</v>
      </c>
      <c r="B121" s="1959"/>
      <c r="C121" s="1068" t="s">
        <v>74</v>
      </c>
      <c r="D121" s="1068"/>
      <c r="E121" s="59"/>
      <c r="F121" s="1069"/>
      <c r="G121" s="1069"/>
      <c r="H121" s="1069"/>
      <c r="I121" s="1069"/>
      <c r="J121" s="1069"/>
      <c r="K121" s="1069"/>
      <c r="L121" s="1069"/>
      <c r="M121" s="1070"/>
      <c r="N121" s="1070"/>
      <c r="O121" s="3958" t="s">
        <v>524</v>
      </c>
    </row>
    <row r="122" spans="1:15" ht="15.75" hidden="1" customHeight="1">
      <c r="A122" s="3375"/>
      <c r="B122" s="410" t="s">
        <v>10</v>
      </c>
      <c r="C122" s="1624"/>
      <c r="D122" s="1341">
        <f>+D123</f>
        <v>0</v>
      </c>
      <c r="E122" s="1341">
        <f t="shared" ref="E122:L122" si="71">+E123</f>
        <v>0</v>
      </c>
      <c r="F122" s="1341">
        <f t="shared" si="71"/>
        <v>0</v>
      </c>
      <c r="G122" s="1341">
        <f t="shared" si="71"/>
        <v>0</v>
      </c>
      <c r="H122" s="1341">
        <f t="shared" si="71"/>
        <v>0</v>
      </c>
      <c r="I122" s="1341">
        <f t="shared" si="71"/>
        <v>0</v>
      </c>
      <c r="J122" s="1341">
        <f t="shared" si="71"/>
        <v>0</v>
      </c>
      <c r="K122" s="1341">
        <f t="shared" si="71"/>
        <v>0</v>
      </c>
      <c r="L122" s="1341">
        <f t="shared" si="71"/>
        <v>0</v>
      </c>
      <c r="M122" s="1625">
        <f>+M123</f>
        <v>0</v>
      </c>
      <c r="N122" s="1625">
        <f>+N123</f>
        <v>0</v>
      </c>
      <c r="O122" s="3959"/>
    </row>
    <row r="123" spans="1:15" s="600" customFormat="1" ht="15.75" hidden="1" customHeight="1">
      <c r="A123" s="3375"/>
      <c r="B123" s="1636" t="s">
        <v>11</v>
      </c>
      <c r="C123" s="3961" t="s">
        <v>398</v>
      </c>
      <c r="D123" s="1814">
        <f>+D125+D124</f>
        <v>0</v>
      </c>
      <c r="E123" s="1369">
        <f t="shared" ref="E123" si="72">+E125+E124</f>
        <v>0</v>
      </c>
      <c r="F123" s="1575">
        <f t="shared" ref="F123:L123" si="73">+F125+F124</f>
        <v>0</v>
      </c>
      <c r="G123" s="1575">
        <f t="shared" si="73"/>
        <v>0</v>
      </c>
      <c r="H123" s="1575">
        <f t="shared" si="73"/>
        <v>0</v>
      </c>
      <c r="I123" s="1369">
        <f t="shared" si="73"/>
        <v>0</v>
      </c>
      <c r="J123" s="1369">
        <f t="shared" si="73"/>
        <v>0</v>
      </c>
      <c r="K123" s="1369">
        <f t="shared" si="73"/>
        <v>0</v>
      </c>
      <c r="L123" s="1369">
        <f t="shared" si="73"/>
        <v>0</v>
      </c>
      <c r="M123" s="1585">
        <f>M125+M124</f>
        <v>0</v>
      </c>
      <c r="N123" s="1585">
        <f>N125+N124</f>
        <v>0</v>
      </c>
      <c r="O123" s="3959"/>
    </row>
    <row r="124" spans="1:15" s="600" customFormat="1" ht="15.75" hidden="1" customHeight="1">
      <c r="A124" s="3375"/>
      <c r="B124" s="589" t="s">
        <v>14</v>
      </c>
      <c r="C124" s="3962"/>
      <c r="D124" s="1815">
        <f>E124+F124+G124+H124+I124+J124+K124+L124</f>
        <v>0</v>
      </c>
      <c r="E124" s="1267"/>
      <c r="F124" s="1626"/>
      <c r="G124" s="1626"/>
      <c r="H124" s="1626"/>
      <c r="I124" s="1626"/>
      <c r="J124" s="1626"/>
      <c r="K124" s="1626"/>
      <c r="L124" s="1626">
        <v>0</v>
      </c>
      <c r="M124" s="1637">
        <f>SUM(F124:K124)</f>
        <v>0</v>
      </c>
      <c r="N124" s="1371">
        <f>SUM(G124:L124)</f>
        <v>0</v>
      </c>
      <c r="O124" s="3959"/>
    </row>
    <row r="125" spans="1:15" ht="13.5" hidden="1" customHeight="1">
      <c r="A125" s="3375"/>
      <c r="B125" s="577" t="s">
        <v>16</v>
      </c>
      <c r="C125" s="3963"/>
      <c r="D125" s="1813"/>
      <c r="E125" s="1627"/>
      <c r="F125" s="1638"/>
      <c r="G125" s="1638"/>
      <c r="H125" s="1638"/>
      <c r="I125" s="1370"/>
      <c r="J125" s="1370"/>
      <c r="K125" s="1370"/>
      <c r="L125" s="1370"/>
      <c r="M125" s="1614">
        <f>SUM(E125:H125)</f>
        <v>0</v>
      </c>
      <c r="N125" s="1614">
        <f>SUM(F125:I125)</f>
        <v>0</v>
      </c>
      <c r="O125" s="3959"/>
    </row>
    <row r="126" spans="1:15" ht="15" hidden="1" customHeight="1">
      <c r="A126" s="3375"/>
      <c r="B126" s="410" t="s">
        <v>21</v>
      </c>
      <c r="C126" s="1624"/>
      <c r="D126" s="1341">
        <f>+D127</f>
        <v>0</v>
      </c>
      <c r="E126" s="1341">
        <f t="shared" ref="E126:L126" si="74">+E127</f>
        <v>0</v>
      </c>
      <c r="F126" s="1341">
        <f t="shared" si="74"/>
        <v>0</v>
      </c>
      <c r="G126" s="1341">
        <f t="shared" si="74"/>
        <v>0</v>
      </c>
      <c r="H126" s="1341">
        <f t="shared" si="74"/>
        <v>0</v>
      </c>
      <c r="I126" s="1341">
        <f t="shared" si="74"/>
        <v>0</v>
      </c>
      <c r="J126" s="1341">
        <f t="shared" si="74"/>
        <v>0</v>
      </c>
      <c r="K126" s="1341">
        <f t="shared" si="74"/>
        <v>0</v>
      </c>
      <c r="L126" s="1341">
        <f t="shared" si="74"/>
        <v>0</v>
      </c>
      <c r="M126" s="3965" t="s">
        <v>53</v>
      </c>
      <c r="N126" s="3965" t="s">
        <v>53</v>
      </c>
      <c r="O126" s="3959"/>
    </row>
    <row r="127" spans="1:15" s="600" customFormat="1" ht="15" hidden="1" customHeight="1">
      <c r="A127" s="3375"/>
      <c r="B127" s="1636" t="s">
        <v>11</v>
      </c>
      <c r="C127" s="3436" t="s">
        <v>398</v>
      </c>
      <c r="D127" s="1575">
        <f>+D129+D128</f>
        <v>0</v>
      </c>
      <c r="E127" s="1369">
        <f>+E129+E128</f>
        <v>0</v>
      </c>
      <c r="F127" s="1575">
        <f t="shared" ref="F127:L127" si="75">+F129+F128</f>
        <v>0</v>
      </c>
      <c r="G127" s="1575">
        <f t="shared" si="75"/>
        <v>0</v>
      </c>
      <c r="H127" s="1575">
        <f t="shared" si="75"/>
        <v>0</v>
      </c>
      <c r="I127" s="1369">
        <f t="shared" si="75"/>
        <v>0</v>
      </c>
      <c r="J127" s="1369">
        <f t="shared" si="75"/>
        <v>0</v>
      </c>
      <c r="K127" s="1369">
        <f t="shared" si="75"/>
        <v>0</v>
      </c>
      <c r="L127" s="1369">
        <f t="shared" si="75"/>
        <v>0</v>
      </c>
      <c r="M127" s="3966"/>
      <c r="N127" s="3966"/>
      <c r="O127" s="3959"/>
    </row>
    <row r="128" spans="1:15" ht="15" hidden="1" customHeight="1" thickBot="1">
      <c r="A128" s="3531"/>
      <c r="B128" s="74" t="s">
        <v>14</v>
      </c>
      <c r="C128" s="3975"/>
      <c r="D128" s="1570">
        <f>E128+F128+G128+H128+I128+J128+K128+L128</f>
        <v>0</v>
      </c>
      <c r="E128" s="1628"/>
      <c r="F128" s="1629"/>
      <c r="G128" s="1629"/>
      <c r="H128" s="1629"/>
      <c r="I128" s="1629"/>
      <c r="J128" s="1629"/>
      <c r="K128" s="1629"/>
      <c r="L128" s="1630">
        <v>0</v>
      </c>
      <c r="M128" s="3967"/>
      <c r="N128" s="3967"/>
      <c r="O128" s="3960"/>
    </row>
    <row r="129" spans="1:15" ht="13.5" hidden="1" customHeight="1" thickBot="1">
      <c r="A129" s="1071"/>
      <c r="B129" s="1072" t="s">
        <v>16</v>
      </c>
      <c r="C129" s="2748"/>
      <c r="D129" s="1064"/>
      <c r="E129" s="1073"/>
      <c r="F129" s="1074"/>
      <c r="G129" s="1075"/>
      <c r="H129" s="1075"/>
      <c r="I129" s="1075"/>
      <c r="J129" s="1075"/>
      <c r="K129" s="1075"/>
      <c r="L129" s="1075"/>
      <c r="M129" s="1076"/>
      <c r="N129" s="1076"/>
      <c r="O129" s="1077"/>
    </row>
    <row r="130" spans="1:15" s="586" customFormat="1" ht="29.25" hidden="1" customHeight="1">
      <c r="A130" s="3968" t="s">
        <v>56</v>
      </c>
      <c r="B130" s="581" t="s">
        <v>399</v>
      </c>
      <c r="C130" s="594" t="s">
        <v>101</v>
      </c>
      <c r="D130" s="594"/>
      <c r="E130" s="83"/>
      <c r="F130" s="595"/>
      <c r="G130" s="595"/>
      <c r="H130" s="595"/>
      <c r="I130" s="595"/>
      <c r="J130" s="595"/>
      <c r="K130" s="595"/>
      <c r="L130" s="595"/>
      <c r="M130" s="582"/>
      <c r="N130" s="582"/>
      <c r="O130" s="3969" t="s">
        <v>156</v>
      </c>
    </row>
    <row r="131" spans="1:15" s="586" customFormat="1" ht="16.5" hidden="1" customHeight="1">
      <c r="A131" s="3968"/>
      <c r="B131" s="531" t="s">
        <v>10</v>
      </c>
      <c r="C131" s="1624"/>
      <c r="D131" s="1285"/>
      <c r="E131" s="1580"/>
      <c r="F131" s="1580"/>
      <c r="G131" s="1580"/>
      <c r="H131" s="1285"/>
      <c r="I131" s="1285"/>
      <c r="J131" s="1285"/>
      <c r="K131" s="1285"/>
      <c r="L131" s="1345"/>
      <c r="M131" s="1625">
        <f>M132</f>
        <v>0</v>
      </c>
      <c r="N131" s="1625">
        <f>N132</f>
        <v>0</v>
      </c>
      <c r="O131" s="3969"/>
    </row>
    <row r="132" spans="1:15" s="586" customFormat="1" ht="13.5" hidden="1" customHeight="1">
      <c r="A132" s="3968"/>
      <c r="B132" s="575" t="s">
        <v>11</v>
      </c>
      <c r="C132" s="3970" t="s">
        <v>161</v>
      </c>
      <c r="D132" s="1369"/>
      <c r="E132" s="2000"/>
      <c r="F132" s="2000"/>
      <c r="G132" s="2000"/>
      <c r="H132" s="1369"/>
      <c r="I132" s="1369"/>
      <c r="J132" s="1369"/>
      <c r="K132" s="1369"/>
      <c r="L132" s="1369"/>
      <c r="M132" s="1585">
        <f>M133</f>
        <v>0</v>
      </c>
      <c r="N132" s="1585">
        <f>N133</f>
        <v>0</v>
      </c>
      <c r="O132" s="3969"/>
    </row>
    <row r="133" spans="1:15" s="586" customFormat="1" ht="13.5" hidden="1" customHeight="1" thickBot="1">
      <c r="A133" s="3973"/>
      <c r="B133" s="79" t="s">
        <v>12</v>
      </c>
      <c r="C133" s="3525"/>
      <c r="D133" s="2001"/>
      <c r="E133" s="2002"/>
      <c r="F133" s="1078"/>
      <c r="G133" s="1078"/>
      <c r="H133" s="1079"/>
      <c r="I133" s="1079"/>
      <c r="J133" s="1079"/>
      <c r="K133" s="1079"/>
      <c r="L133" s="1079"/>
      <c r="M133" s="2003">
        <f>SUM(E133:K133)</f>
        <v>0</v>
      </c>
      <c r="N133" s="2003">
        <f>SUM(F133:L133)</f>
        <v>0</v>
      </c>
      <c r="O133" s="3974"/>
    </row>
    <row r="134" spans="1:15" ht="19.5" hidden="1" customHeight="1">
      <c r="A134" s="3968"/>
      <c r="B134" s="581"/>
      <c r="C134" s="594" t="s">
        <v>74</v>
      </c>
      <c r="D134" s="813"/>
      <c r="E134" s="83"/>
      <c r="F134" s="83"/>
      <c r="G134" s="595"/>
      <c r="H134" s="595"/>
      <c r="I134" s="595"/>
      <c r="J134" s="595"/>
      <c r="K134" s="595"/>
      <c r="L134" s="595"/>
      <c r="M134" s="582"/>
      <c r="N134" s="582"/>
      <c r="O134" s="3969"/>
    </row>
    <row r="135" spans="1:15" ht="12.75" hidden="1" customHeight="1">
      <c r="A135" s="3968"/>
      <c r="B135" s="531" t="s">
        <v>10</v>
      </c>
      <c r="C135" s="1624"/>
      <c r="D135" s="1604"/>
      <c r="E135" s="1606"/>
      <c r="F135" s="1345"/>
      <c r="G135" s="1285"/>
      <c r="H135" s="1285"/>
      <c r="I135" s="1285"/>
      <c r="J135" s="1285"/>
      <c r="K135" s="1285"/>
      <c r="L135" s="1345"/>
      <c r="M135" s="1625"/>
      <c r="N135" s="1625"/>
      <c r="O135" s="3969"/>
    </row>
    <row r="136" spans="1:15" ht="13.5" hidden="1" customHeight="1">
      <c r="A136" s="3968"/>
      <c r="B136" s="575" t="s">
        <v>11</v>
      </c>
      <c r="C136" s="3970" t="s">
        <v>157</v>
      </c>
      <c r="D136" s="1369"/>
      <c r="E136" s="1369"/>
      <c r="F136" s="1369"/>
      <c r="G136" s="1369"/>
      <c r="H136" s="1369"/>
      <c r="I136" s="1369"/>
      <c r="J136" s="1369"/>
      <c r="K136" s="1369"/>
      <c r="L136" s="1369"/>
      <c r="M136" s="1585"/>
      <c r="N136" s="1585"/>
      <c r="O136" s="3969"/>
    </row>
    <row r="137" spans="1:15" ht="13.5" hidden="1" customHeight="1">
      <c r="A137" s="3968"/>
      <c r="B137" s="577" t="s">
        <v>16</v>
      </c>
      <c r="C137" s="3971"/>
      <c r="D137" s="2004"/>
      <c r="E137" s="1370"/>
      <c r="F137" s="1370"/>
      <c r="G137" s="1370"/>
      <c r="H137" s="1370"/>
      <c r="I137" s="1370"/>
      <c r="J137" s="1370"/>
      <c r="K137" s="1370"/>
      <c r="L137" s="1370"/>
      <c r="M137" s="1614"/>
      <c r="N137" s="1614"/>
      <c r="O137" s="3969"/>
    </row>
    <row r="138" spans="1:15" ht="13.5" hidden="1" customHeight="1">
      <c r="A138" s="3968"/>
      <c r="B138" s="531" t="s">
        <v>21</v>
      </c>
      <c r="C138" s="1624"/>
      <c r="D138" s="1341"/>
      <c r="E138" s="1341"/>
      <c r="F138" s="1285"/>
      <c r="G138" s="1285"/>
      <c r="H138" s="1285"/>
      <c r="I138" s="1285"/>
      <c r="J138" s="1285"/>
      <c r="K138" s="1285"/>
      <c r="L138" s="1345"/>
      <c r="M138" s="2005"/>
      <c r="N138" s="2005"/>
      <c r="O138" s="3969"/>
    </row>
    <row r="139" spans="1:15" ht="15.75" hidden="1" customHeight="1">
      <c r="A139" s="3968"/>
      <c r="B139" s="575" t="s">
        <v>11</v>
      </c>
      <c r="C139" s="3970" t="s">
        <v>157</v>
      </c>
      <c r="D139" s="1369">
        <f>+D140</f>
        <v>0</v>
      </c>
      <c r="E139" s="1369">
        <f t="shared" ref="E139" si="76">+E140</f>
        <v>0</v>
      </c>
      <c r="F139" s="1369"/>
      <c r="G139" s="1369"/>
      <c r="H139" s="1369"/>
      <c r="I139" s="1369"/>
      <c r="J139" s="1369"/>
      <c r="K139" s="1369"/>
      <c r="L139" s="1369"/>
      <c r="M139" s="2005"/>
      <c r="N139" s="2005"/>
      <c r="O139" s="3969"/>
    </row>
    <row r="140" spans="1:15" ht="10.5" hidden="1" customHeight="1">
      <c r="A140" s="3968"/>
      <c r="B140" s="577" t="s">
        <v>16</v>
      </c>
      <c r="C140" s="3972"/>
      <c r="D140" s="2004"/>
      <c r="E140" s="1370"/>
      <c r="F140" s="2006"/>
      <c r="G140" s="2006"/>
      <c r="H140" s="2006"/>
      <c r="I140" s="2006"/>
      <c r="J140" s="2006"/>
      <c r="K140" s="2006"/>
      <c r="L140" s="2006"/>
      <c r="M140" s="2005"/>
      <c r="N140" s="2005"/>
      <c r="O140" s="3969"/>
    </row>
    <row r="143" spans="1:15" ht="16.5" customHeight="1">
      <c r="B143" s="2007" t="s">
        <v>448</v>
      </c>
      <c r="C143" s="2749"/>
      <c r="D143" s="2749"/>
      <c r="E143" s="2749"/>
      <c r="F143" s="2749"/>
      <c r="G143" s="2749"/>
      <c r="H143" s="2749"/>
      <c r="I143" s="2749"/>
      <c r="J143" s="2749"/>
      <c r="K143" s="2749"/>
      <c r="L143" s="2749"/>
    </row>
    <row r="144" spans="1:15" ht="16.5" customHeight="1">
      <c r="B144" s="2750" t="s">
        <v>449</v>
      </c>
      <c r="C144" s="2749"/>
      <c r="D144" s="2751">
        <f t="shared" ref="D144:L144" si="77">D50+D83+D63+D92+D101</f>
        <v>41897230</v>
      </c>
      <c r="E144" s="2751">
        <f t="shared" si="77"/>
        <v>7444603</v>
      </c>
      <c r="F144" s="2751">
        <f t="shared" si="77"/>
        <v>4882915</v>
      </c>
      <c r="G144" s="2751">
        <f t="shared" si="77"/>
        <v>6519018</v>
      </c>
      <c r="H144" s="2751">
        <f t="shared" si="77"/>
        <v>8051796</v>
      </c>
      <c r="I144" s="2751">
        <f t="shared" si="77"/>
        <v>8088657</v>
      </c>
      <c r="J144" s="2751">
        <f t="shared" si="77"/>
        <v>2558441</v>
      </c>
      <c r="K144" s="2751">
        <f t="shared" si="77"/>
        <v>2460734</v>
      </c>
      <c r="L144" s="2751">
        <f t="shared" si="77"/>
        <v>1891066</v>
      </c>
    </row>
    <row r="145" spans="1:15" ht="15.75" customHeight="1">
      <c r="B145" s="2750" t="s">
        <v>450</v>
      </c>
      <c r="C145" s="2749"/>
      <c r="D145" s="2751">
        <f>D74</f>
        <v>841516</v>
      </c>
      <c r="E145" s="2751">
        <f t="shared" ref="E145:M145" si="78">E74</f>
        <v>0</v>
      </c>
      <c r="F145" s="2751">
        <f t="shared" si="78"/>
        <v>0</v>
      </c>
      <c r="G145" s="2751">
        <f t="shared" si="78"/>
        <v>209635</v>
      </c>
      <c r="H145" s="2751">
        <f t="shared" si="78"/>
        <v>480241</v>
      </c>
      <c r="I145" s="2751">
        <f t="shared" si="78"/>
        <v>151640</v>
      </c>
      <c r="J145" s="2751">
        <f t="shared" si="78"/>
        <v>0</v>
      </c>
      <c r="K145" s="2751">
        <f t="shared" si="78"/>
        <v>0</v>
      </c>
      <c r="L145" s="2751">
        <f t="shared" si="78"/>
        <v>0</v>
      </c>
      <c r="M145" s="2751">
        <f t="shared" si="78"/>
        <v>0</v>
      </c>
    </row>
    <row r="146" spans="1:15" ht="14.25" customHeight="1">
      <c r="B146" s="2750" t="s">
        <v>451</v>
      </c>
      <c r="C146" s="2749"/>
      <c r="D146" s="1797">
        <f>D144+D145</f>
        <v>42738746</v>
      </c>
      <c r="E146" s="1797">
        <f>E144+E145</f>
        <v>7444603</v>
      </c>
      <c r="F146" s="1797">
        <f t="shared" ref="F146:L146" si="79">F144+F145</f>
        <v>4882915</v>
      </c>
      <c r="G146" s="1797">
        <f t="shared" si="79"/>
        <v>6728653</v>
      </c>
      <c r="H146" s="1797">
        <f t="shared" si="79"/>
        <v>8532037</v>
      </c>
      <c r="I146" s="1797">
        <f t="shared" si="79"/>
        <v>8240297</v>
      </c>
      <c r="J146" s="1797">
        <f t="shared" si="79"/>
        <v>2558441</v>
      </c>
      <c r="K146" s="1797">
        <f t="shared" si="79"/>
        <v>2460734</v>
      </c>
      <c r="L146" s="1797">
        <f t="shared" si="79"/>
        <v>1891066</v>
      </c>
    </row>
    <row r="147" spans="1:15" s="600" customFormat="1" ht="16.5" customHeight="1">
      <c r="A147" s="2044"/>
      <c r="B147" s="2008" t="s">
        <v>41</v>
      </c>
      <c r="C147" s="2045"/>
      <c r="D147" s="2046">
        <f t="shared" ref="D147:L147" si="80">D146-D21</f>
        <v>0</v>
      </c>
      <c r="E147" s="2046">
        <f t="shared" si="80"/>
        <v>0</v>
      </c>
      <c r="F147" s="2046">
        <f t="shared" si="80"/>
        <v>0</v>
      </c>
      <c r="G147" s="2046">
        <f t="shared" si="80"/>
        <v>0</v>
      </c>
      <c r="H147" s="2046">
        <f t="shared" si="80"/>
        <v>0</v>
      </c>
      <c r="I147" s="2046">
        <f t="shared" si="80"/>
        <v>0</v>
      </c>
      <c r="J147" s="2046">
        <f t="shared" si="80"/>
        <v>0</v>
      </c>
      <c r="K147" s="2046">
        <f t="shared" si="80"/>
        <v>0</v>
      </c>
      <c r="L147" s="2046">
        <f t="shared" si="80"/>
        <v>0</v>
      </c>
      <c r="O147" s="2047"/>
    </row>
    <row r="153" spans="1:15" ht="12.75" thickBot="1">
      <c r="A153" s="2009"/>
      <c r="B153" s="471"/>
      <c r="C153" s="471"/>
      <c r="D153" s="471"/>
      <c r="E153" s="471"/>
      <c r="F153" s="471"/>
      <c r="G153" s="471"/>
      <c r="H153" s="471"/>
      <c r="I153" s="471"/>
      <c r="J153" s="471"/>
      <c r="K153" s="471"/>
      <c r="L153" s="471"/>
      <c r="M153" s="471"/>
      <c r="N153" s="471"/>
      <c r="O153" s="2010"/>
    </row>
    <row r="175" spans="1:1" ht="12.75" thickBot="1">
      <c r="A175" s="2009"/>
    </row>
    <row r="176" spans="1:1" ht="12.75" thickBot="1">
      <c r="A176" s="2356"/>
    </row>
    <row r="177" spans="1:2" ht="12.75" thickBot="1">
      <c r="A177" s="2356"/>
    </row>
    <row r="178" spans="1:2" ht="12.75" thickBot="1">
      <c r="A178" s="2356"/>
    </row>
    <row r="179" spans="1:2" ht="12.75" thickBot="1">
      <c r="A179" s="2356"/>
    </row>
    <row r="180" spans="1:2" ht="12.75" thickBot="1">
      <c r="A180" s="2356"/>
    </row>
    <row r="181" spans="1:2" ht="12.75" thickBot="1">
      <c r="A181" s="2356"/>
    </row>
    <row r="182" spans="1:2" ht="12.75" thickBot="1">
      <c r="A182" s="2356"/>
    </row>
    <row r="183" spans="1:2" ht="12.75" thickBot="1">
      <c r="A183" s="2356"/>
    </row>
    <row r="184" spans="1:2" ht="12.75" thickBot="1">
      <c r="A184" s="2356"/>
    </row>
    <row r="185" spans="1:2" ht="12.75" thickBot="1">
      <c r="A185" s="2356"/>
    </row>
    <row r="186" spans="1:2" ht="12.75" thickBot="1">
      <c r="A186" s="2356"/>
      <c r="B186" s="471"/>
    </row>
    <row r="187" spans="1:2" ht="12.75" thickBot="1">
      <c r="A187" s="2356"/>
      <c r="B187" s="465"/>
    </row>
    <row r="188" spans="1:2" ht="12.75" thickBot="1">
      <c r="A188" s="2356"/>
    </row>
    <row r="189" spans="1:2" ht="12.75" thickBot="1">
      <c r="A189" s="2356"/>
    </row>
    <row r="190" spans="1:2" ht="12.75" thickBot="1">
      <c r="A190" s="2356"/>
    </row>
    <row r="191" spans="1:2" ht="12.75" thickBot="1">
      <c r="A191" s="2356"/>
    </row>
    <row r="192" spans="1:2" ht="12.75" thickBot="1">
      <c r="A192" s="2356"/>
    </row>
    <row r="193" spans="1:15" ht="12.75" thickBot="1">
      <c r="A193" s="2356"/>
    </row>
    <row r="194" spans="1:15" ht="12.75" thickBot="1">
      <c r="A194" s="2356"/>
    </row>
    <row r="195" spans="1:15" ht="12.75" thickBot="1">
      <c r="A195" s="2356"/>
    </row>
    <row r="196" spans="1:15" ht="12.75" thickBot="1">
      <c r="A196" s="2356"/>
    </row>
    <row r="197" spans="1:15" ht="12.75" thickBot="1">
      <c r="A197" s="2356"/>
    </row>
    <row r="198" spans="1:15" ht="12.75" thickBot="1">
      <c r="A198" s="2356"/>
    </row>
    <row r="199" spans="1:15" ht="12.75" thickBot="1">
      <c r="A199" s="2356"/>
    </row>
    <row r="200" spans="1:15" ht="12.75" thickBot="1">
      <c r="A200" s="2356"/>
      <c r="N200" s="471"/>
      <c r="O200" s="2010"/>
    </row>
    <row r="201" spans="1:15" ht="12.75" thickBot="1">
      <c r="A201" s="2356"/>
      <c r="C201" s="471"/>
      <c r="N201" s="2344"/>
      <c r="O201" s="2328"/>
    </row>
    <row r="202" spans="1:15" ht="12.75" thickBot="1">
      <c r="A202" s="2356"/>
      <c r="C202" s="2344"/>
      <c r="N202" s="2344"/>
      <c r="O202" s="2328"/>
    </row>
    <row r="203" spans="1:15" ht="12.75" thickBot="1">
      <c r="A203" s="2356"/>
      <c r="C203" s="2344"/>
      <c r="N203" s="2344"/>
      <c r="O203" s="2328"/>
    </row>
    <row r="204" spans="1:15" ht="12.75" thickBot="1">
      <c r="A204" s="2357"/>
      <c r="C204" s="2344"/>
      <c r="D204" s="471"/>
      <c r="E204" s="471"/>
      <c r="F204" s="471"/>
      <c r="G204" s="471"/>
      <c r="H204" s="471"/>
      <c r="I204" s="471"/>
      <c r="J204" s="471"/>
      <c r="K204" s="471"/>
      <c r="L204" s="471"/>
      <c r="N204" s="2344"/>
      <c r="O204" s="2328"/>
    </row>
    <row r="205" spans="1:15" ht="12.75" thickBot="1">
      <c r="C205" s="465"/>
      <c r="D205" s="465"/>
      <c r="E205" s="465"/>
      <c r="F205" s="465"/>
      <c r="G205" s="465"/>
      <c r="H205" s="465"/>
      <c r="I205" s="465"/>
      <c r="J205" s="465"/>
      <c r="K205" s="465"/>
      <c r="L205" s="465"/>
      <c r="N205" s="465"/>
      <c r="O205" s="2328"/>
    </row>
    <row r="206" spans="1:15" ht="12.75" thickBot="1">
      <c r="O206" s="2328"/>
    </row>
    <row r="207" spans="1:15" ht="12.75" thickBot="1">
      <c r="O207" s="2328"/>
    </row>
    <row r="208" spans="1:15" ht="12.75" thickBot="1">
      <c r="O208" s="2328"/>
    </row>
    <row r="209" spans="15:15" ht="12.75" thickBot="1">
      <c r="O209" s="2328"/>
    </row>
    <row r="210" spans="15:15" ht="12.75" thickBot="1">
      <c r="O210" s="2328"/>
    </row>
    <row r="211" spans="15:15" ht="12.75" thickBot="1">
      <c r="O211" s="2328"/>
    </row>
    <row r="212" spans="15:15" ht="12.75" thickBot="1">
      <c r="O212" s="2328"/>
    </row>
    <row r="213" spans="15:15" ht="12.75" thickBot="1">
      <c r="O213" s="2328"/>
    </row>
    <row r="214" spans="15:15">
      <c r="O214" s="2329"/>
    </row>
    <row r="248" spans="15:15" ht="12.75" thickBot="1">
      <c r="O248" s="2010"/>
    </row>
    <row r="249" spans="15:15" ht="12.75" thickBot="1">
      <c r="O249" s="2328"/>
    </row>
    <row r="250" spans="15:15" ht="12.75" thickBot="1">
      <c r="O250" s="2328"/>
    </row>
    <row r="251" spans="15:15" ht="12.75" thickBot="1">
      <c r="O251" s="2328"/>
    </row>
    <row r="252" spans="15:15" ht="12.75" thickBot="1">
      <c r="O252" s="2328"/>
    </row>
    <row r="253" spans="15:15" ht="12.75" thickBot="1">
      <c r="O253" s="2328"/>
    </row>
    <row r="254" spans="15:15" ht="12.75" thickBot="1">
      <c r="O254" s="2328"/>
    </row>
    <row r="255" spans="15:15" ht="12.75" thickBot="1">
      <c r="O255" s="2328"/>
    </row>
    <row r="256" spans="15:15" ht="12.75" thickBot="1">
      <c r="O256" s="2328"/>
    </row>
    <row r="257" spans="15:15" ht="12.75" thickBot="1">
      <c r="O257" s="2328"/>
    </row>
    <row r="258" spans="15:15" ht="12.75" thickBot="1">
      <c r="O258" s="2328"/>
    </row>
    <row r="259" spans="15:15" ht="12.75" thickBot="1">
      <c r="O259" s="2328"/>
    </row>
    <row r="260" spans="15:15" ht="12.75" thickBot="1">
      <c r="O260" s="2328"/>
    </row>
    <row r="261" spans="15:15" ht="12.75" thickBot="1">
      <c r="O261" s="2328"/>
    </row>
    <row r="262" spans="15:15">
      <c r="O262" s="2329"/>
    </row>
    <row r="401" spans="1:15" ht="12.75" thickBot="1">
      <c r="A401" s="2009"/>
    </row>
    <row r="402" spans="1:15" ht="12.75" thickBot="1">
      <c r="A402" s="2356"/>
    </row>
    <row r="403" spans="1:15" ht="12.75" thickBot="1">
      <c r="A403" s="2356"/>
    </row>
    <row r="404" spans="1:15" ht="12.75" thickBot="1">
      <c r="A404" s="2356"/>
    </row>
    <row r="405" spans="1:15" ht="12.75" thickBot="1">
      <c r="A405" s="2356"/>
    </row>
    <row r="406" spans="1:15" ht="12.75" thickBot="1">
      <c r="A406" s="2356"/>
    </row>
    <row r="407" spans="1:15" ht="12.75" thickBot="1">
      <c r="A407" s="2356"/>
      <c r="N407" s="471"/>
      <c r="O407" s="2010"/>
    </row>
    <row r="408" spans="1:15" ht="12.75" thickBot="1">
      <c r="A408" s="2356"/>
      <c r="C408" s="471"/>
      <c r="N408" s="2344"/>
      <c r="O408" s="2328"/>
    </row>
    <row r="409" spans="1:15" ht="12.75" thickBot="1">
      <c r="A409" s="2356"/>
      <c r="C409" s="2344"/>
      <c r="D409" s="471"/>
      <c r="E409" s="471"/>
      <c r="F409" s="471"/>
      <c r="G409" s="471"/>
      <c r="H409" s="471"/>
      <c r="I409" s="471"/>
      <c r="J409" s="471"/>
      <c r="K409" s="471"/>
      <c r="L409" s="471"/>
      <c r="N409" s="2344"/>
      <c r="O409" s="2328"/>
    </row>
    <row r="410" spans="1:15" ht="12.75" thickBot="1">
      <c r="A410" s="2356"/>
      <c r="C410" s="465"/>
      <c r="D410" s="465"/>
      <c r="E410" s="465"/>
      <c r="F410" s="465"/>
      <c r="G410" s="465"/>
      <c r="H410" s="465"/>
      <c r="I410" s="465"/>
      <c r="J410" s="465"/>
      <c r="K410" s="465"/>
      <c r="L410" s="465"/>
      <c r="N410" s="465"/>
      <c r="O410" s="2328"/>
    </row>
    <row r="411" spans="1:15" ht="12.75" thickBot="1">
      <c r="A411" s="2356"/>
      <c r="O411" s="2328"/>
    </row>
    <row r="412" spans="1:15" ht="12.75" thickBot="1">
      <c r="A412" s="2356"/>
      <c r="O412" s="2328"/>
    </row>
    <row r="413" spans="1:15" ht="12.75" thickBot="1">
      <c r="A413" s="2356"/>
      <c r="O413" s="2328"/>
    </row>
    <row r="414" spans="1:15" ht="12.75" thickBot="1">
      <c r="A414" s="2356"/>
      <c r="O414" s="2328"/>
    </row>
    <row r="415" spans="1:15" ht="12.75" thickBot="1">
      <c r="A415" s="2356"/>
      <c r="O415" s="2329"/>
    </row>
    <row r="416" spans="1:15" ht="12.75" thickBot="1">
      <c r="A416" s="2356"/>
    </row>
    <row r="417" spans="1:1" ht="12.75" thickBot="1">
      <c r="A417" s="2356"/>
    </row>
    <row r="418" spans="1:1">
      <c r="A418" s="2357"/>
    </row>
    <row r="516" spans="1:15" ht="12.75" thickBot="1">
      <c r="O516" s="2010"/>
    </row>
    <row r="517" spans="1:15" ht="12.75" thickBot="1">
      <c r="O517" s="2328"/>
    </row>
    <row r="518" spans="1:15" ht="12.75" thickBot="1">
      <c r="O518" s="2328"/>
    </row>
    <row r="519" spans="1:15" ht="12.75" thickBot="1">
      <c r="O519" s="2328"/>
    </row>
    <row r="520" spans="1:15" ht="12.75" thickBot="1">
      <c r="N520" s="471"/>
      <c r="O520" s="2328"/>
    </row>
    <row r="521" spans="1:15" ht="12.75" thickBot="1">
      <c r="N521" s="2344"/>
      <c r="O521" s="2328"/>
    </row>
    <row r="522" spans="1:15" ht="12.75" thickBot="1">
      <c r="N522" s="2344"/>
      <c r="O522" s="2328"/>
    </row>
    <row r="523" spans="1:15" ht="12.75" thickBot="1">
      <c r="N523" s="2344"/>
      <c r="O523" s="2328"/>
    </row>
    <row r="524" spans="1:15" ht="12.75" thickBot="1">
      <c r="N524" s="2344"/>
      <c r="O524" s="2328"/>
    </row>
    <row r="525" spans="1:15" ht="12.75" thickBot="1">
      <c r="A525" s="2009"/>
      <c r="B525" s="471"/>
      <c r="C525" s="471"/>
      <c r="D525" s="471"/>
      <c r="E525" s="471"/>
      <c r="F525" s="471"/>
      <c r="G525" s="471"/>
      <c r="H525" s="471"/>
      <c r="I525" s="471"/>
      <c r="J525" s="471"/>
      <c r="K525" s="471"/>
      <c r="L525" s="471"/>
      <c r="N525" s="2344"/>
      <c r="O525" s="2328"/>
    </row>
    <row r="526" spans="1:15" ht="12.75" thickBot="1">
      <c r="A526" s="2356"/>
      <c r="B526" s="465"/>
      <c r="C526" s="465"/>
      <c r="D526" s="465"/>
      <c r="E526" s="465"/>
      <c r="F526" s="465"/>
      <c r="G526" s="465"/>
      <c r="H526" s="465"/>
      <c r="I526" s="465"/>
      <c r="J526" s="465"/>
      <c r="K526" s="465"/>
      <c r="L526" s="465"/>
      <c r="N526" s="465"/>
      <c r="O526" s="2328"/>
    </row>
    <row r="527" spans="1:15" ht="12.75" thickBot="1">
      <c r="A527" s="2356"/>
      <c r="O527" s="2328"/>
    </row>
    <row r="528" spans="1:15" ht="12.75" thickBot="1">
      <c r="A528" s="2356"/>
      <c r="O528" s="2328"/>
    </row>
    <row r="529" spans="1:15" ht="12.75" thickBot="1">
      <c r="A529" s="2356"/>
      <c r="O529" s="2328"/>
    </row>
    <row r="530" spans="1:15" ht="12.75" thickBot="1">
      <c r="A530" s="2356"/>
      <c r="O530" s="2328"/>
    </row>
    <row r="531" spans="1:15" ht="12.75" thickBot="1">
      <c r="A531" s="2356"/>
      <c r="O531" s="2328"/>
    </row>
    <row r="532" spans="1:15" ht="12.75" thickBot="1">
      <c r="A532" s="2356"/>
      <c r="O532" s="2328"/>
    </row>
    <row r="533" spans="1:15">
      <c r="A533" s="2357"/>
      <c r="O533" s="2329"/>
    </row>
  </sheetData>
  <mergeCells count="73">
    <mergeCell ref="O86:O91"/>
    <mergeCell ref="M92:M94"/>
    <mergeCell ref="N92:N94"/>
    <mergeCell ref="O92:O94"/>
    <mergeCell ref="A95:A103"/>
    <mergeCell ref="C97:C100"/>
    <mergeCell ref="C102:C103"/>
    <mergeCell ref="O95:O100"/>
    <mergeCell ref="M101:M103"/>
    <mergeCell ref="N101:N103"/>
    <mergeCell ref="O101:O103"/>
    <mergeCell ref="O57:O67"/>
    <mergeCell ref="C59:C62"/>
    <mergeCell ref="M63:M67"/>
    <mergeCell ref="N63:N67"/>
    <mergeCell ref="C64:C67"/>
    <mergeCell ref="M38:M42"/>
    <mergeCell ref="N115:N120"/>
    <mergeCell ref="A121:A128"/>
    <mergeCell ref="C127:C128"/>
    <mergeCell ref="N126:N128"/>
    <mergeCell ref="A43:A55"/>
    <mergeCell ref="A32:A42"/>
    <mergeCell ref="A68:A76"/>
    <mergeCell ref="A77:A85"/>
    <mergeCell ref="A57:A67"/>
    <mergeCell ref="A86:A94"/>
    <mergeCell ref="C88:C91"/>
    <mergeCell ref="C93:C94"/>
    <mergeCell ref="O121:O128"/>
    <mergeCell ref="C123:C125"/>
    <mergeCell ref="M115:M120"/>
    <mergeCell ref="M126:M128"/>
    <mergeCell ref="A134:A140"/>
    <mergeCell ref="O134:O140"/>
    <mergeCell ref="C136:C137"/>
    <mergeCell ref="C139:C140"/>
    <mergeCell ref="A130:A133"/>
    <mergeCell ref="O130:O133"/>
    <mergeCell ref="C132:C133"/>
    <mergeCell ref="O43:O55"/>
    <mergeCell ref="C45:C49"/>
    <mergeCell ref="C51:C55"/>
    <mergeCell ref="N50:N55"/>
    <mergeCell ref="M50:M55"/>
    <mergeCell ref="O32:O42"/>
    <mergeCell ref="C34:C37"/>
    <mergeCell ref="C39:C42"/>
    <mergeCell ref="N38:N42"/>
    <mergeCell ref="F1:G1"/>
    <mergeCell ref="A4:O4"/>
    <mergeCell ref="B5:B6"/>
    <mergeCell ref="C5:C6"/>
    <mergeCell ref="D5:D6"/>
    <mergeCell ref="O5:O6"/>
    <mergeCell ref="N5:N6"/>
    <mergeCell ref="N21:N31"/>
    <mergeCell ref="F5:F6"/>
    <mergeCell ref="G5:L5"/>
    <mergeCell ref="M5:M6"/>
    <mergeCell ref="M21:M31"/>
    <mergeCell ref="O68:O73"/>
    <mergeCell ref="C70:C73"/>
    <mergeCell ref="M74:M76"/>
    <mergeCell ref="N74:N76"/>
    <mergeCell ref="O74:O76"/>
    <mergeCell ref="C75:C76"/>
    <mergeCell ref="O77:O82"/>
    <mergeCell ref="C79:C82"/>
    <mergeCell ref="M83:M85"/>
    <mergeCell ref="N83:N85"/>
    <mergeCell ref="O83:O85"/>
    <mergeCell ref="C84:C85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52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67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Q679"/>
  <sheetViews>
    <sheetView showGridLines="0" view="pageBreakPreview" zoomScale="90" zoomScaleSheetLayoutView="90" workbookViewId="0">
      <pane ySplit="6" topLeftCell="A126" activePane="bottomLeft" state="frozen"/>
      <selection activeCell="A4" sqref="A1:XFD1048576"/>
      <selection pane="bottomLeft" activeCell="G124" sqref="G124"/>
    </sheetView>
  </sheetViews>
  <sheetFormatPr defaultColWidth="9.140625" defaultRowHeight="11.25"/>
  <cols>
    <col min="1" max="1" width="3.28515625" style="603" customWidth="1"/>
    <col min="2" max="2" width="66.28515625" style="194" customWidth="1"/>
    <col min="3" max="3" width="12" style="194" customWidth="1"/>
    <col min="4" max="4" width="14.5703125" style="194" customWidth="1"/>
    <col min="5" max="5" width="13.7109375" style="194" customWidth="1"/>
    <col min="6" max="6" width="13.140625" style="547" customWidth="1"/>
    <col min="7" max="7" width="11.5703125" style="547" customWidth="1"/>
    <col min="8" max="8" width="11.28515625" style="547" customWidth="1"/>
    <col min="9" max="9" width="11.85546875" style="547" customWidth="1"/>
    <col min="10" max="10" width="11.7109375" style="547" customWidth="1"/>
    <col min="11" max="12" width="8.42578125" style="547" customWidth="1"/>
    <col min="13" max="13" width="12.5703125" style="547" hidden="1" customWidth="1"/>
    <col min="14" max="14" width="12.5703125" style="547" customWidth="1"/>
    <col min="15" max="15" width="16.5703125" style="630" customWidth="1"/>
    <col min="16" max="16" width="16.5703125" style="194" customWidth="1"/>
    <col min="17" max="16384" width="9.140625" style="194"/>
  </cols>
  <sheetData>
    <row r="1" spans="1:17" ht="22.5" customHeight="1">
      <c r="G1" s="240" t="s">
        <v>526</v>
      </c>
      <c r="H1" s="194"/>
      <c r="I1" s="6"/>
      <c r="J1" s="6"/>
      <c r="K1" s="6"/>
      <c r="L1" s="6"/>
      <c r="M1" s="6"/>
      <c r="N1" s="6"/>
      <c r="O1" s="7"/>
    </row>
    <row r="2" spans="1:17" ht="18.75"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7"/>
    </row>
    <row r="3" spans="1:17" ht="48.75" customHeight="1" thickBot="1">
      <c r="A3" s="3791" t="s">
        <v>160</v>
      </c>
      <c r="B3" s="3791"/>
      <c r="C3" s="3791"/>
      <c r="D3" s="3791"/>
      <c r="E3" s="3791"/>
      <c r="F3" s="3791"/>
      <c r="G3" s="3791"/>
      <c r="H3" s="3791"/>
      <c r="I3" s="3791"/>
      <c r="J3" s="3791"/>
      <c r="K3" s="3791"/>
      <c r="L3" s="3791"/>
      <c r="M3" s="3791"/>
      <c r="N3" s="3791"/>
      <c r="O3" s="3791"/>
    </row>
    <row r="4" spans="1:17" ht="51.75" customHeight="1">
      <c r="A4" s="604"/>
      <c r="B4" s="4020" t="s">
        <v>67</v>
      </c>
      <c r="C4" s="3468" t="s">
        <v>63</v>
      </c>
      <c r="D4" s="3793" t="s">
        <v>109</v>
      </c>
      <c r="E4" s="3223" t="s">
        <v>256</v>
      </c>
      <c r="F4" s="3293" t="s">
        <v>573</v>
      </c>
      <c r="G4" s="3485" t="s">
        <v>513</v>
      </c>
      <c r="H4" s="3486"/>
      <c r="I4" s="3486"/>
      <c r="J4" s="3486"/>
      <c r="K4" s="3486"/>
      <c r="L4" s="3487"/>
      <c r="M4" s="3879" t="s">
        <v>528</v>
      </c>
      <c r="N4" s="3879" t="s">
        <v>514</v>
      </c>
      <c r="O4" s="3795" t="s">
        <v>65</v>
      </c>
    </row>
    <row r="5" spans="1:17" ht="36.75" customHeight="1" thickBot="1">
      <c r="A5" s="605"/>
      <c r="B5" s="4021"/>
      <c r="C5" s="4022"/>
      <c r="D5" s="4023"/>
      <c r="E5" s="2968" t="s">
        <v>496</v>
      </c>
      <c r="F5" s="3295"/>
      <c r="G5" s="3224" t="s">
        <v>6</v>
      </c>
      <c r="H5" s="292" t="s">
        <v>202</v>
      </c>
      <c r="I5" s="292" t="s">
        <v>203</v>
      </c>
      <c r="J5" s="292" t="s">
        <v>248</v>
      </c>
      <c r="K5" s="292" t="s">
        <v>249</v>
      </c>
      <c r="L5" s="292" t="s">
        <v>250</v>
      </c>
      <c r="M5" s="3880"/>
      <c r="N5" s="3880"/>
      <c r="O5" s="3796"/>
    </row>
    <row r="6" spans="1:17" ht="15" customHeight="1">
      <c r="A6" s="3231">
        <v>1</v>
      </c>
      <c r="B6" s="3232">
        <v>2</v>
      </c>
      <c r="C6" s="1215" t="s">
        <v>110</v>
      </c>
      <c r="D6" s="3233" t="s">
        <v>111</v>
      </c>
      <c r="E6" s="3233">
        <v>5</v>
      </c>
      <c r="F6" s="1215">
        <v>6</v>
      </c>
      <c r="G6" s="1215">
        <v>7</v>
      </c>
      <c r="H6" s="1215">
        <v>8</v>
      </c>
      <c r="I6" s="1215">
        <v>9</v>
      </c>
      <c r="J6" s="1215">
        <v>10</v>
      </c>
      <c r="K6" s="1215">
        <v>11</v>
      </c>
      <c r="L6" s="1215">
        <v>12</v>
      </c>
      <c r="M6" s="1331">
        <v>13</v>
      </c>
      <c r="N6" s="1331">
        <v>13</v>
      </c>
      <c r="O6" s="1332">
        <v>14</v>
      </c>
    </row>
    <row r="7" spans="1:17" s="2287" customFormat="1" ht="16.5" customHeight="1">
      <c r="A7" s="487"/>
      <c r="B7" s="1099" t="s">
        <v>68</v>
      </c>
      <c r="C7" s="1100"/>
      <c r="D7" s="215">
        <f>+D8+D9</f>
        <v>100310339</v>
      </c>
      <c r="E7" s="215">
        <f t="shared" ref="E7:L7" si="0">+E8+E9</f>
        <v>926404</v>
      </c>
      <c r="F7" s="215">
        <f t="shared" si="0"/>
        <v>1228190</v>
      </c>
      <c r="G7" s="215">
        <f t="shared" si="0"/>
        <v>62853694</v>
      </c>
      <c r="H7" s="215">
        <f t="shared" si="0"/>
        <v>29631034</v>
      </c>
      <c r="I7" s="215">
        <f t="shared" si="0"/>
        <v>5671017</v>
      </c>
      <c r="J7" s="215">
        <f t="shared" si="0"/>
        <v>0</v>
      </c>
      <c r="K7" s="215">
        <f t="shared" si="0"/>
        <v>0</v>
      </c>
      <c r="L7" s="215">
        <f t="shared" si="0"/>
        <v>0</v>
      </c>
      <c r="M7" s="145">
        <f>+M8+M9</f>
        <v>99383935</v>
      </c>
      <c r="N7" s="145">
        <f>+N8+N9</f>
        <v>98155745</v>
      </c>
      <c r="O7" s="606"/>
      <c r="P7" s="2291">
        <f>D26+D38+D50+D74+D83+D118+D127+D139+D152+D161+D174+D192+D205+D214+D227+D236+D248+D257</f>
        <v>87120762</v>
      </c>
    </row>
    <row r="8" spans="1:17" s="2287" customFormat="1" ht="13.5" customHeight="1">
      <c r="A8" s="487"/>
      <c r="B8" s="1101" t="s">
        <v>69</v>
      </c>
      <c r="C8" s="1102"/>
      <c r="D8" s="207">
        <f t="shared" ref="D8:L8" si="1">D118+D139+D161+D192+D214+D227+D248+D109</f>
        <v>3644890</v>
      </c>
      <c r="E8" s="207">
        <f t="shared" si="1"/>
        <v>0</v>
      </c>
      <c r="F8" s="207">
        <f t="shared" si="1"/>
        <v>80037</v>
      </c>
      <c r="G8" s="207">
        <f t="shared" si="1"/>
        <v>1298658</v>
      </c>
      <c r="H8" s="207">
        <f t="shared" si="1"/>
        <v>1701341</v>
      </c>
      <c r="I8" s="207">
        <f t="shared" si="1"/>
        <v>564854</v>
      </c>
      <c r="J8" s="207">
        <f t="shared" si="1"/>
        <v>0</v>
      </c>
      <c r="K8" s="207">
        <f t="shared" si="1"/>
        <v>0</v>
      </c>
      <c r="L8" s="207">
        <f t="shared" si="1"/>
        <v>0</v>
      </c>
      <c r="M8" s="1573">
        <f>SUM(F8:L8)</f>
        <v>3644890</v>
      </c>
      <c r="N8" s="18">
        <f>SUM(G8:L8)</f>
        <v>3564853</v>
      </c>
      <c r="O8" s="606"/>
      <c r="P8" s="2291"/>
    </row>
    <row r="9" spans="1:17" s="2287" customFormat="1" ht="13.5" customHeight="1" thickBot="1">
      <c r="A9" s="487"/>
      <c r="B9" s="1103" t="s">
        <v>9</v>
      </c>
      <c r="C9" s="1104"/>
      <c r="D9" s="607">
        <f>D26+D38+D50+D74+D83+D127+D152+D236+D257+D96+D62</f>
        <v>96665449</v>
      </c>
      <c r="E9" s="607">
        <f t="shared" ref="E9:L9" si="2">E26+E38+E50+E74+E83+E127+E152+E236+E257+E96+E62</f>
        <v>926404</v>
      </c>
      <c r="F9" s="607">
        <f t="shared" si="2"/>
        <v>1148153</v>
      </c>
      <c r="G9" s="607">
        <f t="shared" si="2"/>
        <v>61555036</v>
      </c>
      <c r="H9" s="607">
        <f t="shared" si="2"/>
        <v>27929693</v>
      </c>
      <c r="I9" s="607">
        <f t="shared" si="2"/>
        <v>5106163</v>
      </c>
      <c r="J9" s="607">
        <f t="shared" si="2"/>
        <v>0</v>
      </c>
      <c r="K9" s="607">
        <f t="shared" si="2"/>
        <v>0</v>
      </c>
      <c r="L9" s="607">
        <f t="shared" si="2"/>
        <v>0</v>
      </c>
      <c r="M9" s="147">
        <f>SUM(F9:L9)</f>
        <v>95739045</v>
      </c>
      <c r="N9" s="147">
        <f>SUM(G9:L9)</f>
        <v>94590892</v>
      </c>
      <c r="O9" s="606"/>
      <c r="P9" s="2291"/>
    </row>
    <row r="10" spans="1:17" ht="12">
      <c r="A10" s="487"/>
      <c r="B10" s="191" t="s">
        <v>10</v>
      </c>
      <c r="C10" s="88"/>
      <c r="D10" s="1285">
        <f>D11+D15</f>
        <v>100310339</v>
      </c>
      <c r="E10" s="1285">
        <f t="shared" ref="E10:L10" si="3">E11+E15</f>
        <v>926404</v>
      </c>
      <c r="F10" s="1285">
        <f t="shared" si="3"/>
        <v>1228190</v>
      </c>
      <c r="G10" s="1285">
        <f t="shared" si="3"/>
        <v>62853694</v>
      </c>
      <c r="H10" s="1285">
        <f t="shared" si="3"/>
        <v>29631034</v>
      </c>
      <c r="I10" s="1285">
        <f t="shared" si="3"/>
        <v>5671017</v>
      </c>
      <c r="J10" s="1285">
        <f t="shared" si="3"/>
        <v>0</v>
      </c>
      <c r="K10" s="1285">
        <f t="shared" si="3"/>
        <v>0</v>
      </c>
      <c r="L10" s="1285">
        <f t="shared" si="3"/>
        <v>0</v>
      </c>
      <c r="M10" s="1142">
        <f>M11+M15</f>
        <v>94061026</v>
      </c>
      <c r="N10" s="1286">
        <f>N11+N15</f>
        <v>96177308</v>
      </c>
      <c r="O10" s="608"/>
      <c r="P10" s="195"/>
      <c r="Q10" s="195"/>
    </row>
    <row r="11" spans="1:17" ht="13.5" customHeight="1">
      <c r="A11" s="487"/>
      <c r="B11" s="3234" t="s">
        <v>23</v>
      </c>
      <c r="C11" s="3235"/>
      <c r="D11" s="1520">
        <f>D12+D13+D14</f>
        <v>16140008</v>
      </c>
      <c r="E11" s="1520">
        <f t="shared" ref="E11:K11" si="4">E12+E13+E14</f>
        <v>500721</v>
      </c>
      <c r="F11" s="1520">
        <f t="shared" si="4"/>
        <v>226948</v>
      </c>
      <c r="G11" s="1520">
        <f t="shared" si="4"/>
        <v>10111933</v>
      </c>
      <c r="H11" s="1520">
        <f t="shared" si="4"/>
        <v>4447246</v>
      </c>
      <c r="I11" s="1520">
        <f t="shared" si="4"/>
        <v>853160</v>
      </c>
      <c r="J11" s="1520">
        <f t="shared" si="4"/>
        <v>0</v>
      </c>
      <c r="K11" s="1520">
        <f t="shared" si="4"/>
        <v>0</v>
      </c>
      <c r="L11" s="1520">
        <f t="shared" ref="L11" si="5">L12+L13+L14</f>
        <v>0</v>
      </c>
      <c r="M11" s="1363">
        <f>+M12+M13+M14</f>
        <v>10316378</v>
      </c>
      <c r="N11" s="1363">
        <f>+N12+N13+N14</f>
        <v>13433902</v>
      </c>
      <c r="O11" s="609"/>
    </row>
    <row r="12" spans="1:17" ht="13.5" customHeight="1">
      <c r="A12" s="487"/>
      <c r="B12" s="1639" t="s">
        <v>12</v>
      </c>
      <c r="C12" s="3236"/>
      <c r="D12" s="1640">
        <f>D28+D40+D52+D76+D85+D120+D129+D141+D154+D163+D176+D185+D194+D207+D216+D229+D238+D250+D259+D98+D111+D64</f>
        <v>12325536</v>
      </c>
      <c r="E12" s="1640">
        <f t="shared" ref="E12:L12" si="6">E28+E40+E52+E76+E85+E120+E129+E141+E154+E163+E176+E185+E194+E207+E216+E229+E238+E250+E259+E98+E111+E64</f>
        <v>380721</v>
      </c>
      <c r="F12" s="1640">
        <f t="shared" si="6"/>
        <v>181062</v>
      </c>
      <c r="G12" s="1640">
        <f t="shared" si="6"/>
        <v>6463347</v>
      </c>
      <c r="H12" s="1640">
        <f t="shared" si="6"/>
        <v>4447246</v>
      </c>
      <c r="I12" s="1640">
        <f t="shared" si="6"/>
        <v>853160</v>
      </c>
      <c r="J12" s="1640">
        <f>J28+J40+J52+J76+J85+J120+J129+J141+J154+J163+J176+J185+J194+J207+J216+J229+J238+J250+J259+J98+J111+J64</f>
        <v>0</v>
      </c>
      <c r="K12" s="1640">
        <f t="shared" si="6"/>
        <v>0</v>
      </c>
      <c r="L12" s="1640">
        <f t="shared" si="6"/>
        <v>0</v>
      </c>
      <c r="M12" s="1640">
        <f>M28+M40+M52+M76+M85+M120+M129+M141+M154+M163+M176+M185+M194+M207+M216+M229+M238+M250+M259</f>
        <v>9966378</v>
      </c>
      <c r="N12" s="1598">
        <f>N28+N40+N52+N76+N85+N120+N129+N141+N154+N163+N176+N185+N194+N207+N216+N229+N238+N250+N259</f>
        <v>9785316</v>
      </c>
      <c r="O12" s="609"/>
      <c r="P12" s="195"/>
    </row>
    <row r="13" spans="1:17" ht="13.5" customHeight="1">
      <c r="A13" s="487"/>
      <c r="B13" s="1639" t="s">
        <v>54</v>
      </c>
      <c r="C13" s="3236"/>
      <c r="D13" s="1640">
        <f>+D130</f>
        <v>320000</v>
      </c>
      <c r="E13" s="1640">
        <f t="shared" ref="E13:K13" si="7">+E130</f>
        <v>0</v>
      </c>
      <c r="F13" s="1640">
        <f t="shared" si="7"/>
        <v>0</v>
      </c>
      <c r="G13" s="1640">
        <f t="shared" si="7"/>
        <v>320000</v>
      </c>
      <c r="H13" s="1640">
        <f t="shared" si="7"/>
        <v>0</v>
      </c>
      <c r="I13" s="1640">
        <f t="shared" si="7"/>
        <v>0</v>
      </c>
      <c r="J13" s="1640">
        <f t="shared" si="7"/>
        <v>0</v>
      </c>
      <c r="K13" s="1640">
        <f t="shared" si="7"/>
        <v>0</v>
      </c>
      <c r="L13" s="1640">
        <f t="shared" ref="L13" si="8">+L130</f>
        <v>0</v>
      </c>
      <c r="M13" s="1598">
        <f>SUM(F13:K13)</f>
        <v>320000</v>
      </c>
      <c r="N13" s="1598">
        <f>SUM(G13:L13)</f>
        <v>320000</v>
      </c>
      <c r="O13" s="609"/>
      <c r="P13" s="195"/>
    </row>
    <row r="14" spans="1:17" ht="13.5" customHeight="1">
      <c r="A14" s="487"/>
      <c r="B14" s="1639" t="s">
        <v>15</v>
      </c>
      <c r="C14" s="3236"/>
      <c r="D14" s="1640">
        <f>D239+D260+D29+D41+D53</f>
        <v>3494472</v>
      </c>
      <c r="E14" s="1640">
        <f t="shared" ref="E14:N14" si="9">E239+E260+E29+E41+E53</f>
        <v>120000</v>
      </c>
      <c r="F14" s="1640">
        <f t="shared" si="9"/>
        <v>45886</v>
      </c>
      <c r="G14" s="1640">
        <f t="shared" si="9"/>
        <v>3328586</v>
      </c>
      <c r="H14" s="1640">
        <f t="shared" si="9"/>
        <v>0</v>
      </c>
      <c r="I14" s="1640">
        <f t="shared" si="9"/>
        <v>0</v>
      </c>
      <c r="J14" s="1640">
        <f t="shared" si="9"/>
        <v>0</v>
      </c>
      <c r="K14" s="1640">
        <f t="shared" si="9"/>
        <v>0</v>
      </c>
      <c r="L14" s="1640">
        <f t="shared" si="9"/>
        <v>0</v>
      </c>
      <c r="M14" s="1640">
        <f t="shared" si="9"/>
        <v>30000</v>
      </c>
      <c r="N14" s="1598">
        <f t="shared" si="9"/>
        <v>3328586</v>
      </c>
      <c r="O14" s="609"/>
      <c r="P14" s="195"/>
    </row>
    <row r="15" spans="1:17" ht="13.5" customHeight="1">
      <c r="A15" s="487"/>
      <c r="B15" s="3234" t="s">
        <v>18</v>
      </c>
      <c r="C15" s="3235"/>
      <c r="D15" s="1520">
        <f>+D16+D17</f>
        <v>84170331</v>
      </c>
      <c r="E15" s="1520">
        <f t="shared" ref="E15:K15" si="10">+E16+E17</f>
        <v>425683</v>
      </c>
      <c r="F15" s="1520">
        <f t="shared" si="10"/>
        <v>1001242</v>
      </c>
      <c r="G15" s="1520">
        <f t="shared" si="10"/>
        <v>52741761</v>
      </c>
      <c r="H15" s="1520">
        <f t="shared" si="10"/>
        <v>25183788</v>
      </c>
      <c r="I15" s="1520">
        <f t="shared" si="10"/>
        <v>4817857</v>
      </c>
      <c r="J15" s="1520">
        <f t="shared" si="10"/>
        <v>0</v>
      </c>
      <c r="K15" s="1520">
        <f t="shared" si="10"/>
        <v>0</v>
      </c>
      <c r="L15" s="1520">
        <f t="shared" ref="L15" si="11">+L16+L17</f>
        <v>0</v>
      </c>
      <c r="M15" s="1363">
        <f>+M16</f>
        <v>83744648</v>
      </c>
      <c r="N15" s="1363">
        <f>+N16</f>
        <v>82743406</v>
      </c>
      <c r="O15" s="609"/>
    </row>
    <row r="16" spans="1:17" ht="13.5" customHeight="1">
      <c r="A16" s="487"/>
      <c r="B16" s="1639" t="s">
        <v>20</v>
      </c>
      <c r="C16" s="3237"/>
      <c r="D16" s="1641">
        <f>D31+D43+D55+D78+D89+D122+D132+D145+D156+D167+D198+D220+D231+D241+D252+D262+D102+D113+D67</f>
        <v>84170331</v>
      </c>
      <c r="E16" s="1641">
        <f t="shared" ref="E16:L16" si="12">E31+E43+E55+E78+E89+E122+E132+E145+E156+E167+E198+E220+E231+E241+E252+E262+E102+E113+E67</f>
        <v>425683</v>
      </c>
      <c r="F16" s="1641">
        <f t="shared" si="12"/>
        <v>1001242</v>
      </c>
      <c r="G16" s="1641">
        <f t="shared" si="12"/>
        <v>52741761</v>
      </c>
      <c r="H16" s="1641">
        <f t="shared" si="12"/>
        <v>25183788</v>
      </c>
      <c r="I16" s="1641">
        <f t="shared" si="12"/>
        <v>4817857</v>
      </c>
      <c r="J16" s="1641">
        <f t="shared" si="12"/>
        <v>0</v>
      </c>
      <c r="K16" s="1641">
        <f t="shared" si="12"/>
        <v>0</v>
      </c>
      <c r="L16" s="1641">
        <f t="shared" si="12"/>
        <v>0</v>
      </c>
      <c r="M16" s="1598">
        <f>SUM(F16:L16)</f>
        <v>83744648</v>
      </c>
      <c r="N16" s="1598">
        <f>SUM(G16:L16)</f>
        <v>82743406</v>
      </c>
      <c r="O16" s="609"/>
      <c r="P16" s="195"/>
    </row>
    <row r="17" spans="1:16" ht="13.5" hidden="1" customHeight="1">
      <c r="A17" s="487"/>
      <c r="B17" s="3229" t="s">
        <v>19</v>
      </c>
      <c r="C17" s="2721"/>
      <c r="D17" s="1641"/>
      <c r="E17" s="1641"/>
      <c r="F17" s="1641"/>
      <c r="G17" s="1641"/>
      <c r="H17" s="1641"/>
      <c r="I17" s="1641"/>
      <c r="J17" s="1641"/>
      <c r="K17" s="1641"/>
      <c r="L17" s="1641"/>
      <c r="M17" s="3238"/>
      <c r="N17" s="3238"/>
      <c r="O17" s="609"/>
    </row>
    <row r="18" spans="1:16" ht="12">
      <c r="A18" s="487"/>
      <c r="B18" s="191" t="s">
        <v>21</v>
      </c>
      <c r="C18" s="2495"/>
      <c r="D18" s="1285">
        <f>D22+D19</f>
        <v>87984803</v>
      </c>
      <c r="E18" s="1285">
        <f>E22+E19</f>
        <v>120000</v>
      </c>
      <c r="F18" s="1285">
        <f t="shared" ref="F18:L18" si="13">F22+F19</f>
        <v>46863</v>
      </c>
      <c r="G18" s="1285">
        <f t="shared" si="13"/>
        <v>51380771</v>
      </c>
      <c r="H18" s="1285">
        <f t="shared" si="13"/>
        <v>22596205</v>
      </c>
      <c r="I18" s="1285">
        <f t="shared" si="13"/>
        <v>10493176</v>
      </c>
      <c r="J18" s="1285">
        <f t="shared" si="13"/>
        <v>3347788</v>
      </c>
      <c r="K18" s="1285">
        <f t="shared" si="13"/>
        <v>0</v>
      </c>
      <c r="L18" s="1285">
        <f t="shared" si="13"/>
        <v>0</v>
      </c>
      <c r="M18" s="3368" t="s">
        <v>53</v>
      </c>
      <c r="N18" s="3368" t="s">
        <v>53</v>
      </c>
      <c r="O18" s="609"/>
      <c r="P18" s="195"/>
    </row>
    <row r="19" spans="1:16" ht="16.5" customHeight="1">
      <c r="A19" s="487"/>
      <c r="B19" s="3234" t="s">
        <v>11</v>
      </c>
      <c r="C19" s="3237"/>
      <c r="D19" s="3239">
        <f>D20+D21</f>
        <v>3814472</v>
      </c>
      <c r="E19" s="3239">
        <f t="shared" ref="E19:L19" si="14">E20+E21</f>
        <v>120000</v>
      </c>
      <c r="F19" s="3239">
        <f t="shared" si="14"/>
        <v>45886</v>
      </c>
      <c r="G19" s="3239">
        <f t="shared" si="14"/>
        <v>3648586</v>
      </c>
      <c r="H19" s="3239">
        <f t="shared" si="14"/>
        <v>0</v>
      </c>
      <c r="I19" s="3239">
        <f t="shared" si="14"/>
        <v>0</v>
      </c>
      <c r="J19" s="3239">
        <f t="shared" si="14"/>
        <v>0</v>
      </c>
      <c r="K19" s="3239">
        <f t="shared" si="14"/>
        <v>0</v>
      </c>
      <c r="L19" s="3239">
        <f t="shared" si="14"/>
        <v>0</v>
      </c>
      <c r="M19" s="3366"/>
      <c r="N19" s="3366"/>
      <c r="O19" s="609"/>
      <c r="P19" s="195"/>
    </row>
    <row r="20" spans="1:16" ht="12">
      <c r="A20" s="487"/>
      <c r="B20" s="1639" t="s">
        <v>54</v>
      </c>
      <c r="C20" s="3237"/>
      <c r="D20" s="1641">
        <f>D135</f>
        <v>320000</v>
      </c>
      <c r="E20" s="1641">
        <f t="shared" ref="E20:L20" si="15">E135</f>
        <v>0</v>
      </c>
      <c r="F20" s="1641">
        <f t="shared" si="15"/>
        <v>0</v>
      </c>
      <c r="G20" s="1641">
        <f t="shared" si="15"/>
        <v>320000</v>
      </c>
      <c r="H20" s="1641">
        <f t="shared" si="15"/>
        <v>0</v>
      </c>
      <c r="I20" s="1641">
        <f t="shared" si="15"/>
        <v>0</v>
      </c>
      <c r="J20" s="1641">
        <f t="shared" si="15"/>
        <v>0</v>
      </c>
      <c r="K20" s="1641">
        <f t="shared" si="15"/>
        <v>0</v>
      </c>
      <c r="L20" s="1641">
        <f t="shared" si="15"/>
        <v>0</v>
      </c>
      <c r="M20" s="3366"/>
      <c r="N20" s="3366"/>
      <c r="O20" s="609"/>
      <c r="P20" s="195"/>
    </row>
    <row r="21" spans="1:16" ht="12">
      <c r="A21" s="487"/>
      <c r="B21" s="1639" t="s">
        <v>15</v>
      </c>
      <c r="C21" s="3237"/>
      <c r="D21" s="1641">
        <f>D244+D265+D34+D46+D58</f>
        <v>3494472</v>
      </c>
      <c r="E21" s="1641">
        <f t="shared" ref="E21:L21" si="16">E244+E265+E34+E46+E58</f>
        <v>120000</v>
      </c>
      <c r="F21" s="1641">
        <f t="shared" si="16"/>
        <v>45886</v>
      </c>
      <c r="G21" s="1641">
        <f t="shared" si="16"/>
        <v>3328586</v>
      </c>
      <c r="H21" s="1641">
        <f t="shared" si="16"/>
        <v>0</v>
      </c>
      <c r="I21" s="1641">
        <f t="shared" si="16"/>
        <v>0</v>
      </c>
      <c r="J21" s="1641">
        <f t="shared" si="16"/>
        <v>0</v>
      </c>
      <c r="K21" s="1641">
        <f t="shared" si="16"/>
        <v>0</v>
      </c>
      <c r="L21" s="1641">
        <f t="shared" si="16"/>
        <v>0</v>
      </c>
      <c r="M21" s="3366"/>
      <c r="N21" s="3366"/>
      <c r="O21" s="609"/>
      <c r="P21" s="195"/>
    </row>
    <row r="22" spans="1:16" ht="13.5" customHeight="1">
      <c r="A22" s="487"/>
      <c r="B22" s="3234" t="s">
        <v>18</v>
      </c>
      <c r="C22" s="3237"/>
      <c r="D22" s="3239">
        <f>+D23+D24</f>
        <v>84170331</v>
      </c>
      <c r="E22" s="3239">
        <f t="shared" ref="E22:L22" si="17">+E23+E24</f>
        <v>0</v>
      </c>
      <c r="F22" s="3239">
        <f t="shared" si="17"/>
        <v>977</v>
      </c>
      <c r="G22" s="3239">
        <f t="shared" si="17"/>
        <v>47732185</v>
      </c>
      <c r="H22" s="3239">
        <f t="shared" si="17"/>
        <v>22596205</v>
      </c>
      <c r="I22" s="3239">
        <f t="shared" si="17"/>
        <v>10493176</v>
      </c>
      <c r="J22" s="3239">
        <f t="shared" si="17"/>
        <v>3347788</v>
      </c>
      <c r="K22" s="3239">
        <f t="shared" si="17"/>
        <v>0</v>
      </c>
      <c r="L22" s="3239">
        <f t="shared" si="17"/>
        <v>0</v>
      </c>
      <c r="M22" s="3366"/>
      <c r="N22" s="3366"/>
      <c r="O22" s="609"/>
    </row>
    <row r="23" spans="1:16" ht="13.5" customHeight="1" thickBot="1">
      <c r="A23" s="610"/>
      <c r="B23" s="1639" t="s">
        <v>20</v>
      </c>
      <c r="C23" s="3237"/>
      <c r="D23" s="1641">
        <f>+D36+D48+D94+D125+D137+D81+D150+D159+D172+D181+D190+D60+D203+D212+D225+D233+D245+D255+D267+D107+D116+D72</f>
        <v>84170331</v>
      </c>
      <c r="E23" s="1641">
        <f t="shared" ref="E23:L23" si="18">+E36+E48+E94+E125+E137+E81+E150+E159+E172+E181+E190+E60+E203+E212+E225+E233+E245+E255+E267+E107+E116+E72</f>
        <v>0</v>
      </c>
      <c r="F23" s="1641">
        <f t="shared" si="18"/>
        <v>977</v>
      </c>
      <c r="G23" s="1641">
        <f t="shared" si="18"/>
        <v>47732185</v>
      </c>
      <c r="H23" s="1641">
        <f>+H36+H48+H94+H125+H137+H81+H150+H159+H172+H181+H190+H60+H203+H212+H225+H233+H245+H255+H267+H107+H116+H72</f>
        <v>22596205</v>
      </c>
      <c r="I23" s="1641">
        <f t="shared" si="18"/>
        <v>10493176</v>
      </c>
      <c r="J23" s="1641">
        <f t="shared" si="18"/>
        <v>3347788</v>
      </c>
      <c r="K23" s="1641">
        <f t="shared" si="18"/>
        <v>0</v>
      </c>
      <c r="L23" s="1641">
        <f t="shared" si="18"/>
        <v>0</v>
      </c>
      <c r="M23" s="3366"/>
      <c r="N23" s="3366"/>
      <c r="O23" s="609"/>
      <c r="P23" s="195">
        <f>D23-D16</f>
        <v>0</v>
      </c>
    </row>
    <row r="24" spans="1:16" ht="13.5" hidden="1" customHeight="1" thickBot="1">
      <c r="A24" s="610"/>
      <c r="B24" s="3240" t="s">
        <v>19</v>
      </c>
      <c r="C24" s="3240"/>
      <c r="D24" s="3240"/>
      <c r="E24" s="3240"/>
      <c r="F24" s="3240"/>
      <c r="G24" s="3240"/>
      <c r="H24" s="3240"/>
      <c r="I24" s="3240"/>
      <c r="J24" s="3240"/>
      <c r="K24" s="3240"/>
      <c r="L24" s="2366"/>
      <c r="M24" s="3367"/>
      <c r="N24" s="3367"/>
      <c r="O24" s="609"/>
    </row>
    <row r="25" spans="1:16" s="2287" customFormat="1" ht="27" customHeight="1">
      <c r="A25" s="3995" t="s">
        <v>55</v>
      </c>
      <c r="B25" s="179" t="s">
        <v>769</v>
      </c>
      <c r="C25" s="2654" t="s">
        <v>74</v>
      </c>
      <c r="D25" s="612"/>
      <c r="E25" s="1966"/>
      <c r="F25" s="2655"/>
      <c r="G25" s="2655"/>
      <c r="H25" s="2655"/>
      <c r="I25" s="1966"/>
      <c r="J25" s="1966"/>
      <c r="K25" s="1966"/>
      <c r="L25" s="2656"/>
      <c r="M25" s="614"/>
      <c r="N25" s="614"/>
      <c r="O25" s="3357" t="s">
        <v>79</v>
      </c>
    </row>
    <row r="26" spans="1:16" s="2287" customFormat="1" ht="12.75">
      <c r="A26" s="3996"/>
      <c r="B26" s="1283" t="s">
        <v>10</v>
      </c>
      <c r="C26" s="2495"/>
      <c r="D26" s="1285">
        <f>D27+D30</f>
        <v>28373635</v>
      </c>
      <c r="E26" s="1285">
        <f>+E30+E27</f>
        <v>146960</v>
      </c>
      <c r="F26" s="1285">
        <f>+F30+F27</f>
        <v>482652</v>
      </c>
      <c r="G26" s="1285">
        <f>+G27+G30</f>
        <v>27744023</v>
      </c>
      <c r="H26" s="1285">
        <f t="shared" ref="H26" si="19">+H30</f>
        <v>0</v>
      </c>
      <c r="I26" s="1285"/>
      <c r="J26" s="1285"/>
      <c r="K26" s="1285"/>
      <c r="L26" s="1285"/>
      <c r="M26" s="1286">
        <f>+M30+M27</f>
        <v>26175124</v>
      </c>
      <c r="N26" s="1286">
        <f>+N30+N27</f>
        <v>27744023</v>
      </c>
      <c r="O26" s="3358"/>
    </row>
    <row r="27" spans="1:16" s="2287" customFormat="1" ht="14.25" customHeight="1">
      <c r="A27" s="3996"/>
      <c r="B27" s="1287" t="s">
        <v>23</v>
      </c>
      <c r="C27" s="3351" t="s">
        <v>161</v>
      </c>
      <c r="D27" s="1288">
        <f>D28+D29</f>
        <v>4928646</v>
      </c>
      <c r="E27" s="1642">
        <f>E28+E29</f>
        <v>146960</v>
      </c>
      <c r="F27" s="2726">
        <f>F28+F29</f>
        <v>80135</v>
      </c>
      <c r="G27" s="1293">
        <f>G28+G29</f>
        <v>4701551</v>
      </c>
      <c r="H27" s="1293">
        <f t="shared" ref="H27" si="20">H28</f>
        <v>0</v>
      </c>
      <c r="I27" s="1293"/>
      <c r="J27" s="1293"/>
      <c r="K27" s="1293"/>
      <c r="L27" s="1293"/>
      <c r="M27" s="1289">
        <f>M28</f>
        <v>2730135</v>
      </c>
      <c r="N27" s="1289">
        <f>N28+N29</f>
        <v>4701551</v>
      </c>
      <c r="O27" s="3358"/>
    </row>
    <row r="28" spans="1:16" s="2287" customFormat="1" ht="14.25" customHeight="1">
      <c r="A28" s="3996"/>
      <c r="B28" s="1290" t="s">
        <v>12</v>
      </c>
      <c r="C28" s="3347"/>
      <c r="D28" s="1216">
        <f>E28+F28+G28+H28+I28+J28+K28+L28</f>
        <v>2877095</v>
      </c>
      <c r="E28" s="1216">
        <v>146960</v>
      </c>
      <c r="F28" s="1291">
        <f>2732267+170000-2664017-80000-78115</f>
        <v>80135</v>
      </c>
      <c r="G28" s="1291">
        <f>4041376+2664017+80000-171363-909150-1704880-1350000</f>
        <v>2650000</v>
      </c>
      <c r="H28" s="1291">
        <v>0</v>
      </c>
      <c r="I28" s="1291"/>
      <c r="J28" s="1291"/>
      <c r="K28" s="1291"/>
      <c r="L28" s="1291"/>
      <c r="M28" s="1598">
        <f>SUM(F28:K28)</f>
        <v>2730135</v>
      </c>
      <c r="N28" s="1598">
        <f>SUM(G28:L28)</f>
        <v>2650000</v>
      </c>
      <c r="O28" s="3358"/>
    </row>
    <row r="29" spans="1:16" s="2287" customFormat="1" ht="14.25" customHeight="1">
      <c r="A29" s="3996"/>
      <c r="B29" s="2722" t="s">
        <v>15</v>
      </c>
      <c r="C29" s="3347"/>
      <c r="D29" s="1216">
        <f>E29+F29+G29+H29+I29+J29+K29+L29</f>
        <v>2051551</v>
      </c>
      <c r="E29" s="1216">
        <v>0</v>
      </c>
      <c r="F29" s="1291">
        <v>0</v>
      </c>
      <c r="G29" s="1291">
        <f>237308+909150+164430+740663</f>
        <v>2051551</v>
      </c>
      <c r="H29" s="1291"/>
      <c r="I29" s="1291"/>
      <c r="J29" s="1291"/>
      <c r="K29" s="1291"/>
      <c r="L29" s="1291"/>
      <c r="M29" s="1645"/>
      <c r="N29" s="1598">
        <f>SUM(G29:L29)</f>
        <v>2051551</v>
      </c>
      <c r="O29" s="3358"/>
    </row>
    <row r="30" spans="1:16" s="2287" customFormat="1" ht="14.25" customHeight="1">
      <c r="A30" s="3996"/>
      <c r="B30" s="1292" t="s">
        <v>18</v>
      </c>
      <c r="C30" s="3347"/>
      <c r="D30" s="1288">
        <f>D31</f>
        <v>23444989</v>
      </c>
      <c r="E30" s="1642">
        <f t="shared" ref="E30" si="21">+E31</f>
        <v>0</v>
      </c>
      <c r="F30" s="1293">
        <f>+F31</f>
        <v>402517</v>
      </c>
      <c r="G30" s="1293">
        <f>+G31</f>
        <v>23042472</v>
      </c>
      <c r="H30" s="1293">
        <v>0</v>
      </c>
      <c r="I30" s="1293"/>
      <c r="J30" s="1293"/>
      <c r="K30" s="1293"/>
      <c r="L30" s="1293"/>
      <c r="M30" s="1289">
        <f>+M31</f>
        <v>23444989</v>
      </c>
      <c r="N30" s="1289">
        <f>+N31</f>
        <v>23042472</v>
      </c>
      <c r="O30" s="3358"/>
    </row>
    <row r="31" spans="1:16" s="2287" customFormat="1" ht="15" customHeight="1">
      <c r="A31" s="3996"/>
      <c r="B31" s="3229" t="s">
        <v>20</v>
      </c>
      <c r="C31" s="3348"/>
      <c r="D31" s="1216">
        <f>E31+F31+G31+H31+I31+J31+K31+L31</f>
        <v>23444989</v>
      </c>
      <c r="E31" s="1216">
        <v>0</v>
      </c>
      <c r="F31" s="1291">
        <f>15482849-14416099-255000-409233</f>
        <v>402517</v>
      </c>
      <c r="G31" s="1291">
        <f>22901129+14416099+255000+340272-11112500-3757528</f>
        <v>23042472</v>
      </c>
      <c r="H31" s="1291">
        <v>0</v>
      </c>
      <c r="I31" s="1291"/>
      <c r="J31" s="1291"/>
      <c r="K31" s="1291"/>
      <c r="L31" s="1291"/>
      <c r="M31" s="1598">
        <f>SUM(F31:K31)</f>
        <v>23444989</v>
      </c>
      <c r="N31" s="1598">
        <f>SUM(G31:L31)</f>
        <v>23042472</v>
      </c>
      <c r="O31" s="3931"/>
    </row>
    <row r="32" spans="1:16" s="2287" customFormat="1" ht="12.75">
      <c r="A32" s="3996"/>
      <c r="B32" s="2073" t="s">
        <v>21</v>
      </c>
      <c r="C32" s="2495"/>
      <c r="D32" s="1285">
        <f>+D35+D33</f>
        <v>25496540</v>
      </c>
      <c r="E32" s="1285">
        <f>+E35</f>
        <v>0</v>
      </c>
      <c r="F32" s="1285">
        <f>F35</f>
        <v>0</v>
      </c>
      <c r="G32" s="1285">
        <f>G35+G33</f>
        <v>25496540</v>
      </c>
      <c r="H32" s="1285">
        <f>H35+H33</f>
        <v>0</v>
      </c>
      <c r="I32" s="1285"/>
      <c r="J32" s="1285"/>
      <c r="K32" s="1285"/>
      <c r="L32" s="1285"/>
      <c r="M32" s="3368" t="s">
        <v>53</v>
      </c>
      <c r="N32" s="3368" t="s">
        <v>53</v>
      </c>
      <c r="O32" s="3349" t="s">
        <v>94</v>
      </c>
      <c r="P32" s="2291"/>
    </row>
    <row r="33" spans="1:17" s="2287" customFormat="1" ht="12.75">
      <c r="A33" s="3996"/>
      <c r="B33" s="2111" t="s">
        <v>540</v>
      </c>
      <c r="C33" s="3436" t="s">
        <v>161</v>
      </c>
      <c r="D33" s="1294">
        <f t="shared" ref="D33:L33" si="22">D34</f>
        <v>2051551</v>
      </c>
      <c r="E33" s="1646">
        <f t="shared" ref="E33" si="23">+E34</f>
        <v>0</v>
      </c>
      <c r="F33" s="2670">
        <f t="shared" si="22"/>
        <v>0</v>
      </c>
      <c r="G33" s="1293">
        <f t="shared" si="22"/>
        <v>2051551</v>
      </c>
      <c r="H33" s="1646">
        <f t="shared" si="22"/>
        <v>0</v>
      </c>
      <c r="I33" s="1646">
        <f t="shared" si="22"/>
        <v>0</v>
      </c>
      <c r="J33" s="1646">
        <f t="shared" si="22"/>
        <v>0</v>
      </c>
      <c r="K33" s="1646">
        <f t="shared" si="22"/>
        <v>0</v>
      </c>
      <c r="L33" s="1646">
        <f t="shared" si="22"/>
        <v>0</v>
      </c>
      <c r="M33" s="3366"/>
      <c r="N33" s="3366"/>
      <c r="O33" s="3349"/>
      <c r="P33" s="2291"/>
    </row>
    <row r="34" spans="1:17" s="2287" customFormat="1" ht="12.75">
      <c r="A34" s="3996"/>
      <c r="B34" s="2722" t="s">
        <v>15</v>
      </c>
      <c r="C34" s="4026"/>
      <c r="D34" s="1262">
        <f>E34+F34+G34+H34+I34+J34+K34+L34</f>
        <v>2051551</v>
      </c>
      <c r="E34" s="1326">
        <v>0</v>
      </c>
      <c r="F34" s="2671">
        <v>0</v>
      </c>
      <c r="G34" s="1291">
        <f>237308+909150+164430+740663</f>
        <v>2051551</v>
      </c>
      <c r="H34" s="1326">
        <v>0</v>
      </c>
      <c r="I34" s="1326">
        <v>0</v>
      </c>
      <c r="J34" s="1326">
        <v>0</v>
      </c>
      <c r="K34" s="1326">
        <v>0</v>
      </c>
      <c r="L34" s="1326">
        <v>0</v>
      </c>
      <c r="M34" s="3366"/>
      <c r="N34" s="3366"/>
      <c r="O34" s="3349"/>
      <c r="P34" s="2291">
        <f>G34-'[4]Tab. 6H - Kultura fiz. i turyst'!$G$34</f>
        <v>905093</v>
      </c>
    </row>
    <row r="35" spans="1:17" s="2287" customFormat="1" ht="14.25" customHeight="1">
      <c r="A35" s="3996"/>
      <c r="B35" s="2111" t="s">
        <v>18</v>
      </c>
      <c r="C35" s="3506" t="s">
        <v>214</v>
      </c>
      <c r="D35" s="1288">
        <f>+D36</f>
        <v>23444989</v>
      </c>
      <c r="E35" s="1294">
        <f t="shared" ref="E35" si="24">+E36</f>
        <v>0</v>
      </c>
      <c r="F35" s="1294">
        <f t="shared" ref="F35:H35" si="25">F36</f>
        <v>0</v>
      </c>
      <c r="G35" s="1294">
        <f t="shared" si="25"/>
        <v>23444989</v>
      </c>
      <c r="H35" s="1294">
        <f t="shared" si="25"/>
        <v>0</v>
      </c>
      <c r="I35" s="1294"/>
      <c r="J35" s="1294"/>
      <c r="K35" s="1294"/>
      <c r="L35" s="1294"/>
      <c r="M35" s="3366"/>
      <c r="N35" s="3366"/>
      <c r="O35" s="3349"/>
    </row>
    <row r="36" spans="1:17" s="2287" customFormat="1" ht="14.25" customHeight="1" thickBot="1">
      <c r="A36" s="3997"/>
      <c r="B36" s="2723" t="s">
        <v>20</v>
      </c>
      <c r="C36" s="3975"/>
      <c r="D36" s="1216">
        <f>E36+F36+G36+H36+I36+J36+K36+L36</f>
        <v>23444989</v>
      </c>
      <c r="E36" s="1216">
        <v>0</v>
      </c>
      <c r="F36" s="1586">
        <f>14000000-13175000-825000</f>
        <v>0</v>
      </c>
      <c r="G36" s="1586">
        <f>23383978+11175000+825000-63571-10214954-1660464</f>
        <v>23444989</v>
      </c>
      <c r="H36" s="1586">
        <f>1000000+2000000-5390-897546-2097064</f>
        <v>0</v>
      </c>
      <c r="I36" s="1586"/>
      <c r="J36" s="1586"/>
      <c r="K36" s="1586"/>
      <c r="L36" s="1586"/>
      <c r="M36" s="3367"/>
      <c r="N36" s="3367"/>
      <c r="O36" s="3350"/>
    </row>
    <row r="37" spans="1:17" ht="23.25" customHeight="1">
      <c r="A37" s="3995" t="s">
        <v>56</v>
      </c>
      <c r="B37" s="179" t="s">
        <v>770</v>
      </c>
      <c r="C37" s="2654" t="s">
        <v>74</v>
      </c>
      <c r="D37" s="1193"/>
      <c r="E37" s="2672"/>
      <c r="F37" s="2673"/>
      <c r="G37" s="2673"/>
      <c r="H37" s="2673"/>
      <c r="I37" s="2659"/>
      <c r="J37" s="2659"/>
      <c r="K37" s="2659"/>
      <c r="L37" s="2660"/>
      <c r="M37" s="1194"/>
      <c r="N37" s="1194"/>
      <c r="O37" s="3357" t="s">
        <v>79</v>
      </c>
    </row>
    <row r="38" spans="1:17" ht="12">
      <c r="A38" s="4000"/>
      <c r="B38" s="1283" t="s">
        <v>10</v>
      </c>
      <c r="C38" s="2994"/>
      <c r="D38" s="1285">
        <f>+D39+D42</f>
        <v>10832115</v>
      </c>
      <c r="E38" s="1285">
        <f t="shared" ref="E38" si="26">+E39+E42</f>
        <v>52306</v>
      </c>
      <c r="F38" s="1285">
        <f>+F39+F42</f>
        <v>251149</v>
      </c>
      <c r="G38" s="1285">
        <f>+G39+G42</f>
        <v>10528660</v>
      </c>
      <c r="H38" s="1285"/>
      <c r="I38" s="1285"/>
      <c r="J38" s="1285"/>
      <c r="K38" s="1285"/>
      <c r="L38" s="1285"/>
      <c r="M38" s="1286">
        <f>M39+M42</f>
        <v>9987044</v>
      </c>
      <c r="N38" s="1286">
        <f>N39+N42</f>
        <v>10528660</v>
      </c>
      <c r="O38" s="3358"/>
      <c r="P38" s="195"/>
      <c r="Q38" s="195"/>
    </row>
    <row r="39" spans="1:17" s="2287" customFormat="1" ht="14.25" customHeight="1">
      <c r="A39" s="4000"/>
      <c r="B39" s="1287" t="s">
        <v>23</v>
      </c>
      <c r="C39" s="3351" t="s">
        <v>161</v>
      </c>
      <c r="D39" s="1288">
        <f>D40+D41</f>
        <v>1706618</v>
      </c>
      <c r="E39" s="1288">
        <f t="shared" ref="E39:G39" si="27">E40+E41</f>
        <v>52306</v>
      </c>
      <c r="F39" s="1288">
        <f t="shared" si="27"/>
        <v>37672</v>
      </c>
      <c r="G39" s="1288">
        <f t="shared" si="27"/>
        <v>1616640</v>
      </c>
      <c r="H39" s="1293"/>
      <c r="I39" s="1293"/>
      <c r="J39" s="1293"/>
      <c r="K39" s="1293"/>
      <c r="L39" s="1293"/>
      <c r="M39" s="1289">
        <f>M40</f>
        <v>861547</v>
      </c>
      <c r="N39" s="1289">
        <f>N40+N41</f>
        <v>1616640</v>
      </c>
      <c r="O39" s="3358"/>
    </row>
    <row r="40" spans="1:17" s="2287" customFormat="1" ht="12.75">
      <c r="A40" s="4000"/>
      <c r="B40" s="1290" t="s">
        <v>12</v>
      </c>
      <c r="C40" s="3347"/>
      <c r="D40" s="1216">
        <f>E40+F40+G40+H40+I40+J40+K40+L40</f>
        <v>913853</v>
      </c>
      <c r="E40" s="1216">
        <v>52306</v>
      </c>
      <c r="F40" s="1291">
        <f>1009016+55696-942462-60000-31703</f>
        <v>30547</v>
      </c>
      <c r="G40" s="1291">
        <f>1500949-14542+942462+60000-14513-508668-765688-369000</f>
        <v>831000</v>
      </c>
      <c r="H40" s="1291"/>
      <c r="I40" s="1291"/>
      <c r="J40" s="1291"/>
      <c r="K40" s="1291"/>
      <c r="L40" s="1291"/>
      <c r="M40" s="1598">
        <f>SUM(F40:K40)</f>
        <v>861547</v>
      </c>
      <c r="N40" s="1598">
        <f>SUM(G40:L40)</f>
        <v>831000</v>
      </c>
      <c r="O40" s="3358"/>
    </row>
    <row r="41" spans="1:17" s="2287" customFormat="1" ht="12.75">
      <c r="A41" s="4000"/>
      <c r="B41" s="2722" t="s">
        <v>15</v>
      </c>
      <c r="C41" s="3347"/>
      <c r="D41" s="1216">
        <f>E41+F41+G41+H41+I41+J41+K41+L41</f>
        <v>792765</v>
      </c>
      <c r="E41" s="2725">
        <v>0</v>
      </c>
      <c r="F41" s="1291">
        <v>7125</v>
      </c>
      <c r="G41" s="1291">
        <f>26722+508668+250250</f>
        <v>785640</v>
      </c>
      <c r="H41" s="1291"/>
      <c r="I41" s="1291"/>
      <c r="J41" s="1291"/>
      <c r="K41" s="1291"/>
      <c r="L41" s="1291"/>
      <c r="M41" s="1598"/>
      <c r="N41" s="1598">
        <f>SUM(G41:L41)</f>
        <v>785640</v>
      </c>
      <c r="O41" s="3358"/>
    </row>
    <row r="42" spans="1:17" ht="14.25" customHeight="1">
      <c r="A42" s="4000"/>
      <c r="B42" s="1292" t="s">
        <v>18</v>
      </c>
      <c r="C42" s="3347"/>
      <c r="D42" s="1288">
        <f>+D43</f>
        <v>9125497</v>
      </c>
      <c r="E42" s="1969">
        <f t="shared" ref="E42" si="28">+E43</f>
        <v>0</v>
      </c>
      <c r="F42" s="2726">
        <f>F43</f>
        <v>213477</v>
      </c>
      <c r="G42" s="2726">
        <f>G43</f>
        <v>8912020</v>
      </c>
      <c r="H42" s="1293"/>
      <c r="I42" s="1293"/>
      <c r="J42" s="1293"/>
      <c r="K42" s="1293"/>
      <c r="L42" s="1293"/>
      <c r="M42" s="1963">
        <f>+M43</f>
        <v>9125497</v>
      </c>
      <c r="N42" s="1963">
        <f>+N43</f>
        <v>8912020</v>
      </c>
      <c r="O42" s="3358"/>
    </row>
    <row r="43" spans="1:17" ht="12.75">
      <c r="A43" s="4000"/>
      <c r="B43" s="3229" t="s">
        <v>20</v>
      </c>
      <c r="C43" s="3348"/>
      <c r="D43" s="1216">
        <f>E43+F43+G43+H43+I43+J43+K43+L43</f>
        <v>9125497</v>
      </c>
      <c r="E43" s="2725">
        <v>0</v>
      </c>
      <c r="F43" s="1291">
        <f>5717756-52724-5057282-255000-139273</f>
        <v>213477</v>
      </c>
      <c r="G43" s="1291">
        <f>8505377-82402+5057282+255000+69185-3647919-1244503</f>
        <v>8912020</v>
      </c>
      <c r="H43" s="1291"/>
      <c r="I43" s="1291"/>
      <c r="J43" s="1291"/>
      <c r="K43" s="1291"/>
      <c r="L43" s="1291"/>
      <c r="M43" s="1598">
        <f>SUM(F43:K43)</f>
        <v>9125497</v>
      </c>
      <c r="N43" s="1598">
        <f>SUM(G43:L43)</f>
        <v>8912020</v>
      </c>
      <c r="O43" s="3931"/>
    </row>
    <row r="44" spans="1:17" ht="12">
      <c r="A44" s="4000"/>
      <c r="B44" s="2073" t="s">
        <v>21</v>
      </c>
      <c r="C44" s="2495"/>
      <c r="D44" s="1285">
        <f>+D47+D45</f>
        <v>9918262</v>
      </c>
      <c r="E44" s="1580">
        <f>+E47</f>
        <v>0</v>
      </c>
      <c r="F44" s="1285">
        <f>F47+F45</f>
        <v>7125</v>
      </c>
      <c r="G44" s="1285">
        <f t="shared" ref="G44:H44" si="29">G47+G45</f>
        <v>9911137</v>
      </c>
      <c r="H44" s="1285">
        <f t="shared" si="29"/>
        <v>0</v>
      </c>
      <c r="I44" s="1285"/>
      <c r="J44" s="1285"/>
      <c r="K44" s="1285"/>
      <c r="L44" s="1285"/>
      <c r="M44" s="4017"/>
      <c r="N44" s="4017"/>
      <c r="O44" s="4028" t="s">
        <v>94</v>
      </c>
    </row>
    <row r="45" spans="1:17" ht="12">
      <c r="A45" s="4000"/>
      <c r="B45" s="2111" t="s">
        <v>540</v>
      </c>
      <c r="C45" s="4024" t="s">
        <v>161</v>
      </c>
      <c r="D45" s="1294">
        <f t="shared" ref="D45:L45" si="30">D46</f>
        <v>792765</v>
      </c>
      <c r="E45" s="1646">
        <f t="shared" ref="E45" si="31">+E46</f>
        <v>0</v>
      </c>
      <c r="F45" s="2670">
        <f t="shared" si="30"/>
        <v>7125</v>
      </c>
      <c r="G45" s="1293">
        <f t="shared" si="30"/>
        <v>785640</v>
      </c>
      <c r="H45" s="1646">
        <f t="shared" si="30"/>
        <v>0</v>
      </c>
      <c r="I45" s="1646">
        <f t="shared" si="30"/>
        <v>0</v>
      </c>
      <c r="J45" s="1646">
        <f t="shared" si="30"/>
        <v>0</v>
      </c>
      <c r="K45" s="1646">
        <f t="shared" si="30"/>
        <v>0</v>
      </c>
      <c r="L45" s="1646">
        <f t="shared" si="30"/>
        <v>0</v>
      </c>
      <c r="M45" s="4018"/>
      <c r="N45" s="4018"/>
      <c r="O45" s="3349"/>
    </row>
    <row r="46" spans="1:17" ht="12.75">
      <c r="A46" s="4000"/>
      <c r="B46" s="2722" t="s">
        <v>15</v>
      </c>
      <c r="C46" s="4025"/>
      <c r="D46" s="1262">
        <f>E46+F46+G46+H46+I46+J46+K46+L46</f>
        <v>792765</v>
      </c>
      <c r="E46" s="1326">
        <v>0</v>
      </c>
      <c r="F46" s="2671">
        <v>7125</v>
      </c>
      <c r="G46" s="1291">
        <f>26722+508668+250250</f>
        <v>785640</v>
      </c>
      <c r="H46" s="1326">
        <v>0</v>
      </c>
      <c r="I46" s="1326">
        <v>0</v>
      </c>
      <c r="J46" s="1326">
        <v>0</v>
      </c>
      <c r="K46" s="1326">
        <v>0</v>
      </c>
      <c r="L46" s="1326">
        <v>0</v>
      </c>
      <c r="M46" s="4018"/>
      <c r="N46" s="4018"/>
      <c r="O46" s="3349"/>
      <c r="P46" s="195">
        <f>G46-'[4]Tab. 6H - Kultura fiz. i turyst'!$G$46</f>
        <v>250250</v>
      </c>
    </row>
    <row r="47" spans="1:17" ht="12.75" customHeight="1">
      <c r="A47" s="4000"/>
      <c r="B47" s="2111" t="s">
        <v>18</v>
      </c>
      <c r="C47" s="3436" t="s">
        <v>214</v>
      </c>
      <c r="D47" s="1288">
        <f>+D48</f>
        <v>9125497</v>
      </c>
      <c r="E47" s="1344">
        <f t="shared" ref="E47" si="32">+E48</f>
        <v>0</v>
      </c>
      <c r="F47" s="1344">
        <f t="shared" ref="F47:H47" si="33">F48</f>
        <v>0</v>
      </c>
      <c r="G47" s="1294">
        <f t="shared" si="33"/>
        <v>9125497</v>
      </c>
      <c r="H47" s="1294">
        <f t="shared" si="33"/>
        <v>0</v>
      </c>
      <c r="I47" s="1294"/>
      <c r="J47" s="1294"/>
      <c r="K47" s="1294"/>
      <c r="L47" s="1294"/>
      <c r="M47" s="4018"/>
      <c r="N47" s="4018"/>
      <c r="O47" s="3349"/>
    </row>
    <row r="48" spans="1:17" ht="13.5" thickBot="1">
      <c r="A48" s="4013"/>
      <c r="B48" s="3227" t="s">
        <v>20</v>
      </c>
      <c r="C48" s="3975"/>
      <c r="D48" s="1955">
        <f>E48+F48+G48+H48+I48+J48+K48+L48</f>
        <v>9125497</v>
      </c>
      <c r="E48" s="2374">
        <v>0</v>
      </c>
      <c r="F48" s="1587">
        <f>5600000-135126-4889874-575000</f>
        <v>0</v>
      </c>
      <c r="G48" s="1586">
        <f>8123133+3389874+575000-60138-1657869-1244503</f>
        <v>9125497</v>
      </c>
      <c r="H48" s="1586">
        <f>500000+1500000-9950-1990050</f>
        <v>0</v>
      </c>
      <c r="I48" s="1586"/>
      <c r="J48" s="1586"/>
      <c r="K48" s="1586"/>
      <c r="L48" s="1586"/>
      <c r="M48" s="4019"/>
      <c r="N48" s="4019"/>
      <c r="O48" s="3350"/>
    </row>
    <row r="49" spans="1:17" ht="36" customHeight="1">
      <c r="A49" s="3995" t="s">
        <v>57</v>
      </c>
      <c r="B49" s="179" t="s">
        <v>771</v>
      </c>
      <c r="C49" s="2654" t="s">
        <v>74</v>
      </c>
      <c r="D49" s="1193"/>
      <c r="E49" s="2672"/>
      <c r="F49" s="2673"/>
      <c r="G49" s="2673"/>
      <c r="H49" s="2673"/>
      <c r="I49" s="2659"/>
      <c r="J49" s="2659"/>
      <c r="K49" s="2659"/>
      <c r="L49" s="2660"/>
      <c r="M49" s="1194"/>
      <c r="N49" s="1194"/>
      <c r="O49" s="3357" t="s">
        <v>79</v>
      </c>
    </row>
    <row r="50" spans="1:17" ht="12">
      <c r="A50" s="4000"/>
      <c r="B50" s="1283" t="s">
        <v>10</v>
      </c>
      <c r="C50" s="2994"/>
      <c r="D50" s="1285">
        <f>+D51+D54</f>
        <v>5701558</v>
      </c>
      <c r="E50" s="1580">
        <f t="shared" ref="E50" si="34">+E51+E54</f>
        <v>0</v>
      </c>
      <c r="F50" s="1285">
        <f>+F51+F54</f>
        <v>217780</v>
      </c>
      <c r="G50" s="1285">
        <f>+G51+G54</f>
        <v>5483778</v>
      </c>
      <c r="H50" s="1285"/>
      <c r="I50" s="1285"/>
      <c r="J50" s="1285"/>
      <c r="K50" s="1285"/>
      <c r="L50" s="1285"/>
      <c r="M50" s="1286">
        <f>M51+M54</f>
        <v>5201402</v>
      </c>
      <c r="N50" s="1286">
        <f>N51+N54</f>
        <v>5483778</v>
      </c>
      <c r="O50" s="3358"/>
      <c r="P50" s="195"/>
      <c r="Q50" s="195"/>
    </row>
    <row r="51" spans="1:17" s="2287" customFormat="1" ht="14.25" customHeight="1">
      <c r="A51" s="4000"/>
      <c r="B51" s="1287" t="s">
        <v>23</v>
      </c>
      <c r="C51" s="3351" t="s">
        <v>161</v>
      </c>
      <c r="D51" s="1288">
        <f>D52+D53</f>
        <v>954677</v>
      </c>
      <c r="E51" s="1578">
        <f t="shared" ref="E51:G51" si="35">E52+E53</f>
        <v>0</v>
      </c>
      <c r="F51" s="1288">
        <f t="shared" si="35"/>
        <v>42149</v>
      </c>
      <c r="G51" s="1288">
        <f t="shared" si="35"/>
        <v>912528</v>
      </c>
      <c r="H51" s="1293"/>
      <c r="I51" s="1293"/>
      <c r="J51" s="1293"/>
      <c r="K51" s="1293"/>
      <c r="L51" s="1293"/>
      <c r="M51" s="1289">
        <f>M52</f>
        <v>454521</v>
      </c>
      <c r="N51" s="1289">
        <f>N52+N53</f>
        <v>912528</v>
      </c>
      <c r="O51" s="3358"/>
    </row>
    <row r="52" spans="1:17" s="2287" customFormat="1" ht="12.75">
      <c r="A52" s="4000"/>
      <c r="B52" s="1290" t="s">
        <v>12</v>
      </c>
      <c r="C52" s="3347"/>
      <c r="D52" s="1216">
        <f>E52+F52+G52+H52+I52+J52+K52+L52</f>
        <v>454521</v>
      </c>
      <c r="E52" s="2725">
        <v>0</v>
      </c>
      <c r="F52" s="1291">
        <f>610000-360000-72500-105621-38491</f>
        <v>33388</v>
      </c>
      <c r="G52" s="1291">
        <f>495000+360000+72500+105621+19779-403710-139190-88867</f>
        <v>421133</v>
      </c>
      <c r="H52" s="1291"/>
      <c r="I52" s="1291"/>
      <c r="J52" s="1291"/>
      <c r="K52" s="1291"/>
      <c r="L52" s="1291"/>
      <c r="M52" s="1598">
        <f>SUM(F52:K52)</f>
        <v>454521</v>
      </c>
      <c r="N52" s="1598">
        <f>SUM(G52:L52)</f>
        <v>421133</v>
      </c>
      <c r="O52" s="3358"/>
    </row>
    <row r="53" spans="1:17" s="2287" customFormat="1" ht="12.75">
      <c r="A53" s="4000"/>
      <c r="B53" s="2722" t="s">
        <v>15</v>
      </c>
      <c r="C53" s="3347"/>
      <c r="D53" s="1216">
        <f>E53+F53+G53+H53+I53+J53+K53+L53</f>
        <v>500156</v>
      </c>
      <c r="E53" s="2725">
        <v>0</v>
      </c>
      <c r="F53" s="1291">
        <v>8761</v>
      </c>
      <c r="G53" s="1291">
        <f>403710+70805+16880</f>
        <v>491395</v>
      </c>
      <c r="H53" s="1291"/>
      <c r="I53" s="1291"/>
      <c r="J53" s="1291"/>
      <c r="K53" s="1291"/>
      <c r="L53" s="1291"/>
      <c r="M53" s="1598"/>
      <c r="N53" s="1598">
        <f>SUM(G53:L53)</f>
        <v>491395</v>
      </c>
      <c r="O53" s="3358"/>
    </row>
    <row r="54" spans="1:17" ht="12">
      <c r="A54" s="4000"/>
      <c r="B54" s="1292" t="s">
        <v>18</v>
      </c>
      <c r="C54" s="3347"/>
      <c r="D54" s="1288">
        <f>+D55</f>
        <v>4746881</v>
      </c>
      <c r="E54" s="1969">
        <f t="shared" ref="E54" si="36">+E55</f>
        <v>0</v>
      </c>
      <c r="F54" s="2726">
        <f>F55</f>
        <v>175631</v>
      </c>
      <c r="G54" s="2726">
        <f>G55</f>
        <v>4571250</v>
      </c>
      <c r="H54" s="1293"/>
      <c r="I54" s="1293"/>
      <c r="J54" s="1293"/>
      <c r="K54" s="1293"/>
      <c r="L54" s="1293"/>
      <c r="M54" s="1963">
        <f>+M55</f>
        <v>4746881</v>
      </c>
      <c r="N54" s="1963">
        <f>+N55</f>
        <v>4571250</v>
      </c>
      <c r="O54" s="3358"/>
    </row>
    <row r="55" spans="1:17" ht="12.75">
      <c r="A55" s="4000"/>
      <c r="B55" s="3229" t="s">
        <v>20</v>
      </c>
      <c r="C55" s="3348"/>
      <c r="D55" s="1216">
        <f>E55+F55+G55+H55+I55+J55+K55+L55</f>
        <v>4746881</v>
      </c>
      <c r="E55" s="2725">
        <v>0</v>
      </c>
      <c r="F55" s="1291">
        <f>2890000-2040000-127500-546585-284</f>
        <v>175631</v>
      </c>
      <c r="G55" s="1291">
        <f>2805000+2040000+127500+546585-56102-443834-447899</f>
        <v>4571250</v>
      </c>
      <c r="H55" s="1291"/>
      <c r="I55" s="1291"/>
      <c r="J55" s="1291"/>
      <c r="K55" s="1291"/>
      <c r="L55" s="1291"/>
      <c r="M55" s="1598">
        <f>SUM(F55:K55)</f>
        <v>4746881</v>
      </c>
      <c r="N55" s="1598">
        <f>SUM(G55:L55)</f>
        <v>4571250</v>
      </c>
      <c r="O55" s="3931"/>
    </row>
    <row r="56" spans="1:17" ht="12">
      <c r="A56" s="4000"/>
      <c r="B56" s="2073" t="s">
        <v>21</v>
      </c>
      <c r="C56" s="2495"/>
      <c r="D56" s="1285">
        <f>+D59+D57</f>
        <v>5247037</v>
      </c>
      <c r="E56" s="1580">
        <f t="shared" ref="E56:G56" si="37">+E59+E57</f>
        <v>0</v>
      </c>
      <c r="F56" s="1285">
        <f t="shared" si="37"/>
        <v>8761</v>
      </c>
      <c r="G56" s="1285">
        <f t="shared" si="37"/>
        <v>5238276</v>
      </c>
      <c r="H56" s="1580">
        <f>H59</f>
        <v>0</v>
      </c>
      <c r="I56" s="1285"/>
      <c r="J56" s="1285"/>
      <c r="K56" s="1285"/>
      <c r="L56" s="1285"/>
      <c r="M56" s="4017"/>
      <c r="N56" s="4017"/>
      <c r="O56" s="3349" t="s">
        <v>94</v>
      </c>
    </row>
    <row r="57" spans="1:17" ht="12">
      <c r="A57" s="4000"/>
      <c r="B57" s="2111" t="s">
        <v>540</v>
      </c>
      <c r="C57" s="4024" t="s">
        <v>161</v>
      </c>
      <c r="D57" s="1294">
        <f t="shared" ref="D57:L57" si="38">D58</f>
        <v>500156</v>
      </c>
      <c r="E57" s="1646">
        <f t="shared" ref="E57" si="39">+E58</f>
        <v>0</v>
      </c>
      <c r="F57" s="2670">
        <f t="shared" si="38"/>
        <v>8761</v>
      </c>
      <c r="G57" s="1293">
        <f t="shared" si="38"/>
        <v>491395</v>
      </c>
      <c r="H57" s="1646">
        <f t="shared" si="38"/>
        <v>0</v>
      </c>
      <c r="I57" s="1646">
        <f t="shared" si="38"/>
        <v>0</v>
      </c>
      <c r="J57" s="1646">
        <f t="shared" si="38"/>
        <v>0</v>
      </c>
      <c r="K57" s="1646">
        <f t="shared" si="38"/>
        <v>0</v>
      </c>
      <c r="L57" s="1646">
        <f t="shared" si="38"/>
        <v>0</v>
      </c>
      <c r="M57" s="4018"/>
      <c r="N57" s="4018"/>
      <c r="O57" s="3349"/>
    </row>
    <row r="58" spans="1:17" ht="12.75">
      <c r="A58" s="4000"/>
      <c r="B58" s="2722" t="s">
        <v>15</v>
      </c>
      <c r="C58" s="4025"/>
      <c r="D58" s="1262">
        <f>E58+F58+G58+H58+I58+J58+K58+L58</f>
        <v>500156</v>
      </c>
      <c r="E58" s="1326">
        <v>0</v>
      </c>
      <c r="F58" s="2671">
        <v>8761</v>
      </c>
      <c r="G58" s="1291">
        <f>403710+70805+16880</f>
        <v>491395</v>
      </c>
      <c r="H58" s="1326">
        <v>0</v>
      </c>
      <c r="I58" s="1326">
        <v>0</v>
      </c>
      <c r="J58" s="1326">
        <v>0</v>
      </c>
      <c r="K58" s="1326">
        <v>0</v>
      </c>
      <c r="L58" s="1326">
        <v>0</v>
      </c>
      <c r="M58" s="4018"/>
      <c r="N58" s="4018"/>
      <c r="O58" s="3349"/>
      <c r="P58" s="195">
        <f>G58-'[4]Tab. 6H - Kultura fiz. i turyst'!$G$58</f>
        <v>87685</v>
      </c>
    </row>
    <row r="59" spans="1:17" ht="12.75" customHeight="1">
      <c r="A59" s="4000"/>
      <c r="B59" s="2111" t="s">
        <v>18</v>
      </c>
      <c r="C59" s="3436" t="s">
        <v>214</v>
      </c>
      <c r="D59" s="1288">
        <f>+D60</f>
        <v>4746881</v>
      </c>
      <c r="E59" s="1344">
        <f t="shared" ref="E59" si="40">+E60</f>
        <v>0</v>
      </c>
      <c r="F59" s="1294">
        <f t="shared" ref="F59:H59" si="41">F60</f>
        <v>0</v>
      </c>
      <c r="G59" s="1294">
        <f t="shared" si="41"/>
        <v>4746881</v>
      </c>
      <c r="H59" s="1344">
        <f t="shared" si="41"/>
        <v>0</v>
      </c>
      <c r="I59" s="1294"/>
      <c r="J59" s="1294"/>
      <c r="K59" s="1294"/>
      <c r="L59" s="1294"/>
      <c r="M59" s="4018"/>
      <c r="N59" s="4018"/>
      <c r="O59" s="3349"/>
    </row>
    <row r="60" spans="1:17" ht="13.5" thickBot="1">
      <c r="A60" s="4013"/>
      <c r="B60" s="2723" t="s">
        <v>20</v>
      </c>
      <c r="C60" s="3353"/>
      <c r="D60" s="1955">
        <f>E60+F60+G60+H60+I60+J60+K60+L60</f>
        <v>4746881</v>
      </c>
      <c r="E60" s="2374">
        <v>0</v>
      </c>
      <c r="F60" s="1586">
        <f>2890000-2040000-850000</f>
        <v>0</v>
      </c>
      <c r="G60" s="1586">
        <f>2805000+2040000+850000-56386-443834-447899</f>
        <v>4746881</v>
      </c>
      <c r="H60" s="1587">
        <v>0</v>
      </c>
      <c r="I60" s="1586"/>
      <c r="J60" s="1586"/>
      <c r="K60" s="1586"/>
      <c r="L60" s="1586"/>
      <c r="M60" s="4019"/>
      <c r="N60" s="4019"/>
      <c r="O60" s="3350"/>
    </row>
    <row r="61" spans="1:17" ht="26.25" customHeight="1">
      <c r="A61" s="3995" t="s">
        <v>58</v>
      </c>
      <c r="B61" s="179" t="s">
        <v>764</v>
      </c>
      <c r="C61" s="2654" t="s">
        <v>74</v>
      </c>
      <c r="D61" s="1193"/>
      <c r="E61" s="2672"/>
      <c r="F61" s="2673"/>
      <c r="G61" s="2673"/>
      <c r="H61" s="2673"/>
      <c r="I61" s="2659"/>
      <c r="J61" s="2659"/>
      <c r="K61" s="2659"/>
      <c r="L61" s="2660"/>
      <c r="M61" s="1194"/>
      <c r="N61" s="1194"/>
      <c r="O61" s="3357" t="s">
        <v>79</v>
      </c>
    </row>
    <row r="62" spans="1:17" ht="14.25" customHeight="1">
      <c r="A62" s="4000"/>
      <c r="B62" s="1283" t="s">
        <v>10</v>
      </c>
      <c r="C62" s="2994"/>
      <c r="D62" s="1285">
        <f>+D63+D66</f>
        <v>8223000</v>
      </c>
      <c r="E62" s="1580">
        <f t="shared" ref="E62" si="42">+E63+E66</f>
        <v>0</v>
      </c>
      <c r="F62" s="1285">
        <f>+F63+F66</f>
        <v>0</v>
      </c>
      <c r="G62" s="1285">
        <f>+G63+G66</f>
        <v>123000</v>
      </c>
      <c r="H62" s="1285">
        <f>+H63+H66</f>
        <v>8100000</v>
      </c>
      <c r="I62" s="1285"/>
      <c r="J62" s="1285"/>
      <c r="K62" s="1285"/>
      <c r="L62" s="1285"/>
      <c r="M62" s="1286">
        <f>M63+M66</f>
        <v>8223000</v>
      </c>
      <c r="N62" s="1286">
        <f>N63+N66</f>
        <v>8223000</v>
      </c>
      <c r="O62" s="3358"/>
    </row>
    <row r="63" spans="1:17" ht="14.25" customHeight="1">
      <c r="A63" s="4000"/>
      <c r="B63" s="1287" t="s">
        <v>23</v>
      </c>
      <c r="C63" s="3351" t="s">
        <v>161</v>
      </c>
      <c r="D63" s="1288">
        <f>D64+D65</f>
        <v>1233450</v>
      </c>
      <c r="E63" s="1578">
        <f t="shared" ref="E63:H63" si="43">E64+E65</f>
        <v>0</v>
      </c>
      <c r="F63" s="1288">
        <f t="shared" si="43"/>
        <v>0</v>
      </c>
      <c r="G63" s="1288">
        <f t="shared" si="43"/>
        <v>18450</v>
      </c>
      <c r="H63" s="1288">
        <f t="shared" si="43"/>
        <v>1215000</v>
      </c>
      <c r="I63" s="1293"/>
      <c r="J63" s="1293"/>
      <c r="K63" s="1293"/>
      <c r="L63" s="1293"/>
      <c r="M63" s="1289">
        <f>M64</f>
        <v>1233450</v>
      </c>
      <c r="N63" s="1289">
        <f>N64+N65</f>
        <v>1233450</v>
      </c>
      <c r="O63" s="3358"/>
    </row>
    <row r="64" spans="1:17" ht="14.25" customHeight="1">
      <c r="A64" s="4000"/>
      <c r="B64" s="1290" t="s">
        <v>12</v>
      </c>
      <c r="C64" s="3347"/>
      <c r="D64" s="1216">
        <f>E64+F64+G64+H64+I64+J64+K64+L64</f>
        <v>1233450</v>
      </c>
      <c r="E64" s="2725">
        <v>0</v>
      </c>
      <c r="F64" s="1291"/>
      <c r="G64" s="1291">
        <v>18450</v>
      </c>
      <c r="H64" s="1291">
        <v>1215000</v>
      </c>
      <c r="I64" s="1291"/>
      <c r="J64" s="1291"/>
      <c r="K64" s="1291"/>
      <c r="L64" s="1291"/>
      <c r="M64" s="1598">
        <f>SUM(F64:K64)</f>
        <v>1233450</v>
      </c>
      <c r="N64" s="1598">
        <f>SUM(G64:L64)</f>
        <v>1233450</v>
      </c>
      <c r="O64" s="3358"/>
    </row>
    <row r="65" spans="1:17" ht="12.75" hidden="1">
      <c r="A65" s="4000"/>
      <c r="B65" s="2722" t="s">
        <v>15</v>
      </c>
      <c r="C65" s="3347"/>
      <c r="D65" s="1216">
        <f>E65+F65+G65+H65+I65+J65+K65+L65</f>
        <v>0</v>
      </c>
      <c r="E65" s="2725">
        <v>0</v>
      </c>
      <c r="F65" s="1291"/>
      <c r="G65" s="1291">
        <v>0</v>
      </c>
      <c r="H65" s="1291">
        <v>0</v>
      </c>
      <c r="I65" s="1291"/>
      <c r="J65" s="1291"/>
      <c r="K65" s="1291"/>
      <c r="L65" s="1291"/>
      <c r="M65" s="1598"/>
      <c r="N65" s="1598">
        <f>SUM(G65:L65)</f>
        <v>0</v>
      </c>
      <c r="O65" s="3358"/>
    </row>
    <row r="66" spans="1:17" ht="12">
      <c r="A66" s="4000"/>
      <c r="B66" s="1292" t="s">
        <v>18</v>
      </c>
      <c r="C66" s="3347"/>
      <c r="D66" s="1288">
        <f>+D67</f>
        <v>6989550</v>
      </c>
      <c r="E66" s="1969">
        <f t="shared" ref="E66" si="44">+E67</f>
        <v>0</v>
      </c>
      <c r="F66" s="2726">
        <f>F67</f>
        <v>0</v>
      </c>
      <c r="G66" s="2726">
        <f>G67</f>
        <v>104550</v>
      </c>
      <c r="H66" s="2726">
        <f>H67</f>
        <v>6885000</v>
      </c>
      <c r="I66" s="1293"/>
      <c r="J66" s="1293"/>
      <c r="K66" s="1293"/>
      <c r="L66" s="1293"/>
      <c r="M66" s="1963">
        <f>+M67</f>
        <v>6989550</v>
      </c>
      <c r="N66" s="1963">
        <f>+N67</f>
        <v>6989550</v>
      </c>
      <c r="O66" s="3358"/>
    </row>
    <row r="67" spans="1:17" ht="12.75">
      <c r="A67" s="4000"/>
      <c r="B67" s="3229" t="s">
        <v>20</v>
      </c>
      <c r="C67" s="3348"/>
      <c r="D67" s="1216">
        <f>E67+F67+G67+H67+I67+J67+K67+L67</f>
        <v>6989550</v>
      </c>
      <c r="E67" s="2725">
        <v>0</v>
      </c>
      <c r="F67" s="1291"/>
      <c r="G67" s="1291">
        <v>104550</v>
      </c>
      <c r="H67" s="1291">
        <v>6885000</v>
      </c>
      <c r="I67" s="1291"/>
      <c r="J67" s="1291"/>
      <c r="K67" s="1291"/>
      <c r="L67" s="1291"/>
      <c r="M67" s="1598">
        <f>SUM(F67:K67)</f>
        <v>6989550</v>
      </c>
      <c r="N67" s="1598">
        <f>SUM(G67:L67)</f>
        <v>6989550</v>
      </c>
      <c r="O67" s="3931"/>
    </row>
    <row r="68" spans="1:17" ht="14.25" customHeight="1">
      <c r="A68" s="4000"/>
      <c r="B68" s="2073" t="s">
        <v>21</v>
      </c>
      <c r="C68" s="2495"/>
      <c r="D68" s="1285">
        <f>+D71+D69</f>
        <v>6989550</v>
      </c>
      <c r="E68" s="1580">
        <f t="shared" ref="E68:G68" si="45">+E71+E69</f>
        <v>0</v>
      </c>
      <c r="F68" s="1285">
        <f t="shared" si="45"/>
        <v>0</v>
      </c>
      <c r="G68" s="1285">
        <f t="shared" si="45"/>
        <v>0</v>
      </c>
      <c r="H68" s="1285">
        <f>H71</f>
        <v>6989550</v>
      </c>
      <c r="I68" s="1285"/>
      <c r="J68" s="1285"/>
      <c r="K68" s="1285"/>
      <c r="L68" s="1285"/>
      <c r="M68" s="4017"/>
      <c r="N68" s="4017"/>
      <c r="O68" s="3349" t="s">
        <v>94</v>
      </c>
    </row>
    <row r="69" spans="1:17" ht="12" hidden="1">
      <c r="A69" s="4000"/>
      <c r="B69" s="2111" t="s">
        <v>540</v>
      </c>
      <c r="C69" s="4024" t="s">
        <v>161</v>
      </c>
      <c r="D69" s="1294">
        <f t="shared" ref="D69:L69" si="46">D70</f>
        <v>0</v>
      </c>
      <c r="E69" s="1646">
        <f t="shared" ref="E69" si="47">+E70</f>
        <v>0</v>
      </c>
      <c r="F69" s="2670">
        <f t="shared" si="46"/>
        <v>0</v>
      </c>
      <c r="G69" s="1293">
        <f t="shared" si="46"/>
        <v>0</v>
      </c>
      <c r="H69" s="1646">
        <f t="shared" si="46"/>
        <v>0</v>
      </c>
      <c r="I69" s="1646">
        <f t="shared" si="46"/>
        <v>0</v>
      </c>
      <c r="J69" s="1646">
        <f t="shared" si="46"/>
        <v>0</v>
      </c>
      <c r="K69" s="1646">
        <f t="shared" si="46"/>
        <v>0</v>
      </c>
      <c r="L69" s="1646">
        <f t="shared" si="46"/>
        <v>0</v>
      </c>
      <c r="M69" s="4018"/>
      <c r="N69" s="4018"/>
      <c r="O69" s="3349"/>
    </row>
    <row r="70" spans="1:17" ht="12.75" hidden="1">
      <c r="A70" s="4000"/>
      <c r="B70" s="2722" t="s">
        <v>15</v>
      </c>
      <c r="C70" s="4025"/>
      <c r="D70" s="1262">
        <f>E70+F70+G70+H70+I70+J70+K70+L70</f>
        <v>0</v>
      </c>
      <c r="E70" s="1326">
        <v>0</v>
      </c>
      <c r="F70" s="2671"/>
      <c r="G70" s="1291">
        <v>0</v>
      </c>
      <c r="H70" s="1326">
        <v>0</v>
      </c>
      <c r="I70" s="1326">
        <v>0</v>
      </c>
      <c r="J70" s="1326">
        <v>0</v>
      </c>
      <c r="K70" s="1326">
        <v>0</v>
      </c>
      <c r="L70" s="1326">
        <v>0</v>
      </c>
      <c r="M70" s="4018"/>
      <c r="N70" s="4018"/>
      <c r="O70" s="3349"/>
    </row>
    <row r="71" spans="1:17" ht="12">
      <c r="A71" s="4000"/>
      <c r="B71" s="2111" t="s">
        <v>18</v>
      </c>
      <c r="C71" s="3436" t="s">
        <v>214</v>
      </c>
      <c r="D71" s="1288">
        <f>+D72</f>
        <v>6989550</v>
      </c>
      <c r="E71" s="1344">
        <f t="shared" ref="E71" si="48">+E72</f>
        <v>0</v>
      </c>
      <c r="F71" s="1294">
        <f t="shared" ref="F71:H71" si="49">F72</f>
        <v>0</v>
      </c>
      <c r="G71" s="1294">
        <f t="shared" si="49"/>
        <v>0</v>
      </c>
      <c r="H71" s="1294">
        <f t="shared" si="49"/>
        <v>6989550</v>
      </c>
      <c r="I71" s="1294"/>
      <c r="J71" s="1294"/>
      <c r="K71" s="1294"/>
      <c r="L71" s="1294"/>
      <c r="M71" s="4018"/>
      <c r="N71" s="4018"/>
      <c r="O71" s="3349"/>
    </row>
    <row r="72" spans="1:17" ht="13.5" thickBot="1">
      <c r="A72" s="4013"/>
      <c r="B72" s="2723" t="s">
        <v>20</v>
      </c>
      <c r="C72" s="3353"/>
      <c r="D72" s="1955">
        <f>E72+F72+G72+H72+I72+J72+K72+L72</f>
        <v>6989550</v>
      </c>
      <c r="E72" s="2374">
        <v>0</v>
      </c>
      <c r="F72" s="1586">
        <f>2890000-2040000-850000</f>
        <v>0</v>
      </c>
      <c r="G72" s="1586">
        <v>0</v>
      </c>
      <c r="H72" s="1291">
        <v>6989550</v>
      </c>
      <c r="I72" s="1586"/>
      <c r="J72" s="1586"/>
      <c r="K72" s="1586"/>
      <c r="L72" s="1586"/>
      <c r="M72" s="4019"/>
      <c r="N72" s="4019"/>
      <c r="O72" s="3350"/>
    </row>
    <row r="73" spans="1:17" ht="27" customHeight="1">
      <c r="A73" s="3995" t="s">
        <v>59</v>
      </c>
      <c r="B73" s="179" t="s">
        <v>788</v>
      </c>
      <c r="C73" s="2654" t="s">
        <v>74</v>
      </c>
      <c r="D73" s="1193"/>
      <c r="E73" s="2672"/>
      <c r="F73" s="2673"/>
      <c r="G73" s="2673"/>
      <c r="H73" s="2673"/>
      <c r="I73" s="2659"/>
      <c r="J73" s="2659"/>
      <c r="K73" s="2659"/>
      <c r="L73" s="2660"/>
      <c r="M73" s="1194"/>
      <c r="N73" s="1194"/>
      <c r="O73" s="3357" t="s">
        <v>79</v>
      </c>
    </row>
    <row r="74" spans="1:17" ht="16.5" customHeight="1">
      <c r="A74" s="4000"/>
      <c r="B74" s="1283" t="s">
        <v>10</v>
      </c>
      <c r="C74" s="2994"/>
      <c r="D74" s="1285">
        <f>+D75+D77</f>
        <v>7500000</v>
      </c>
      <c r="E74" s="1285">
        <f t="shared" ref="E74" si="50">+E75+E77</f>
        <v>0</v>
      </c>
      <c r="F74" s="1580">
        <f>+F75+F77</f>
        <v>0</v>
      </c>
      <c r="G74" s="1285">
        <f>+G75+G77</f>
        <v>2100000</v>
      </c>
      <c r="H74" s="1285">
        <f>+H75+H77</f>
        <v>5050000</v>
      </c>
      <c r="I74" s="1285">
        <f>+I75+I77</f>
        <v>350000</v>
      </c>
      <c r="J74" s="1285"/>
      <c r="K74" s="1285"/>
      <c r="L74" s="1285"/>
      <c r="M74" s="1286">
        <f>M75+M77</f>
        <v>7500000</v>
      </c>
      <c r="N74" s="1286">
        <f>N75+N77</f>
        <v>7500000</v>
      </c>
      <c r="O74" s="3358"/>
      <c r="P74" s="195"/>
      <c r="Q74" s="195"/>
    </row>
    <row r="75" spans="1:17" s="2287" customFormat="1" ht="14.25" customHeight="1">
      <c r="A75" s="4000"/>
      <c r="B75" s="1287" t="s">
        <v>23</v>
      </c>
      <c r="C75" s="3351" t="s">
        <v>161</v>
      </c>
      <c r="D75" s="1288">
        <f>D76</f>
        <v>1125000</v>
      </c>
      <c r="E75" s="1642">
        <f t="shared" ref="E75:I75" si="51">E76</f>
        <v>0</v>
      </c>
      <c r="F75" s="2995">
        <f t="shared" si="51"/>
        <v>0</v>
      </c>
      <c r="G75" s="2726">
        <f t="shared" si="51"/>
        <v>315000</v>
      </c>
      <c r="H75" s="2726">
        <f t="shared" si="51"/>
        <v>757500</v>
      </c>
      <c r="I75" s="2726">
        <f t="shared" si="51"/>
        <v>52500</v>
      </c>
      <c r="J75" s="1293"/>
      <c r="K75" s="1293"/>
      <c r="L75" s="1293"/>
      <c r="M75" s="1289">
        <f>M76</f>
        <v>1125000</v>
      </c>
      <c r="N75" s="1289">
        <f>N76</f>
        <v>1125000</v>
      </c>
      <c r="O75" s="3358"/>
    </row>
    <row r="76" spans="1:17" s="2287" customFormat="1" ht="14.25" customHeight="1">
      <c r="A76" s="4000"/>
      <c r="B76" s="1290" t="s">
        <v>12</v>
      </c>
      <c r="C76" s="3347"/>
      <c r="D76" s="1216">
        <f>E76+F76+G76+H76+I76+J76+K76+L76</f>
        <v>1125000</v>
      </c>
      <c r="E76" s="1216">
        <v>0</v>
      </c>
      <c r="F76" s="1643">
        <f>225000-225000</f>
        <v>0</v>
      </c>
      <c r="G76" s="1291">
        <f>900000-375000-210000</f>
        <v>315000</v>
      </c>
      <c r="H76" s="1291">
        <f>600000+157500</f>
        <v>757500</v>
      </c>
      <c r="I76" s="1291">
        <v>52500</v>
      </c>
      <c r="J76" s="1291"/>
      <c r="K76" s="1291"/>
      <c r="L76" s="1291"/>
      <c r="M76" s="1598">
        <f>SUM(F76:K76)</f>
        <v>1125000</v>
      </c>
      <c r="N76" s="1598">
        <f>SUM(G76:L76)</f>
        <v>1125000</v>
      </c>
      <c r="O76" s="3358"/>
    </row>
    <row r="77" spans="1:17" ht="14.25" customHeight="1">
      <c r="A77" s="4000"/>
      <c r="B77" s="1292" t="s">
        <v>18</v>
      </c>
      <c r="C77" s="3347"/>
      <c r="D77" s="1288">
        <f>+D78</f>
        <v>6375000</v>
      </c>
      <c r="E77" s="1642">
        <f t="shared" ref="E77" si="52">+E78</f>
        <v>0</v>
      </c>
      <c r="F77" s="2995">
        <f>F78</f>
        <v>0</v>
      </c>
      <c r="G77" s="2726">
        <f>G78</f>
        <v>1785000</v>
      </c>
      <c r="H77" s="2726">
        <f>H78</f>
        <v>4292500</v>
      </c>
      <c r="I77" s="2726">
        <f>I78</f>
        <v>297500</v>
      </c>
      <c r="J77" s="1293"/>
      <c r="K77" s="1293"/>
      <c r="L77" s="1293"/>
      <c r="M77" s="1963">
        <f>+M78</f>
        <v>6375000</v>
      </c>
      <c r="N77" s="1963">
        <f>+N78</f>
        <v>6375000</v>
      </c>
      <c r="O77" s="3358"/>
    </row>
    <row r="78" spans="1:17" ht="13.5" customHeight="1">
      <c r="A78" s="4000"/>
      <c r="B78" s="3229" t="s">
        <v>20</v>
      </c>
      <c r="C78" s="3348"/>
      <c r="D78" s="1216">
        <f>E78+F78+G78+H78+I78+J78+K78+L78</f>
        <v>6375000</v>
      </c>
      <c r="E78" s="1216">
        <v>0</v>
      </c>
      <c r="F78" s="1643">
        <f>1275000-1275000</f>
        <v>0</v>
      </c>
      <c r="G78" s="1291">
        <f>5100000-2125000-1190000</f>
        <v>1785000</v>
      </c>
      <c r="H78" s="1291">
        <f>3400000+892500</f>
        <v>4292500</v>
      </c>
      <c r="I78" s="1291">
        <v>297500</v>
      </c>
      <c r="J78" s="1291"/>
      <c r="K78" s="1291"/>
      <c r="L78" s="1291"/>
      <c r="M78" s="1598">
        <f>SUM(F78:K78)</f>
        <v>6375000</v>
      </c>
      <c r="N78" s="1598">
        <f>SUM(G78:L78)</f>
        <v>6375000</v>
      </c>
      <c r="O78" s="3931"/>
    </row>
    <row r="79" spans="1:17" ht="15.75" customHeight="1">
      <c r="A79" s="4000"/>
      <c r="B79" s="2073" t="s">
        <v>21</v>
      </c>
      <c r="C79" s="2495"/>
      <c r="D79" s="1285">
        <f>+D80</f>
        <v>6375000</v>
      </c>
      <c r="E79" s="1285">
        <f t="shared" ref="E79:E80" si="53">+E80</f>
        <v>0</v>
      </c>
      <c r="F79" s="1580">
        <f t="shared" ref="F79:I80" si="54">F80</f>
        <v>0</v>
      </c>
      <c r="G79" s="1285">
        <f t="shared" si="54"/>
        <v>0</v>
      </c>
      <c r="H79" s="1285">
        <f t="shared" si="54"/>
        <v>3100000</v>
      </c>
      <c r="I79" s="1285">
        <f t="shared" si="54"/>
        <v>3275000</v>
      </c>
      <c r="J79" s="1285"/>
      <c r="K79" s="1285"/>
      <c r="L79" s="1285"/>
      <c r="M79" s="4017"/>
      <c r="N79" s="4017"/>
      <c r="O79" s="3349" t="s">
        <v>94</v>
      </c>
    </row>
    <row r="80" spans="1:17" ht="17.25" customHeight="1">
      <c r="A80" s="4000"/>
      <c r="B80" s="2111" t="s">
        <v>18</v>
      </c>
      <c r="C80" s="3436" t="s">
        <v>214</v>
      </c>
      <c r="D80" s="1288">
        <f>+D81</f>
        <v>6375000</v>
      </c>
      <c r="E80" s="1294">
        <f t="shared" si="53"/>
        <v>0</v>
      </c>
      <c r="F80" s="1344">
        <f t="shared" si="54"/>
        <v>0</v>
      </c>
      <c r="G80" s="1294">
        <f t="shared" si="54"/>
        <v>0</v>
      </c>
      <c r="H80" s="1294">
        <f t="shared" si="54"/>
        <v>3100000</v>
      </c>
      <c r="I80" s="1294">
        <f t="shared" si="54"/>
        <v>3275000</v>
      </c>
      <c r="J80" s="1294"/>
      <c r="K80" s="1294"/>
      <c r="L80" s="1294"/>
      <c r="M80" s="4018"/>
      <c r="N80" s="4018"/>
      <c r="O80" s="3349"/>
    </row>
    <row r="81" spans="1:15" ht="17.25" customHeight="1" thickBot="1">
      <c r="A81" s="4013"/>
      <c r="B81" s="2723" t="s">
        <v>20</v>
      </c>
      <c r="C81" s="3353"/>
      <c r="D81" s="1216">
        <f>E81+F81+G81+H81+I81+J81+K81+L81</f>
        <v>6375000</v>
      </c>
      <c r="E81" s="1216">
        <v>0</v>
      </c>
      <c r="F81" s="1587">
        <v>0</v>
      </c>
      <c r="G81" s="1586">
        <f>1800000-1800000</f>
        <v>0</v>
      </c>
      <c r="H81" s="1586">
        <f>4575000+1800000-3275000</f>
        <v>3100000</v>
      </c>
      <c r="I81" s="1586">
        <v>3275000</v>
      </c>
      <c r="J81" s="1586"/>
      <c r="K81" s="1586"/>
      <c r="L81" s="1586"/>
      <c r="M81" s="4019"/>
      <c r="N81" s="4019"/>
      <c r="O81" s="3350"/>
    </row>
    <row r="82" spans="1:15" s="2287" customFormat="1" ht="41.25" customHeight="1">
      <c r="A82" s="3995" t="s">
        <v>107</v>
      </c>
      <c r="B82" s="179" t="s">
        <v>736</v>
      </c>
      <c r="C82" s="2654" t="s">
        <v>74</v>
      </c>
      <c r="D82" s="613"/>
      <c r="E82" s="613"/>
      <c r="F82" s="613"/>
      <c r="G82" s="613"/>
      <c r="H82" s="613"/>
      <c r="I82" s="613"/>
      <c r="J82" s="613"/>
      <c r="K82" s="613"/>
      <c r="L82" s="613"/>
      <c r="M82" s="613">
        <f t="shared" ref="M82" si="55">M87+M91</f>
        <v>0</v>
      </c>
      <c r="N82" s="613"/>
      <c r="O82" s="2981"/>
    </row>
    <row r="83" spans="1:15" s="2287" customFormat="1" ht="14.25" customHeight="1">
      <c r="A83" s="3996"/>
      <c r="B83" s="1283" t="s">
        <v>10</v>
      </c>
      <c r="C83" s="2495"/>
      <c r="D83" s="1285">
        <f t="shared" ref="D83" si="56">+D88+D84</f>
        <v>5940818</v>
      </c>
      <c r="E83" s="1285">
        <f t="shared" ref="E83" si="57">+E88+E84</f>
        <v>0</v>
      </c>
      <c r="F83" s="1285">
        <f>+F88+F84</f>
        <v>0</v>
      </c>
      <c r="G83" s="1285">
        <f t="shared" ref="G83:L83" si="58">+G88+G84</f>
        <v>2200125</v>
      </c>
      <c r="H83" s="1285">
        <f t="shared" si="58"/>
        <v>3740693</v>
      </c>
      <c r="I83" s="1285">
        <f t="shared" si="58"/>
        <v>0</v>
      </c>
      <c r="J83" s="1285">
        <f t="shared" si="58"/>
        <v>0</v>
      </c>
      <c r="K83" s="1285">
        <f t="shared" si="58"/>
        <v>0</v>
      </c>
      <c r="L83" s="1285">
        <f t="shared" si="58"/>
        <v>0</v>
      </c>
      <c r="M83" s="1286">
        <f>+M88+M84</f>
        <v>5940818</v>
      </c>
      <c r="N83" s="1286">
        <f>+N88+N84</f>
        <v>5940818</v>
      </c>
      <c r="O83" s="3358" t="s">
        <v>704</v>
      </c>
    </row>
    <row r="84" spans="1:15" s="2287" customFormat="1" ht="14.25" customHeight="1">
      <c r="A84" s="3996"/>
      <c r="B84" s="1287" t="s">
        <v>23</v>
      </c>
      <c r="C84" s="3351" t="s">
        <v>161</v>
      </c>
      <c r="D84" s="1288">
        <f>D85</f>
        <v>891123</v>
      </c>
      <c r="E84" s="1642">
        <f t="shared" ref="E84:L84" si="59">E85</f>
        <v>0</v>
      </c>
      <c r="F84" s="1293">
        <f t="shared" si="59"/>
        <v>0</v>
      </c>
      <c r="G84" s="1293">
        <f t="shared" si="59"/>
        <v>330020</v>
      </c>
      <c r="H84" s="1293">
        <f t="shared" si="59"/>
        <v>561103</v>
      </c>
      <c r="I84" s="1293">
        <f t="shared" si="59"/>
        <v>0</v>
      </c>
      <c r="J84" s="1293">
        <f t="shared" si="59"/>
        <v>0</v>
      </c>
      <c r="K84" s="1293">
        <f t="shared" si="59"/>
        <v>0</v>
      </c>
      <c r="L84" s="1293">
        <f t="shared" si="59"/>
        <v>0</v>
      </c>
      <c r="M84" s="1289">
        <f>M85</f>
        <v>891123</v>
      </c>
      <c r="N84" s="1289">
        <f>N85</f>
        <v>891123</v>
      </c>
      <c r="O84" s="3358"/>
    </row>
    <row r="85" spans="1:15" s="2287" customFormat="1" ht="14.25" customHeight="1">
      <c r="A85" s="3996"/>
      <c r="B85" s="1290" t="s">
        <v>12</v>
      </c>
      <c r="C85" s="3347"/>
      <c r="D85" s="2982">
        <f t="shared" ref="D85:F85" si="60">D86+D87</f>
        <v>891123</v>
      </c>
      <c r="E85" s="2982">
        <f t="shared" si="60"/>
        <v>0</v>
      </c>
      <c r="F85" s="2982">
        <f t="shared" si="60"/>
        <v>0</v>
      </c>
      <c r="G85" s="2982">
        <f>G86+G87</f>
        <v>330020</v>
      </c>
      <c r="H85" s="2982">
        <f t="shared" ref="H85:L85" si="61">H86+H87</f>
        <v>561103</v>
      </c>
      <c r="I85" s="2982">
        <f t="shared" si="61"/>
        <v>0</v>
      </c>
      <c r="J85" s="2982">
        <f t="shared" si="61"/>
        <v>0</v>
      </c>
      <c r="K85" s="2982">
        <f t="shared" si="61"/>
        <v>0</v>
      </c>
      <c r="L85" s="2982">
        <f t="shared" si="61"/>
        <v>0</v>
      </c>
      <c r="M85" s="1598">
        <f>SUM(F85:K85)</f>
        <v>891123</v>
      </c>
      <c r="N85" s="1598">
        <f>SUM(G85:L85)</f>
        <v>891123</v>
      </c>
      <c r="O85" s="3358"/>
    </row>
    <row r="86" spans="1:15" s="2287" customFormat="1" ht="14.25" hidden="1" customHeight="1">
      <c r="A86" s="3996"/>
      <c r="B86" s="2983" t="s">
        <v>705</v>
      </c>
      <c r="C86" s="3347"/>
      <c r="D86" s="2984">
        <f>E86+F86+G86+H86+I86+J86+K86+L86</f>
        <v>324805</v>
      </c>
      <c r="E86" s="2985"/>
      <c r="F86" s="2986"/>
      <c r="G86" s="2986">
        <v>324805</v>
      </c>
      <c r="H86" s="2986">
        <v>0</v>
      </c>
      <c r="I86" s="2986">
        <v>0</v>
      </c>
      <c r="J86" s="2986">
        <v>0</v>
      </c>
      <c r="K86" s="2986">
        <v>0</v>
      </c>
      <c r="L86" s="2986">
        <v>0</v>
      </c>
      <c r="M86" s="2987"/>
      <c r="N86" s="1598">
        <f>SUM(G86:L86)</f>
        <v>324805</v>
      </c>
      <c r="O86" s="3358"/>
    </row>
    <row r="87" spans="1:15" s="2287" customFormat="1" ht="14.25" hidden="1" customHeight="1">
      <c r="A87" s="3996"/>
      <c r="B87" s="2988" t="s">
        <v>219</v>
      </c>
      <c r="C87" s="3347"/>
      <c r="D87" s="2989">
        <f>E87+F87+G87+H87+I87+J87+K87+L87</f>
        <v>566318</v>
      </c>
      <c r="E87" s="2990"/>
      <c r="F87" s="2991"/>
      <c r="G87" s="2991">
        <v>5215</v>
      </c>
      <c r="H87" s="2991">
        <f>576876-15773</f>
        <v>561103</v>
      </c>
      <c r="I87" s="2991"/>
      <c r="J87" s="2991"/>
      <c r="K87" s="2991"/>
      <c r="L87" s="2991"/>
      <c r="M87" s="2987"/>
      <c r="N87" s="1598">
        <f>SUM(G87:L87)</f>
        <v>566318</v>
      </c>
      <c r="O87" s="3358"/>
    </row>
    <row r="88" spans="1:15" s="2287" customFormat="1" ht="14.25" customHeight="1">
      <c r="A88" s="3996"/>
      <c r="B88" s="1292" t="s">
        <v>18</v>
      </c>
      <c r="C88" s="3347"/>
      <c r="D88" s="1288">
        <f>D89</f>
        <v>5049695</v>
      </c>
      <c r="E88" s="1288">
        <f t="shared" ref="E88:L88" si="62">E89</f>
        <v>0</v>
      </c>
      <c r="F88" s="1288">
        <f t="shared" si="62"/>
        <v>0</v>
      </c>
      <c r="G88" s="1288">
        <f t="shared" si="62"/>
        <v>1870105</v>
      </c>
      <c r="H88" s="1288">
        <f t="shared" si="62"/>
        <v>3179590</v>
      </c>
      <c r="I88" s="1288">
        <f t="shared" si="62"/>
        <v>0</v>
      </c>
      <c r="J88" s="1288">
        <f t="shared" si="62"/>
        <v>0</v>
      </c>
      <c r="K88" s="1288">
        <f t="shared" si="62"/>
        <v>0</v>
      </c>
      <c r="L88" s="1288">
        <f t="shared" si="62"/>
        <v>0</v>
      </c>
      <c r="M88" s="1289">
        <f>+M89</f>
        <v>5049695</v>
      </c>
      <c r="N88" s="1289">
        <f>+N89</f>
        <v>5049695</v>
      </c>
      <c r="O88" s="3358"/>
    </row>
    <row r="89" spans="1:15" s="2287" customFormat="1" ht="15" customHeight="1">
      <c r="A89" s="3996"/>
      <c r="B89" s="3229" t="s">
        <v>20</v>
      </c>
      <c r="C89" s="3348"/>
      <c r="D89" s="2982">
        <f t="shared" ref="D89" si="63">D90+D91</f>
        <v>5049695</v>
      </c>
      <c r="E89" s="2982">
        <f t="shared" ref="E89" si="64">E90+E91</f>
        <v>0</v>
      </c>
      <c r="F89" s="2982">
        <f t="shared" ref="F89" si="65">F90+F91</f>
        <v>0</v>
      </c>
      <c r="G89" s="2982">
        <f>G90+G91</f>
        <v>1870105</v>
      </c>
      <c r="H89" s="2982">
        <f t="shared" ref="H89" si="66">H90+H91</f>
        <v>3179590</v>
      </c>
      <c r="I89" s="2982">
        <f t="shared" ref="I89" si="67">I90+I91</f>
        <v>0</v>
      </c>
      <c r="J89" s="2982">
        <f t="shared" ref="J89" si="68">J90+J91</f>
        <v>0</v>
      </c>
      <c r="K89" s="2982">
        <f t="shared" ref="K89" si="69">K90+K91</f>
        <v>0</v>
      </c>
      <c r="L89" s="2982">
        <f t="shared" ref="L89" si="70">L90+L91</f>
        <v>0</v>
      </c>
      <c r="M89" s="1598">
        <f>SUM(F89:K89)</f>
        <v>5049695</v>
      </c>
      <c r="N89" s="1598">
        <f>SUM(G89:L89)</f>
        <v>5049695</v>
      </c>
      <c r="O89" s="3931"/>
    </row>
    <row r="90" spans="1:15" s="2287" customFormat="1" ht="15" hidden="1" customHeight="1">
      <c r="A90" s="3996"/>
      <c r="B90" s="2983" t="s">
        <v>705</v>
      </c>
      <c r="C90" s="3225"/>
      <c r="D90" s="2984">
        <f>E90+F90+G90+H90+I90+J90+K90+L90</f>
        <v>1840559</v>
      </c>
      <c r="E90" s="2985"/>
      <c r="F90" s="2986"/>
      <c r="G90" s="2986">
        <v>1840559</v>
      </c>
      <c r="H90" s="2986">
        <v>0</v>
      </c>
      <c r="I90" s="2986">
        <v>0</v>
      </c>
      <c r="J90" s="2986">
        <v>0</v>
      </c>
      <c r="K90" s="2986">
        <v>0</v>
      </c>
      <c r="L90" s="2986">
        <v>0</v>
      </c>
      <c r="M90" s="2992"/>
      <c r="N90" s="1598">
        <f>SUM(G90:L90)</f>
        <v>1840559</v>
      </c>
      <c r="O90" s="3226"/>
    </row>
    <row r="91" spans="1:15" s="2287" customFormat="1" ht="15" hidden="1" customHeight="1">
      <c r="A91" s="3996"/>
      <c r="B91" s="2988" t="s">
        <v>219</v>
      </c>
      <c r="C91" s="3225"/>
      <c r="D91" s="2989">
        <f>E91+F91+G91+H91+I91+J91+K91+L91</f>
        <v>3209136</v>
      </c>
      <c r="E91" s="2990"/>
      <c r="F91" s="2991"/>
      <c r="G91" s="2991">
        <v>29546</v>
      </c>
      <c r="H91" s="2991">
        <f>3268970-89380</f>
        <v>3179590</v>
      </c>
      <c r="I91" s="2991">
        <v>0</v>
      </c>
      <c r="J91" s="2991">
        <v>0</v>
      </c>
      <c r="K91" s="2991">
        <v>0</v>
      </c>
      <c r="L91" s="2991">
        <v>0</v>
      </c>
      <c r="M91" s="2992"/>
      <c r="N91" s="1598">
        <f>SUM(G91:L91)</f>
        <v>3209136</v>
      </c>
      <c r="O91" s="3226"/>
    </row>
    <row r="92" spans="1:15" s="2287" customFormat="1" ht="15.75" customHeight="1">
      <c r="A92" s="3996"/>
      <c r="B92" s="2073" t="s">
        <v>21</v>
      </c>
      <c r="C92" s="2495"/>
      <c r="D92" s="1285">
        <f t="shared" ref="D92:L93" si="71">D93</f>
        <v>5049695</v>
      </c>
      <c r="E92" s="1285">
        <f t="shared" ref="E92:E93" si="72">+E93</f>
        <v>0</v>
      </c>
      <c r="F92" s="1285">
        <f t="shared" si="71"/>
        <v>0</v>
      </c>
      <c r="G92" s="1285">
        <f t="shared" si="71"/>
        <v>0</v>
      </c>
      <c r="H92" s="1285">
        <f t="shared" si="71"/>
        <v>5049695</v>
      </c>
      <c r="I92" s="1285">
        <f t="shared" si="71"/>
        <v>0</v>
      </c>
      <c r="J92" s="1285">
        <f t="shared" si="71"/>
        <v>0</v>
      </c>
      <c r="K92" s="1285">
        <f t="shared" si="71"/>
        <v>0</v>
      </c>
      <c r="L92" s="1285">
        <f t="shared" si="71"/>
        <v>0</v>
      </c>
      <c r="M92" s="3368" t="s">
        <v>53</v>
      </c>
      <c r="N92" s="3368" t="s">
        <v>53</v>
      </c>
      <c r="O92" s="3308" t="s">
        <v>219</v>
      </c>
    </row>
    <row r="93" spans="1:15" s="2287" customFormat="1" ht="15" customHeight="1">
      <c r="A93" s="3996"/>
      <c r="B93" s="2111" t="s">
        <v>18</v>
      </c>
      <c r="C93" s="3436" t="s">
        <v>214</v>
      </c>
      <c r="D93" s="1294">
        <f t="shared" si="71"/>
        <v>5049695</v>
      </c>
      <c r="E93" s="1294">
        <f t="shared" si="72"/>
        <v>0</v>
      </c>
      <c r="F93" s="1294">
        <f t="shared" si="71"/>
        <v>0</v>
      </c>
      <c r="G93" s="1294">
        <f t="shared" si="71"/>
        <v>0</v>
      </c>
      <c r="H93" s="1294">
        <f t="shared" si="71"/>
        <v>5049695</v>
      </c>
      <c r="I93" s="1294">
        <f t="shared" si="71"/>
        <v>0</v>
      </c>
      <c r="J93" s="1294">
        <f t="shared" si="71"/>
        <v>0</v>
      </c>
      <c r="K93" s="1294">
        <f t="shared" si="71"/>
        <v>0</v>
      </c>
      <c r="L93" s="1294">
        <f t="shared" si="71"/>
        <v>0</v>
      </c>
      <c r="M93" s="3366"/>
      <c r="N93" s="3366"/>
      <c r="O93" s="3309"/>
    </row>
    <row r="94" spans="1:15" s="2287" customFormat="1" ht="15" customHeight="1" thickBot="1">
      <c r="A94" s="3997"/>
      <c r="B94" s="2723" t="s">
        <v>20</v>
      </c>
      <c r="C94" s="3353"/>
      <c r="D94" s="1955">
        <f>E94+F94+G94+H94+I94+J94+K94+L94</f>
        <v>5049695</v>
      </c>
      <c r="E94" s="1955">
        <v>0</v>
      </c>
      <c r="F94" s="1586">
        <f>6462083-2818040-3644043</f>
        <v>0</v>
      </c>
      <c r="G94" s="1586">
        <v>0</v>
      </c>
      <c r="H94" s="1586">
        <f>5139075-89380</f>
        <v>5049695</v>
      </c>
      <c r="I94" s="1586">
        <v>0</v>
      </c>
      <c r="J94" s="1586">
        <v>0</v>
      </c>
      <c r="K94" s="1586">
        <v>0</v>
      </c>
      <c r="L94" s="1586">
        <v>0</v>
      </c>
      <c r="M94" s="3367"/>
      <c r="N94" s="3367"/>
      <c r="O94" s="3310"/>
    </row>
    <row r="95" spans="1:15" s="2287" customFormat="1" ht="43.5" customHeight="1">
      <c r="A95" s="4000" t="s">
        <v>80</v>
      </c>
      <c r="B95" s="1964" t="s">
        <v>735</v>
      </c>
      <c r="C95" s="2993" t="s">
        <v>74</v>
      </c>
      <c r="D95" s="626"/>
      <c r="E95" s="626"/>
      <c r="F95" s="626"/>
      <c r="G95" s="626"/>
      <c r="H95" s="626"/>
      <c r="I95" s="626"/>
      <c r="J95" s="626"/>
      <c r="K95" s="626"/>
      <c r="L95" s="626"/>
      <c r="M95" s="626">
        <f t="shared" ref="M95" si="73">M100+M104</f>
        <v>0</v>
      </c>
      <c r="N95" s="626"/>
      <c r="O95" s="3358" t="s">
        <v>704</v>
      </c>
    </row>
    <row r="96" spans="1:15" s="2287" customFormat="1" ht="15" customHeight="1">
      <c r="A96" s="4000"/>
      <c r="B96" s="1283" t="s">
        <v>10</v>
      </c>
      <c r="C96" s="2495"/>
      <c r="D96" s="1285">
        <f t="shared" ref="D96:E96" si="74">+D101+D97</f>
        <v>4768906</v>
      </c>
      <c r="E96" s="1285">
        <f t="shared" si="74"/>
        <v>0</v>
      </c>
      <c r="F96" s="1285">
        <f>+F101+F97</f>
        <v>0</v>
      </c>
      <c r="G96" s="1285">
        <f t="shared" ref="G96:L96" si="75">+G101+G97</f>
        <v>2049234</v>
      </c>
      <c r="H96" s="1285">
        <f t="shared" si="75"/>
        <v>2719672</v>
      </c>
      <c r="I96" s="1285">
        <f t="shared" si="75"/>
        <v>0</v>
      </c>
      <c r="J96" s="1285">
        <f t="shared" si="75"/>
        <v>0</v>
      </c>
      <c r="K96" s="1285">
        <f t="shared" si="75"/>
        <v>0</v>
      </c>
      <c r="L96" s="1285">
        <f t="shared" si="75"/>
        <v>0</v>
      </c>
      <c r="M96" s="1286">
        <f>+M101+M97</f>
        <v>4768906</v>
      </c>
      <c r="N96" s="2539">
        <f>+N101+N97</f>
        <v>4768906</v>
      </c>
      <c r="O96" s="3358"/>
    </row>
    <row r="97" spans="1:15" s="2287" customFormat="1" ht="15" customHeight="1">
      <c r="A97" s="4000"/>
      <c r="B97" s="1287" t="s">
        <v>23</v>
      </c>
      <c r="C97" s="3351" t="s">
        <v>161</v>
      </c>
      <c r="D97" s="1288">
        <f>D98</f>
        <v>715336</v>
      </c>
      <c r="E97" s="1642">
        <f t="shared" ref="E97:I97" si="76">E98</f>
        <v>0</v>
      </c>
      <c r="F97" s="1293">
        <f t="shared" si="76"/>
        <v>0</v>
      </c>
      <c r="G97" s="1293">
        <f t="shared" si="76"/>
        <v>307386</v>
      </c>
      <c r="H97" s="1293">
        <f t="shared" si="76"/>
        <v>407950</v>
      </c>
      <c r="I97" s="1293">
        <f t="shared" si="76"/>
        <v>0</v>
      </c>
      <c r="J97" s="1293"/>
      <c r="K97" s="1293"/>
      <c r="L97" s="1293"/>
      <c r="M97" s="1289">
        <f>M98</f>
        <v>715336</v>
      </c>
      <c r="N97" s="2537">
        <f>N98</f>
        <v>715336</v>
      </c>
      <c r="O97" s="3358"/>
    </row>
    <row r="98" spans="1:15" s="2287" customFormat="1" ht="15" customHeight="1">
      <c r="A98" s="4000"/>
      <c r="B98" s="1290" t="s">
        <v>12</v>
      </c>
      <c r="C98" s="3347"/>
      <c r="D98" s="2982">
        <f t="shared" ref="D98" si="77">D99+D100</f>
        <v>715336</v>
      </c>
      <c r="E98" s="2982">
        <f t="shared" ref="E98" si="78">E99+E100</f>
        <v>0</v>
      </c>
      <c r="F98" s="2982">
        <f t="shared" ref="F98" si="79">F99+F100</f>
        <v>0</v>
      </c>
      <c r="G98" s="2982">
        <f>G99+G100</f>
        <v>307386</v>
      </c>
      <c r="H98" s="2982">
        <f t="shared" ref="H98" si="80">H99+H100</f>
        <v>407950</v>
      </c>
      <c r="I98" s="2982">
        <f t="shared" ref="I98" si="81">I99+I100</f>
        <v>0</v>
      </c>
      <c r="J98" s="2982">
        <f t="shared" ref="J98" si="82">J99+J100</f>
        <v>0</v>
      </c>
      <c r="K98" s="2982">
        <f t="shared" ref="K98" si="83">K99+K100</f>
        <v>0</v>
      </c>
      <c r="L98" s="2982">
        <f t="shared" ref="L98" si="84">L99+L100</f>
        <v>0</v>
      </c>
      <c r="M98" s="1598">
        <f>SUM(F98:K98)</f>
        <v>715336</v>
      </c>
      <c r="N98" s="2538">
        <f>SUM(G98:L98)</f>
        <v>715336</v>
      </c>
      <c r="O98" s="3358"/>
    </row>
    <row r="99" spans="1:15" s="2287" customFormat="1" ht="15" hidden="1" customHeight="1">
      <c r="A99" s="4000"/>
      <c r="B99" s="2983" t="s">
        <v>705</v>
      </c>
      <c r="C99" s="3347"/>
      <c r="D99" s="2984">
        <f>E99+F99+G99+H99+I99+J99+K99+L99</f>
        <v>302171</v>
      </c>
      <c r="E99" s="2985"/>
      <c r="F99" s="2986"/>
      <c r="G99" s="2986">
        <v>302171</v>
      </c>
      <c r="H99" s="2986">
        <v>0</v>
      </c>
      <c r="I99" s="2986">
        <v>0</v>
      </c>
      <c r="J99" s="2986">
        <v>0</v>
      </c>
      <c r="K99" s="2986">
        <v>0</v>
      </c>
      <c r="L99" s="2986">
        <v>0</v>
      </c>
      <c r="M99" s="2987"/>
      <c r="N99" s="2538">
        <f>SUM(G99:L99)</f>
        <v>302171</v>
      </c>
      <c r="O99" s="3358"/>
    </row>
    <row r="100" spans="1:15" s="2287" customFormat="1" ht="15" hidden="1" customHeight="1">
      <c r="A100" s="4000"/>
      <c r="B100" s="2988" t="s">
        <v>219</v>
      </c>
      <c r="C100" s="3347"/>
      <c r="D100" s="2989">
        <f>E100+F100+G100+H100+I100+J100+K100+L100</f>
        <v>413165</v>
      </c>
      <c r="E100" s="2990"/>
      <c r="F100" s="2991"/>
      <c r="G100" s="2991">
        <v>5215</v>
      </c>
      <c r="H100" s="2991">
        <f>421828-13878</f>
        <v>407950</v>
      </c>
      <c r="I100" s="2991">
        <v>0</v>
      </c>
      <c r="J100" s="2991">
        <v>0</v>
      </c>
      <c r="K100" s="2991">
        <v>0</v>
      </c>
      <c r="L100" s="2991">
        <v>0</v>
      </c>
      <c r="M100" s="2987"/>
      <c r="N100" s="2538">
        <f>SUM(G100:L100)</f>
        <v>413165</v>
      </c>
      <c r="O100" s="3358"/>
    </row>
    <row r="101" spans="1:15" s="2287" customFormat="1" ht="15" customHeight="1">
      <c r="A101" s="4027"/>
      <c r="B101" s="1292" t="s">
        <v>18</v>
      </c>
      <c r="C101" s="3347"/>
      <c r="D101" s="1288">
        <f>D102</f>
        <v>4053570</v>
      </c>
      <c r="E101" s="1288">
        <f t="shared" ref="E101:L101" si="85">E102</f>
        <v>0</v>
      </c>
      <c r="F101" s="1288">
        <f t="shared" si="85"/>
        <v>0</v>
      </c>
      <c r="G101" s="1288">
        <f t="shared" si="85"/>
        <v>1741848</v>
      </c>
      <c r="H101" s="1288">
        <f t="shared" si="85"/>
        <v>2311722</v>
      </c>
      <c r="I101" s="1288">
        <f t="shared" si="85"/>
        <v>0</v>
      </c>
      <c r="J101" s="1288">
        <f t="shared" si="85"/>
        <v>0</v>
      </c>
      <c r="K101" s="1288">
        <f t="shared" si="85"/>
        <v>0</v>
      </c>
      <c r="L101" s="1288">
        <f t="shared" si="85"/>
        <v>0</v>
      </c>
      <c r="M101" s="1289">
        <f>+M102</f>
        <v>4053570</v>
      </c>
      <c r="N101" s="2537">
        <f>+N102</f>
        <v>4053570</v>
      </c>
      <c r="O101" s="3358"/>
    </row>
    <row r="102" spans="1:15" s="2287" customFormat="1" ht="15" customHeight="1">
      <c r="A102" s="3996"/>
      <c r="B102" s="3229" t="s">
        <v>20</v>
      </c>
      <c r="C102" s="3348"/>
      <c r="D102" s="2982">
        <f t="shared" ref="D102" si="86">D103+D104</f>
        <v>4053570</v>
      </c>
      <c r="E102" s="2982">
        <f t="shared" ref="E102" si="87">E103+E104</f>
        <v>0</v>
      </c>
      <c r="F102" s="2982">
        <f t="shared" ref="F102" si="88">F103+F104</f>
        <v>0</v>
      </c>
      <c r="G102" s="2982">
        <f>G103+G104</f>
        <v>1741848</v>
      </c>
      <c r="H102" s="2982">
        <f t="shared" ref="H102" si="89">H103+H104</f>
        <v>2311722</v>
      </c>
      <c r="I102" s="2982">
        <f t="shared" ref="I102" si="90">I103+I104</f>
        <v>0</v>
      </c>
      <c r="J102" s="2982">
        <f t="shared" ref="J102" si="91">J103+J104</f>
        <v>0</v>
      </c>
      <c r="K102" s="2982">
        <f t="shared" ref="K102" si="92">K103+K104</f>
        <v>0</v>
      </c>
      <c r="L102" s="2982">
        <f t="shared" ref="L102" si="93">L103+L104</f>
        <v>0</v>
      </c>
      <c r="M102" s="1598">
        <f>SUM(F102:K102)</f>
        <v>4053570</v>
      </c>
      <c r="N102" s="2538">
        <f>SUM(G102:L102)</f>
        <v>4053570</v>
      </c>
      <c r="O102" s="3931"/>
    </row>
    <row r="103" spans="1:15" s="2287" customFormat="1" ht="15" hidden="1" customHeight="1">
      <c r="A103" s="3996"/>
      <c r="B103" s="2983" t="s">
        <v>705</v>
      </c>
      <c r="C103" s="3225"/>
      <c r="D103" s="2984">
        <f>E103+F103+G103+H103+I103+J103+K103+L103</f>
        <v>1712302</v>
      </c>
      <c r="E103" s="2985"/>
      <c r="F103" s="2986"/>
      <c r="G103" s="2986">
        <v>1712302</v>
      </c>
      <c r="H103" s="2986">
        <v>0</v>
      </c>
      <c r="I103" s="2986">
        <v>0</v>
      </c>
      <c r="J103" s="2986">
        <v>0</v>
      </c>
      <c r="K103" s="2986">
        <v>0</v>
      </c>
      <c r="L103" s="2986">
        <v>0</v>
      </c>
      <c r="M103" s="2992"/>
      <c r="N103" s="2538">
        <f>SUM(G103:L103)</f>
        <v>1712302</v>
      </c>
      <c r="O103" s="3228"/>
    </row>
    <row r="104" spans="1:15" s="2287" customFormat="1" ht="15" hidden="1" customHeight="1">
      <c r="A104" s="3996"/>
      <c r="B104" s="2988" t="s">
        <v>219</v>
      </c>
      <c r="C104" s="3225"/>
      <c r="D104" s="2989">
        <f>E104+F104+G104+H104+I104+J104+K104+L104</f>
        <v>2341268</v>
      </c>
      <c r="E104" s="2990"/>
      <c r="F104" s="2991"/>
      <c r="G104" s="2991">
        <v>29546</v>
      </c>
      <c r="H104" s="2991">
        <f>2390362-78640</f>
        <v>2311722</v>
      </c>
      <c r="I104" s="2991">
        <v>0</v>
      </c>
      <c r="J104" s="2991">
        <v>0</v>
      </c>
      <c r="K104" s="2991">
        <v>0</v>
      </c>
      <c r="L104" s="2991">
        <v>0</v>
      </c>
      <c r="M104" s="2992"/>
      <c r="N104" s="2538">
        <f>SUM(G104:L104)</f>
        <v>2341268</v>
      </c>
      <c r="O104" s="3228"/>
    </row>
    <row r="105" spans="1:15" s="2287" customFormat="1" ht="15" customHeight="1">
      <c r="A105" s="4000"/>
      <c r="B105" s="2073" t="s">
        <v>21</v>
      </c>
      <c r="C105" s="2495"/>
      <c r="D105" s="1285">
        <f t="shared" ref="D105:L106" si="94">D106</f>
        <v>4053570</v>
      </c>
      <c r="E105" s="1285">
        <f t="shared" ref="E105:E106" si="95">+E106</f>
        <v>0</v>
      </c>
      <c r="F105" s="1285">
        <f t="shared" si="94"/>
        <v>0</v>
      </c>
      <c r="G105" s="1285">
        <f t="shared" si="94"/>
        <v>0</v>
      </c>
      <c r="H105" s="1285">
        <f t="shared" si="94"/>
        <v>4053570</v>
      </c>
      <c r="I105" s="1285">
        <f t="shared" si="94"/>
        <v>0</v>
      </c>
      <c r="J105" s="1285">
        <f t="shared" si="94"/>
        <v>0</v>
      </c>
      <c r="K105" s="1285">
        <f t="shared" si="94"/>
        <v>0</v>
      </c>
      <c r="L105" s="1285">
        <f t="shared" si="94"/>
        <v>0</v>
      </c>
      <c r="M105" s="3368" t="s">
        <v>53</v>
      </c>
      <c r="N105" s="3925" t="s">
        <v>53</v>
      </c>
      <c r="O105" s="3309" t="s">
        <v>219</v>
      </c>
    </row>
    <row r="106" spans="1:15" s="2287" customFormat="1" ht="15" customHeight="1">
      <c r="A106" s="4000"/>
      <c r="B106" s="2111" t="s">
        <v>18</v>
      </c>
      <c r="C106" s="4009" t="s">
        <v>214</v>
      </c>
      <c r="D106" s="1294">
        <f t="shared" si="94"/>
        <v>4053570</v>
      </c>
      <c r="E106" s="1294">
        <f t="shared" si="95"/>
        <v>0</v>
      </c>
      <c r="F106" s="1294">
        <f t="shared" si="94"/>
        <v>0</v>
      </c>
      <c r="G106" s="1294">
        <f t="shared" si="94"/>
        <v>0</v>
      </c>
      <c r="H106" s="1294">
        <f t="shared" si="94"/>
        <v>4053570</v>
      </c>
      <c r="I106" s="1294">
        <f t="shared" si="94"/>
        <v>0</v>
      </c>
      <c r="J106" s="1294">
        <f t="shared" si="94"/>
        <v>0</v>
      </c>
      <c r="K106" s="1294">
        <f t="shared" si="94"/>
        <v>0</v>
      </c>
      <c r="L106" s="1294">
        <f t="shared" si="94"/>
        <v>0</v>
      </c>
      <c r="M106" s="3366"/>
      <c r="N106" s="3926"/>
      <c r="O106" s="3309"/>
    </row>
    <row r="107" spans="1:15" s="2287" customFormat="1" ht="15" customHeight="1" thickBot="1">
      <c r="A107" s="4013"/>
      <c r="B107" s="2727" t="s">
        <v>20</v>
      </c>
      <c r="C107" s="3525"/>
      <c r="D107" s="1570">
        <f>E107+F107+G107+H107+I107+J107+K107+L107</f>
        <v>4053570</v>
      </c>
      <c r="E107" s="1955">
        <v>0</v>
      </c>
      <c r="F107" s="1586">
        <f>6462083-2818040-3644043</f>
        <v>0</v>
      </c>
      <c r="G107" s="1586">
        <v>0</v>
      </c>
      <c r="H107" s="1586">
        <f>4132210-78640</f>
        <v>4053570</v>
      </c>
      <c r="I107" s="1586">
        <v>0</v>
      </c>
      <c r="J107" s="1586">
        <v>0</v>
      </c>
      <c r="K107" s="1586">
        <v>0</v>
      </c>
      <c r="L107" s="1586">
        <v>0</v>
      </c>
      <c r="M107" s="3367"/>
      <c r="N107" s="3927"/>
      <c r="O107" s="3310"/>
    </row>
    <row r="108" spans="1:15" s="2287" customFormat="1" ht="31.5" customHeight="1">
      <c r="A108" s="3995" t="s">
        <v>81</v>
      </c>
      <c r="B108" s="179" t="s">
        <v>748</v>
      </c>
      <c r="C108" s="2654" t="s">
        <v>101</v>
      </c>
      <c r="D108" s="1193"/>
      <c r="E108" s="2672"/>
      <c r="F108" s="2673"/>
      <c r="G108" s="2673"/>
      <c r="H108" s="2673"/>
      <c r="I108" s="2659"/>
      <c r="J108" s="2659"/>
      <c r="K108" s="2659"/>
      <c r="L108" s="2660"/>
      <c r="M108" s="1194"/>
      <c r="N108" s="1194"/>
      <c r="O108" s="3404" t="s">
        <v>288</v>
      </c>
    </row>
    <row r="109" spans="1:15" s="2287" customFormat="1" ht="15" customHeight="1">
      <c r="A109" s="4000"/>
      <c r="B109" s="1283" t="s">
        <v>10</v>
      </c>
      <c r="C109" s="2994"/>
      <c r="D109" s="1285">
        <f>+D110+D112</f>
        <v>197671</v>
      </c>
      <c r="E109" s="1285">
        <f t="shared" ref="E109" si="96">+E110+E112</f>
        <v>0</v>
      </c>
      <c r="F109" s="1580">
        <f>+F110+F112</f>
        <v>0</v>
      </c>
      <c r="G109" s="1285">
        <f>+G110+G112</f>
        <v>77408</v>
      </c>
      <c r="H109" s="1285">
        <f>+H110+H112</f>
        <v>120263</v>
      </c>
      <c r="I109" s="1285"/>
      <c r="J109" s="1285"/>
      <c r="K109" s="1285"/>
      <c r="L109" s="1285"/>
      <c r="M109" s="1286">
        <f>M110+M112</f>
        <v>197671</v>
      </c>
      <c r="N109" s="1286">
        <f>N110+N112</f>
        <v>197671</v>
      </c>
      <c r="O109" s="3309"/>
    </row>
    <row r="110" spans="1:15" s="2287" customFormat="1" ht="15" customHeight="1">
      <c r="A110" s="4000"/>
      <c r="B110" s="1287" t="s">
        <v>23</v>
      </c>
      <c r="C110" s="3351" t="s">
        <v>140</v>
      </c>
      <c r="D110" s="1288">
        <f>D111</f>
        <v>29651</v>
      </c>
      <c r="E110" s="1642">
        <f t="shared" ref="E110:H110" si="97">E111</f>
        <v>0</v>
      </c>
      <c r="F110" s="2995">
        <f t="shared" si="97"/>
        <v>0</v>
      </c>
      <c r="G110" s="2726">
        <f t="shared" si="97"/>
        <v>11611</v>
      </c>
      <c r="H110" s="2726">
        <f t="shared" si="97"/>
        <v>18040</v>
      </c>
      <c r="I110" s="1293"/>
      <c r="J110" s="1293"/>
      <c r="K110" s="1293"/>
      <c r="L110" s="1293"/>
      <c r="M110" s="1289">
        <f>M111</f>
        <v>29651</v>
      </c>
      <c r="N110" s="1289">
        <f>N111</f>
        <v>29651</v>
      </c>
      <c r="O110" s="3309"/>
    </row>
    <row r="111" spans="1:15" s="2287" customFormat="1" ht="15" customHeight="1">
      <c r="A111" s="4000"/>
      <c r="B111" s="1290" t="s">
        <v>12</v>
      </c>
      <c r="C111" s="3347"/>
      <c r="D111" s="1216">
        <f>E111+F111+G111+H111+I111+J111+K111+L111</f>
        <v>29651</v>
      </c>
      <c r="E111" s="1216">
        <v>0</v>
      </c>
      <c r="F111" s="1643">
        <f>225000-225000</f>
        <v>0</v>
      </c>
      <c r="G111" s="1291">
        <v>11611</v>
      </c>
      <c r="H111" s="1291">
        <v>18040</v>
      </c>
      <c r="I111" s="1291"/>
      <c r="J111" s="1291"/>
      <c r="K111" s="1291"/>
      <c r="L111" s="1291"/>
      <c r="M111" s="1598">
        <f>SUM(F111:K111)</f>
        <v>29651</v>
      </c>
      <c r="N111" s="1598">
        <f>SUM(G111:L111)</f>
        <v>29651</v>
      </c>
      <c r="O111" s="3309"/>
    </row>
    <row r="112" spans="1:15" s="2287" customFormat="1" ht="15" customHeight="1">
      <c r="A112" s="4000"/>
      <c r="B112" s="1292" t="s">
        <v>18</v>
      </c>
      <c r="C112" s="3347"/>
      <c r="D112" s="1288">
        <f>+D113</f>
        <v>168020</v>
      </c>
      <c r="E112" s="1642">
        <f t="shared" ref="E112" si="98">+E113</f>
        <v>0</v>
      </c>
      <c r="F112" s="2995">
        <f>F113</f>
        <v>0</v>
      </c>
      <c r="G112" s="2726">
        <f>G113</f>
        <v>65797</v>
      </c>
      <c r="H112" s="2726">
        <f>H113</f>
        <v>102223</v>
      </c>
      <c r="I112" s="1293"/>
      <c r="J112" s="1293"/>
      <c r="K112" s="1293"/>
      <c r="L112" s="1293"/>
      <c r="M112" s="1963">
        <f>+M113</f>
        <v>168020</v>
      </c>
      <c r="N112" s="1963">
        <f>+N113</f>
        <v>168020</v>
      </c>
      <c r="O112" s="3309"/>
    </row>
    <row r="113" spans="1:15" s="2287" customFormat="1" ht="15" customHeight="1">
      <c r="A113" s="4000"/>
      <c r="B113" s="3229" t="s">
        <v>20</v>
      </c>
      <c r="C113" s="3348"/>
      <c r="D113" s="1216">
        <f>E113+F113+G113+H113+I113+J113+K113+L113</f>
        <v>168020</v>
      </c>
      <c r="E113" s="1216">
        <v>0</v>
      </c>
      <c r="F113" s="1643">
        <f>1275000-1275000</f>
        <v>0</v>
      </c>
      <c r="G113" s="1291">
        <v>65797</v>
      </c>
      <c r="H113" s="1291">
        <v>102223</v>
      </c>
      <c r="I113" s="1291"/>
      <c r="J113" s="1291"/>
      <c r="K113" s="1291"/>
      <c r="L113" s="1291"/>
      <c r="M113" s="1598">
        <f>SUM(F113:K113)</f>
        <v>168020</v>
      </c>
      <c r="N113" s="1598">
        <f>SUM(G113:L113)</f>
        <v>168020</v>
      </c>
      <c r="O113" s="3414"/>
    </row>
    <row r="114" spans="1:15" s="2287" customFormat="1" ht="15" customHeight="1">
      <c r="A114" s="4000"/>
      <c r="B114" s="2073" t="s">
        <v>21</v>
      </c>
      <c r="C114" s="2495"/>
      <c r="D114" s="1285">
        <f>+D115</f>
        <v>168020</v>
      </c>
      <c r="E114" s="1285">
        <f t="shared" ref="E114:E115" si="99">+E115</f>
        <v>0</v>
      </c>
      <c r="F114" s="1580">
        <f t="shared" ref="F114:H115" si="100">F115</f>
        <v>0</v>
      </c>
      <c r="G114" s="1285">
        <f t="shared" si="100"/>
        <v>0</v>
      </c>
      <c r="H114" s="1285">
        <f t="shared" si="100"/>
        <v>168020</v>
      </c>
      <c r="I114" s="1285"/>
      <c r="J114" s="1285"/>
      <c r="K114" s="1285"/>
      <c r="L114" s="1285"/>
      <c r="M114" s="4017"/>
      <c r="N114" s="4017"/>
      <c r="O114" s="3309" t="s">
        <v>219</v>
      </c>
    </row>
    <row r="115" spans="1:15" s="2287" customFormat="1" ht="15" customHeight="1">
      <c r="A115" s="4000"/>
      <c r="B115" s="2111" t="s">
        <v>18</v>
      </c>
      <c r="C115" s="3436" t="s">
        <v>214</v>
      </c>
      <c r="D115" s="1288">
        <f>+D116</f>
        <v>168020</v>
      </c>
      <c r="E115" s="1294">
        <f t="shared" si="99"/>
        <v>0</v>
      </c>
      <c r="F115" s="1344">
        <f t="shared" si="100"/>
        <v>0</v>
      </c>
      <c r="G115" s="1294">
        <f t="shared" si="100"/>
        <v>0</v>
      </c>
      <c r="H115" s="1294">
        <f t="shared" si="100"/>
        <v>168020</v>
      </c>
      <c r="I115" s="1294"/>
      <c r="J115" s="1294"/>
      <c r="K115" s="1294"/>
      <c r="L115" s="1294"/>
      <c r="M115" s="4018"/>
      <c r="N115" s="4018"/>
      <c r="O115" s="3309"/>
    </row>
    <row r="116" spans="1:15" s="2287" customFormat="1" ht="15" customHeight="1" thickBot="1">
      <c r="A116" s="4013"/>
      <c r="B116" s="2723" t="s">
        <v>20</v>
      </c>
      <c r="C116" s="3353"/>
      <c r="D116" s="1570">
        <f>E116+F116+G116+H116+I116+J116+K116+L116</f>
        <v>168020</v>
      </c>
      <c r="E116" s="1955">
        <v>0</v>
      </c>
      <c r="F116" s="1587">
        <v>0</v>
      </c>
      <c r="G116" s="1586">
        <f>1800000-1800000</f>
        <v>0</v>
      </c>
      <c r="H116" s="1586">
        <v>168020</v>
      </c>
      <c r="I116" s="1586"/>
      <c r="J116" s="1586"/>
      <c r="K116" s="1586"/>
      <c r="L116" s="1586"/>
      <c r="M116" s="4019"/>
      <c r="N116" s="4019"/>
      <c r="O116" s="3310"/>
    </row>
    <row r="117" spans="1:15" s="2287" customFormat="1" ht="36.75" thickBot="1">
      <c r="A117" s="4013" t="s">
        <v>82</v>
      </c>
      <c r="B117" s="1964" t="s">
        <v>690</v>
      </c>
      <c r="C117" s="2863" t="s">
        <v>162</v>
      </c>
      <c r="D117" s="626"/>
      <c r="E117" s="2864"/>
      <c r="F117" s="2865"/>
      <c r="G117" s="2865"/>
      <c r="H117" s="2865"/>
      <c r="I117" s="2866"/>
      <c r="J117" s="2866"/>
      <c r="K117" s="2866"/>
      <c r="L117" s="2867"/>
      <c r="M117" s="627"/>
      <c r="N117" s="2868"/>
      <c r="O117" s="3931" t="s">
        <v>403</v>
      </c>
    </row>
    <row r="118" spans="1:15" s="2287" customFormat="1" ht="15" customHeight="1" thickBot="1">
      <c r="A118" s="3994"/>
      <c r="B118" s="1283" t="s">
        <v>10</v>
      </c>
      <c r="C118" s="2495"/>
      <c r="D118" s="1285">
        <f>D119+D121</f>
        <v>119600</v>
      </c>
      <c r="E118" s="1285">
        <f t="shared" ref="E118" si="101">E119+E121</f>
        <v>0</v>
      </c>
      <c r="F118" s="1580">
        <f t="shared" ref="F118:L118" si="102">+F121</f>
        <v>0</v>
      </c>
      <c r="G118" s="1285">
        <f>G119+G123</f>
        <v>119600</v>
      </c>
      <c r="H118" s="1285">
        <f t="shared" si="102"/>
        <v>0</v>
      </c>
      <c r="I118" s="1285">
        <f t="shared" si="102"/>
        <v>0</v>
      </c>
      <c r="J118" s="1285">
        <f t="shared" si="102"/>
        <v>0</v>
      </c>
      <c r="K118" s="1285">
        <f t="shared" si="102"/>
        <v>0</v>
      </c>
      <c r="L118" s="1285">
        <f t="shared" si="102"/>
        <v>0</v>
      </c>
      <c r="M118" s="1286">
        <f>+M121+M119</f>
        <v>119600</v>
      </c>
      <c r="N118" s="2539">
        <f>+N121+N119</f>
        <v>119600</v>
      </c>
      <c r="O118" s="3986"/>
    </row>
    <row r="119" spans="1:15" s="2287" customFormat="1" ht="15" customHeight="1">
      <c r="A119" s="4014"/>
      <c r="B119" s="1351" t="s">
        <v>23</v>
      </c>
      <c r="C119" s="3351" t="s">
        <v>211</v>
      </c>
      <c r="D119" s="1288">
        <f>D120</f>
        <v>17940</v>
      </c>
      <c r="E119" s="1642">
        <f t="shared" ref="E119:F119" si="103">E120</f>
        <v>0</v>
      </c>
      <c r="F119" s="1646">
        <f t="shared" si="103"/>
        <v>0</v>
      </c>
      <c r="G119" s="1293">
        <f>G120</f>
        <v>17940</v>
      </c>
      <c r="H119" s="1293">
        <v>0</v>
      </c>
      <c r="I119" s="1293">
        <v>0</v>
      </c>
      <c r="J119" s="1293">
        <v>0</v>
      </c>
      <c r="K119" s="1293">
        <v>0</v>
      </c>
      <c r="L119" s="1293">
        <v>0</v>
      </c>
      <c r="M119" s="2537">
        <f>M120</f>
        <v>17940</v>
      </c>
      <c r="N119" s="66">
        <f>N120</f>
        <v>17940</v>
      </c>
      <c r="O119" s="3357"/>
    </row>
    <row r="120" spans="1:15" s="2287" customFormat="1" ht="15" customHeight="1" thickBot="1">
      <c r="A120" s="3997"/>
      <c r="B120" s="2626" t="s">
        <v>12</v>
      </c>
      <c r="C120" s="3347"/>
      <c r="D120" s="1216">
        <f>E120+F120+G120+H120+I120+J120+K120+L120</f>
        <v>17940</v>
      </c>
      <c r="E120" s="1216">
        <v>0</v>
      </c>
      <c r="F120" s="1643">
        <v>0</v>
      </c>
      <c r="G120" s="1291">
        <v>17940</v>
      </c>
      <c r="H120" s="1291">
        <v>0</v>
      </c>
      <c r="I120" s="1291">
        <v>0</v>
      </c>
      <c r="J120" s="1291">
        <v>0</v>
      </c>
      <c r="K120" s="1291">
        <v>0</v>
      </c>
      <c r="L120" s="1291">
        <v>0</v>
      </c>
      <c r="M120" s="1598">
        <f>SUM(F120:K120)</f>
        <v>17940</v>
      </c>
      <c r="N120" s="2540">
        <f>SUM(G120:L120)</f>
        <v>17940</v>
      </c>
      <c r="O120" s="3359"/>
    </row>
    <row r="121" spans="1:15" s="2287" customFormat="1" ht="15" customHeight="1" thickBot="1">
      <c r="A121" s="3994"/>
      <c r="B121" s="2111" t="s">
        <v>18</v>
      </c>
      <c r="C121" s="3391"/>
      <c r="D121" s="1288">
        <f>D122</f>
        <v>101660</v>
      </c>
      <c r="E121" s="1575">
        <f t="shared" ref="E121:N121" si="104">+E122</f>
        <v>0</v>
      </c>
      <c r="F121" s="1577">
        <v>0</v>
      </c>
      <c r="G121" s="1299">
        <f>G122</f>
        <v>101660</v>
      </c>
      <c r="H121" s="1299">
        <v>0</v>
      </c>
      <c r="I121" s="1299">
        <v>0</v>
      </c>
      <c r="J121" s="1299">
        <v>0</v>
      </c>
      <c r="K121" s="1299">
        <v>0</v>
      </c>
      <c r="L121" s="1299">
        <v>0</v>
      </c>
      <c r="M121" s="1289">
        <f t="shared" si="104"/>
        <v>101660</v>
      </c>
      <c r="N121" s="2541">
        <f t="shared" si="104"/>
        <v>101660</v>
      </c>
      <c r="O121" s="3985"/>
    </row>
    <row r="122" spans="1:15" s="2287" customFormat="1" ht="15" customHeight="1" thickBot="1">
      <c r="A122" s="3994"/>
      <c r="B122" s="2722" t="s">
        <v>20</v>
      </c>
      <c r="C122" s="4015"/>
      <c r="D122" s="826">
        <f>E122+F122+G122+H122+I122+J122+K122+L122</f>
        <v>101660</v>
      </c>
      <c r="E122" s="826">
        <v>0</v>
      </c>
      <c r="F122" s="2627">
        <v>0</v>
      </c>
      <c r="G122" s="814">
        <v>101660</v>
      </c>
      <c r="H122" s="814">
        <v>0</v>
      </c>
      <c r="I122" s="814">
        <v>0</v>
      </c>
      <c r="J122" s="814">
        <v>0</v>
      </c>
      <c r="K122" s="814">
        <v>0</v>
      </c>
      <c r="L122" s="814">
        <v>0</v>
      </c>
      <c r="M122" s="2505">
        <f>SUM(F122:K122)</f>
        <v>101660</v>
      </c>
      <c r="N122" s="2540">
        <f>SUM(G122:L122)</f>
        <v>101660</v>
      </c>
      <c r="O122" s="3931"/>
    </row>
    <row r="123" spans="1:15" s="2287" customFormat="1" ht="15" customHeight="1">
      <c r="A123" s="3996"/>
      <c r="B123" s="2437" t="s">
        <v>21</v>
      </c>
      <c r="C123" s="2620"/>
      <c r="D123" s="2624">
        <f t="shared" ref="D123:L124" si="105">D124</f>
        <v>101660</v>
      </c>
      <c r="E123" s="2625">
        <f t="shared" ref="E123:E124" si="106">+E124</f>
        <v>0</v>
      </c>
      <c r="F123" s="1954">
        <v>0</v>
      </c>
      <c r="G123" s="1154">
        <f t="shared" si="105"/>
        <v>101660</v>
      </c>
      <c r="H123" s="2625">
        <f t="shared" si="105"/>
        <v>0</v>
      </c>
      <c r="I123" s="2625">
        <f t="shared" si="105"/>
        <v>0</v>
      </c>
      <c r="J123" s="1154">
        <f t="shared" si="105"/>
        <v>0</v>
      </c>
      <c r="K123" s="1154">
        <f t="shared" si="105"/>
        <v>0</v>
      </c>
      <c r="L123" s="1154">
        <f t="shared" si="105"/>
        <v>0</v>
      </c>
      <c r="M123" s="4029" t="s">
        <v>53</v>
      </c>
      <c r="N123" s="3925" t="s">
        <v>53</v>
      </c>
      <c r="O123" s="3992" t="s">
        <v>219</v>
      </c>
    </row>
    <row r="124" spans="1:15" s="2287" customFormat="1" ht="15" customHeight="1">
      <c r="A124" s="3996"/>
      <c r="B124" s="2619" t="s">
        <v>18</v>
      </c>
      <c r="C124" s="4016" t="s">
        <v>214</v>
      </c>
      <c r="D124" s="2621">
        <f t="shared" si="105"/>
        <v>101660</v>
      </c>
      <c r="E124" s="1647">
        <f t="shared" si="106"/>
        <v>0</v>
      </c>
      <c r="F124" s="2622">
        <f t="shared" si="105"/>
        <v>0</v>
      </c>
      <c r="G124" s="1647">
        <f t="shared" si="105"/>
        <v>101660</v>
      </c>
      <c r="H124" s="1647">
        <f t="shared" si="105"/>
        <v>0</v>
      </c>
      <c r="I124" s="1647">
        <f t="shared" si="105"/>
        <v>0</v>
      </c>
      <c r="J124" s="1647">
        <f t="shared" si="105"/>
        <v>0</v>
      </c>
      <c r="K124" s="1647">
        <f t="shared" si="105"/>
        <v>0</v>
      </c>
      <c r="L124" s="1647">
        <f t="shared" si="105"/>
        <v>0</v>
      </c>
      <c r="M124" s="3626"/>
      <c r="N124" s="3626"/>
      <c r="O124" s="3358"/>
    </row>
    <row r="125" spans="1:15" s="2287" customFormat="1" ht="15" customHeight="1" thickBot="1">
      <c r="A125" s="3996"/>
      <c r="B125" s="2727" t="s">
        <v>20</v>
      </c>
      <c r="C125" s="3983"/>
      <c r="D125" s="2623">
        <f>E125+F125+G125+H125+I125+J125+K125+L125</f>
        <v>101660</v>
      </c>
      <c r="E125" s="1570">
        <v>0</v>
      </c>
      <c r="F125" s="1587">
        <v>0</v>
      </c>
      <c r="G125" s="1586">
        <v>101660</v>
      </c>
      <c r="H125" s="1586">
        <v>0</v>
      </c>
      <c r="I125" s="1586">
        <v>0</v>
      </c>
      <c r="J125" s="1586">
        <v>0</v>
      </c>
      <c r="K125" s="1586">
        <v>0</v>
      </c>
      <c r="L125" s="1586">
        <v>0</v>
      </c>
      <c r="M125" s="3987"/>
      <c r="N125" s="3987"/>
      <c r="O125" s="3359"/>
    </row>
    <row r="126" spans="1:15" s="2287" customFormat="1" ht="39.75" customHeight="1">
      <c r="A126" s="4000" t="s">
        <v>83</v>
      </c>
      <c r="B126" s="179" t="s">
        <v>726</v>
      </c>
      <c r="C126" s="2728" t="s">
        <v>74</v>
      </c>
      <c r="D126" s="612"/>
      <c r="E126" s="2661"/>
      <c r="F126" s="2655"/>
      <c r="G126" s="2655"/>
      <c r="H126" s="2655"/>
      <c r="I126" s="1966"/>
      <c r="J126" s="1966"/>
      <c r="K126" s="1966"/>
      <c r="L126" s="1966"/>
      <c r="M126" s="2729"/>
      <c r="N126" s="2730"/>
      <c r="O126" s="3358" t="s">
        <v>403</v>
      </c>
    </row>
    <row r="127" spans="1:15" s="2287" customFormat="1" ht="15" customHeight="1" thickBot="1">
      <c r="A127" s="3997"/>
      <c r="B127" s="80" t="s">
        <v>10</v>
      </c>
      <c r="C127" s="183"/>
      <c r="D127" s="97">
        <f t="shared" ref="D127" si="107">D128+D131</f>
        <v>11507147</v>
      </c>
      <c r="E127" s="97">
        <f t="shared" ref="E127" si="108">E128+E131</f>
        <v>250844</v>
      </c>
      <c r="F127" s="97">
        <f>F128+F131</f>
        <v>113780</v>
      </c>
      <c r="G127" s="97">
        <f>G128+G131</f>
        <v>11142523</v>
      </c>
      <c r="H127" s="97">
        <f>+H131</f>
        <v>0</v>
      </c>
      <c r="I127" s="97">
        <f>+I131</f>
        <v>0</v>
      </c>
      <c r="J127" s="97">
        <f>+J131</f>
        <v>0</v>
      </c>
      <c r="K127" s="97">
        <f>+K131</f>
        <v>0</v>
      </c>
      <c r="L127" s="97">
        <f>+L131</f>
        <v>0</v>
      </c>
      <c r="M127" s="1142">
        <f>M128+M131</f>
        <v>11256303</v>
      </c>
      <c r="N127" s="2731">
        <f>N128+N131</f>
        <v>11142523</v>
      </c>
      <c r="O127" s="3359"/>
    </row>
    <row r="128" spans="1:15" s="2287" customFormat="1" ht="15" customHeight="1" thickBot="1">
      <c r="A128" s="3994"/>
      <c r="B128" s="2111" t="s">
        <v>23</v>
      </c>
      <c r="C128" s="3922" t="s">
        <v>211</v>
      </c>
      <c r="D128" s="1288">
        <f>D129+D130</f>
        <v>1726072</v>
      </c>
      <c r="E128" s="1288">
        <f t="shared" ref="E128" si="109">E129+E130</f>
        <v>37627</v>
      </c>
      <c r="F128" s="1288">
        <f t="shared" ref="F128:L128" si="110">F129+F130</f>
        <v>17067</v>
      </c>
      <c r="G128" s="1288">
        <f t="shared" si="110"/>
        <v>1671378</v>
      </c>
      <c r="H128" s="1288">
        <f t="shared" si="110"/>
        <v>0</v>
      </c>
      <c r="I128" s="1288">
        <f t="shared" si="110"/>
        <v>0</v>
      </c>
      <c r="J128" s="1288">
        <f t="shared" si="110"/>
        <v>0</v>
      </c>
      <c r="K128" s="1288">
        <f t="shared" si="110"/>
        <v>0</v>
      </c>
      <c r="L128" s="1288">
        <f t="shared" si="110"/>
        <v>0</v>
      </c>
      <c r="M128" s="1289">
        <f>M129+M130</f>
        <v>1688445</v>
      </c>
      <c r="N128" s="2537">
        <f>N129+N130</f>
        <v>1671378</v>
      </c>
      <c r="O128" s="3984"/>
    </row>
    <row r="129" spans="1:16" s="2287" customFormat="1" ht="15" customHeight="1" thickBot="1">
      <c r="A129" s="3994"/>
      <c r="B129" s="2709" t="s">
        <v>12</v>
      </c>
      <c r="C129" s="3998"/>
      <c r="D129" s="1216">
        <f>E129+F129+G129+H129+I129+J129+K129+L129</f>
        <v>1406072</v>
      </c>
      <c r="E129" s="1216">
        <f>250844-213217</f>
        <v>37627</v>
      </c>
      <c r="F129" s="1291">
        <f>114186-97119</f>
        <v>17067</v>
      </c>
      <c r="G129" s="1291">
        <f>728299+623079</f>
        <v>1351378</v>
      </c>
      <c r="H129" s="1291">
        <v>0</v>
      </c>
      <c r="I129" s="1291">
        <v>0</v>
      </c>
      <c r="J129" s="1291">
        <v>0</v>
      </c>
      <c r="K129" s="1291">
        <v>0</v>
      </c>
      <c r="L129" s="1291">
        <v>0</v>
      </c>
      <c r="M129" s="1598">
        <f>SUM(F129:K129)</f>
        <v>1368445</v>
      </c>
      <c r="N129" s="2538">
        <f>SUM(G129:L129)</f>
        <v>1351378</v>
      </c>
      <c r="O129" s="3984"/>
      <c r="P129" s="2290"/>
    </row>
    <row r="130" spans="1:16" s="2287" customFormat="1" ht="15" customHeight="1" thickBot="1">
      <c r="A130" s="3994"/>
      <c r="B130" s="2709" t="s">
        <v>54</v>
      </c>
      <c r="C130" s="3998"/>
      <c r="D130" s="1216">
        <f>E130+F130+G130+H130+I130+J130+K130+L130</f>
        <v>320000</v>
      </c>
      <c r="E130" s="1216">
        <v>0</v>
      </c>
      <c r="F130" s="1291">
        <f>100000-100000</f>
        <v>0</v>
      </c>
      <c r="G130" s="1291">
        <f>900000-580000</f>
        <v>320000</v>
      </c>
      <c r="H130" s="1291">
        <v>0</v>
      </c>
      <c r="I130" s="1291">
        <v>0</v>
      </c>
      <c r="J130" s="1291">
        <v>0</v>
      </c>
      <c r="K130" s="1291">
        <v>0</v>
      </c>
      <c r="L130" s="1291">
        <v>0</v>
      </c>
      <c r="M130" s="1598">
        <f>SUM(F130:K130)</f>
        <v>320000</v>
      </c>
      <c r="N130" s="2538">
        <f>SUM(G130:L130)</f>
        <v>320000</v>
      </c>
      <c r="O130" s="3984"/>
      <c r="P130" s="2290"/>
    </row>
    <row r="131" spans="1:16" s="2287" customFormat="1" ht="15" customHeight="1" thickBot="1">
      <c r="A131" s="3994"/>
      <c r="B131" s="2111" t="s">
        <v>18</v>
      </c>
      <c r="C131" s="3998"/>
      <c r="D131" s="1288">
        <f>D132</f>
        <v>9781075</v>
      </c>
      <c r="E131" s="1642">
        <f t="shared" ref="E131:N131" si="111">+E132</f>
        <v>213217</v>
      </c>
      <c r="F131" s="1293">
        <f>F132</f>
        <v>96713</v>
      </c>
      <c r="G131" s="1293">
        <f>G132</f>
        <v>9471145</v>
      </c>
      <c r="H131" s="1293">
        <v>0</v>
      </c>
      <c r="I131" s="1293">
        <v>0</v>
      </c>
      <c r="J131" s="1293">
        <v>0</v>
      </c>
      <c r="K131" s="1293">
        <v>0</v>
      </c>
      <c r="L131" s="1293">
        <v>0</v>
      </c>
      <c r="M131" s="1289">
        <f t="shared" si="111"/>
        <v>9567858</v>
      </c>
      <c r="N131" s="2537">
        <f t="shared" si="111"/>
        <v>9471145</v>
      </c>
      <c r="O131" s="3984"/>
    </row>
    <row r="132" spans="1:16" s="2287" customFormat="1" ht="15" customHeight="1" thickBot="1">
      <c r="A132" s="3994"/>
      <c r="B132" s="2732" t="s">
        <v>20</v>
      </c>
      <c r="C132" s="3923"/>
      <c r="D132" s="1216">
        <f>E132+F132+G132+H132+I132+J132+K132+L132</f>
        <v>9781075</v>
      </c>
      <c r="E132" s="1216">
        <f>213217</f>
        <v>213217</v>
      </c>
      <c r="F132" s="1291">
        <f>96713</f>
        <v>96713</v>
      </c>
      <c r="G132" s="1291">
        <f>11862203-2391058</f>
        <v>9471145</v>
      </c>
      <c r="H132" s="1291">
        <v>0</v>
      </c>
      <c r="I132" s="1291">
        <v>0</v>
      </c>
      <c r="J132" s="1291">
        <v>0</v>
      </c>
      <c r="K132" s="1291">
        <v>0</v>
      </c>
      <c r="L132" s="1291">
        <v>0</v>
      </c>
      <c r="M132" s="1598">
        <f>SUM(F132:K132)</f>
        <v>9567858</v>
      </c>
      <c r="N132" s="2538">
        <f>SUM(G132:L132)</f>
        <v>9471145</v>
      </c>
      <c r="O132" s="3985"/>
    </row>
    <row r="133" spans="1:16" s="2287" customFormat="1" ht="15" customHeight="1" thickBot="1">
      <c r="A133" s="3994"/>
      <c r="B133" s="2073" t="s">
        <v>21</v>
      </c>
      <c r="C133" s="2733"/>
      <c r="D133" s="1285">
        <f>D136+D134</f>
        <v>10101075</v>
      </c>
      <c r="E133" s="1285">
        <f>E136+E134</f>
        <v>0</v>
      </c>
      <c r="F133" s="1285">
        <f>F136+F134</f>
        <v>0</v>
      </c>
      <c r="G133" s="1285">
        <f>G136+G134</f>
        <v>10101075</v>
      </c>
      <c r="H133" s="1285">
        <f>H136</f>
        <v>0</v>
      </c>
      <c r="I133" s="1285">
        <f>I136</f>
        <v>0</v>
      </c>
      <c r="J133" s="1285">
        <f>J136</f>
        <v>0</v>
      </c>
      <c r="K133" s="1285">
        <f>K136</f>
        <v>0</v>
      </c>
      <c r="L133" s="1285">
        <f>L136</f>
        <v>0</v>
      </c>
      <c r="M133" s="3368" t="s">
        <v>53</v>
      </c>
      <c r="N133" s="3925" t="s">
        <v>53</v>
      </c>
      <c r="O133" s="3359" t="s">
        <v>219</v>
      </c>
    </row>
    <row r="134" spans="1:16" s="2287" customFormat="1" ht="15" customHeight="1" thickBot="1">
      <c r="A134" s="3994"/>
      <c r="B134" s="2111" t="s">
        <v>11</v>
      </c>
      <c r="C134" s="4030" t="s">
        <v>211</v>
      </c>
      <c r="D134" s="2734">
        <f>SUM(E134:L134)</f>
        <v>320000</v>
      </c>
      <c r="E134" s="2734">
        <f>E135</f>
        <v>0</v>
      </c>
      <c r="F134" s="2734">
        <f>F135</f>
        <v>0</v>
      </c>
      <c r="G134" s="2734">
        <f>G135</f>
        <v>320000</v>
      </c>
      <c r="H134" s="2734">
        <f t="shared" ref="H134:L134" si="112">H135</f>
        <v>0</v>
      </c>
      <c r="I134" s="2734">
        <f t="shared" si="112"/>
        <v>0</v>
      </c>
      <c r="J134" s="2734">
        <f t="shared" si="112"/>
        <v>0</v>
      </c>
      <c r="K134" s="2734">
        <f t="shared" si="112"/>
        <v>0</v>
      </c>
      <c r="L134" s="2734">
        <f t="shared" si="112"/>
        <v>0</v>
      </c>
      <c r="M134" s="3366"/>
      <c r="N134" s="3926"/>
      <c r="O134" s="3984"/>
    </row>
    <row r="135" spans="1:16" s="2287" customFormat="1" ht="15" customHeight="1">
      <c r="A135" s="4014"/>
      <c r="B135" s="2735" t="s">
        <v>54</v>
      </c>
      <c r="C135" s="4031"/>
      <c r="D135" s="1216">
        <f>E135+F135+G135+H135+I135+J135+K135+L135</f>
        <v>320000</v>
      </c>
      <c r="E135" s="1216">
        <v>0</v>
      </c>
      <c r="F135" s="2736">
        <f>100000-100000</f>
        <v>0</v>
      </c>
      <c r="G135" s="2736">
        <f>900000-580000</f>
        <v>320000</v>
      </c>
      <c r="H135" s="2734">
        <v>0</v>
      </c>
      <c r="I135" s="2734">
        <v>0</v>
      </c>
      <c r="J135" s="2734">
        <v>0</v>
      </c>
      <c r="K135" s="2734">
        <v>0</v>
      </c>
      <c r="L135" s="2734">
        <v>0</v>
      </c>
      <c r="M135" s="3366"/>
      <c r="N135" s="3926"/>
      <c r="O135" s="3357"/>
    </row>
    <row r="136" spans="1:16" s="2287" customFormat="1" ht="15" customHeight="1">
      <c r="A136" s="3996"/>
      <c r="B136" s="2111" t="s">
        <v>18</v>
      </c>
      <c r="C136" s="4032" t="s">
        <v>214</v>
      </c>
      <c r="D136" s="1294">
        <f t="shared" ref="D136:L136" si="113">D137</f>
        <v>9781075</v>
      </c>
      <c r="E136" s="1294">
        <f t="shared" ref="E136" si="114">+E137</f>
        <v>0</v>
      </c>
      <c r="F136" s="1294">
        <f t="shared" si="113"/>
        <v>0</v>
      </c>
      <c r="G136" s="1294">
        <f t="shared" si="113"/>
        <v>9781075</v>
      </c>
      <c r="H136" s="1294">
        <f t="shared" si="113"/>
        <v>0</v>
      </c>
      <c r="I136" s="1294">
        <f t="shared" si="113"/>
        <v>0</v>
      </c>
      <c r="J136" s="1294">
        <f t="shared" si="113"/>
        <v>0</v>
      </c>
      <c r="K136" s="1294">
        <f t="shared" si="113"/>
        <v>0</v>
      </c>
      <c r="L136" s="1294">
        <f t="shared" si="113"/>
        <v>0</v>
      </c>
      <c r="M136" s="3366"/>
      <c r="N136" s="3926"/>
      <c r="O136" s="3358"/>
    </row>
    <row r="137" spans="1:16" s="2287" customFormat="1" ht="15" customHeight="1" thickBot="1">
      <c r="A137" s="3997"/>
      <c r="B137" s="2727" t="s">
        <v>20</v>
      </c>
      <c r="C137" s="4033"/>
      <c r="D137" s="1955">
        <f>E137+F137+G137+H137+I137+J137+K137+L137</f>
        <v>9781075</v>
      </c>
      <c r="E137" s="1955">
        <v>0</v>
      </c>
      <c r="F137" s="1586">
        <f>2437304+323000-2760304</f>
        <v>0</v>
      </c>
      <c r="G137" s="1586">
        <f>8889087+212812+2760304-2081128</f>
        <v>9781075</v>
      </c>
      <c r="H137" s="1586">
        <v>0</v>
      </c>
      <c r="I137" s="1586">
        <v>0</v>
      </c>
      <c r="J137" s="1586">
        <v>0</v>
      </c>
      <c r="K137" s="1586">
        <v>0</v>
      </c>
      <c r="L137" s="1586">
        <v>0</v>
      </c>
      <c r="M137" s="3367"/>
      <c r="N137" s="3927"/>
      <c r="O137" s="3359"/>
    </row>
    <row r="138" spans="1:16" s="2287" customFormat="1" ht="40.5" customHeight="1">
      <c r="A138" s="4000" t="s">
        <v>84</v>
      </c>
      <c r="B138" s="1964" t="s">
        <v>689</v>
      </c>
      <c r="C138" s="246" t="s">
        <v>162</v>
      </c>
      <c r="D138" s="613"/>
      <c r="E138" s="613"/>
      <c r="F138" s="613"/>
      <c r="G138" s="613"/>
      <c r="H138" s="613"/>
      <c r="I138" s="613"/>
      <c r="J138" s="613"/>
      <c r="K138" s="613"/>
      <c r="L138" s="613"/>
      <c r="M138" s="613"/>
      <c r="N138" s="613"/>
      <c r="O138" s="3358" t="s">
        <v>411</v>
      </c>
    </row>
    <row r="139" spans="1:16" s="2287" customFormat="1" ht="15" customHeight="1">
      <c r="A139" s="3996"/>
      <c r="B139" s="1283" t="s">
        <v>10</v>
      </c>
      <c r="C139" s="2495"/>
      <c r="D139" s="1285">
        <f>D140+D144</f>
        <v>318209</v>
      </c>
      <c r="E139" s="1285">
        <f t="shared" ref="E139" si="115">E140+E144</f>
        <v>0</v>
      </c>
      <c r="F139" s="1285">
        <f>F140+F144</f>
        <v>21322</v>
      </c>
      <c r="G139" s="1285">
        <f>G140+G144</f>
        <v>92948</v>
      </c>
      <c r="H139" s="1285">
        <f>H140+H144</f>
        <v>203939</v>
      </c>
      <c r="I139" s="1285">
        <f>+I144</f>
        <v>0</v>
      </c>
      <c r="J139" s="1285">
        <f>+J144</f>
        <v>0</v>
      </c>
      <c r="K139" s="1285">
        <f>+K144</f>
        <v>0</v>
      </c>
      <c r="L139" s="1285">
        <f>+L144</f>
        <v>0</v>
      </c>
      <c r="M139" s="1286">
        <f>M140+M144</f>
        <v>318209</v>
      </c>
      <c r="N139" s="1286">
        <f>N140+N144</f>
        <v>296887</v>
      </c>
      <c r="O139" s="3358"/>
    </row>
    <row r="140" spans="1:16" s="2287" customFormat="1" ht="15" customHeight="1">
      <c r="A140" s="3996"/>
      <c r="B140" s="1287" t="s">
        <v>23</v>
      </c>
      <c r="C140" s="3351" t="s">
        <v>406</v>
      </c>
      <c r="D140" s="1288">
        <f>D141</f>
        <v>47732</v>
      </c>
      <c r="E140" s="1642">
        <f t="shared" ref="E140:H140" si="116">E141</f>
        <v>0</v>
      </c>
      <c r="F140" s="1293">
        <f t="shared" si="116"/>
        <v>3199</v>
      </c>
      <c r="G140" s="1293">
        <f t="shared" si="116"/>
        <v>13942</v>
      </c>
      <c r="H140" s="1293">
        <f t="shared" si="116"/>
        <v>30591</v>
      </c>
      <c r="I140" s="1293">
        <v>0</v>
      </c>
      <c r="J140" s="1293">
        <v>0</v>
      </c>
      <c r="K140" s="1293">
        <v>0</v>
      </c>
      <c r="L140" s="1293">
        <v>0</v>
      </c>
      <c r="M140" s="1289">
        <f>M141</f>
        <v>47732</v>
      </c>
      <c r="N140" s="1289">
        <f>N141</f>
        <v>44533</v>
      </c>
      <c r="O140" s="3358"/>
    </row>
    <row r="141" spans="1:16" s="2287" customFormat="1" ht="15" customHeight="1">
      <c r="A141" s="3996"/>
      <c r="B141" s="1290" t="s">
        <v>12</v>
      </c>
      <c r="C141" s="3347"/>
      <c r="D141" s="1216">
        <f>E141+F141+G141+H141+I141+J141+K141+L141</f>
        <v>47732</v>
      </c>
      <c r="E141" s="1216">
        <v>0</v>
      </c>
      <c r="F141" s="1291">
        <f>SUM(F142:F143)</f>
        <v>3199</v>
      </c>
      <c r="G141" s="1291">
        <f t="shared" ref="G141:H141" si="117">SUM(G142:G143)</f>
        <v>13942</v>
      </c>
      <c r="H141" s="1291">
        <f t="shared" si="117"/>
        <v>30591</v>
      </c>
      <c r="I141" s="1291">
        <v>0</v>
      </c>
      <c r="J141" s="1291">
        <v>0</v>
      </c>
      <c r="K141" s="1291">
        <v>0</v>
      </c>
      <c r="L141" s="1291">
        <v>0</v>
      </c>
      <c r="M141" s="1598">
        <f>SUM(F141:K141)</f>
        <v>47732</v>
      </c>
      <c r="N141" s="1598">
        <f>SUM(G141:L141)</f>
        <v>44533</v>
      </c>
      <c r="O141" s="3358"/>
    </row>
    <row r="142" spans="1:16" s="2287" customFormat="1" ht="15" hidden="1" customHeight="1">
      <c r="A142" s="3996"/>
      <c r="B142" s="2996" t="s">
        <v>420</v>
      </c>
      <c r="C142" s="3347"/>
      <c r="D142" s="2989">
        <f t="shared" ref="D142" si="118">E142+F142+G142+H142+I142+J142+K142+L142</f>
        <v>42592</v>
      </c>
      <c r="E142" s="3241"/>
      <c r="F142" s="2991">
        <f>3347-1656</f>
        <v>1691</v>
      </c>
      <c r="G142" s="2991">
        <f>8073+12063-8010</f>
        <v>12126</v>
      </c>
      <c r="H142" s="2991">
        <f>34839-10400+4336</f>
        <v>28775</v>
      </c>
      <c r="I142" s="3242"/>
      <c r="J142" s="3242"/>
      <c r="K142" s="3242"/>
      <c r="L142" s="3242"/>
      <c r="M142" s="1645"/>
      <c r="N142" s="1598">
        <f>SUM(G142:L142)</f>
        <v>40901</v>
      </c>
      <c r="O142" s="3358"/>
    </row>
    <row r="143" spans="1:16" s="2287" customFormat="1" ht="15" hidden="1" customHeight="1">
      <c r="A143" s="3996"/>
      <c r="B143" s="2997" t="s">
        <v>421</v>
      </c>
      <c r="C143" s="3347"/>
      <c r="D143" s="3243">
        <f t="shared" ref="D143" si="119">E143+F143+G143+H143+I143+J143+K143+L143</f>
        <v>5140</v>
      </c>
      <c r="E143" s="3244"/>
      <c r="F143" s="3245">
        <f>1514-6</f>
        <v>1508</v>
      </c>
      <c r="G143" s="3245">
        <v>1816</v>
      </c>
      <c r="H143" s="3245">
        <v>1816</v>
      </c>
      <c r="I143" s="3246"/>
      <c r="J143" s="3246"/>
      <c r="K143" s="3246"/>
      <c r="L143" s="3246"/>
      <c r="M143" s="1645"/>
      <c r="N143" s="1598">
        <f>SUM(G143:L143)</f>
        <v>3632</v>
      </c>
      <c r="O143" s="3358"/>
    </row>
    <row r="144" spans="1:16" s="2287" customFormat="1" ht="15" customHeight="1">
      <c r="A144" s="3996"/>
      <c r="B144" s="1292" t="s">
        <v>18</v>
      </c>
      <c r="C144" s="3347"/>
      <c r="D144" s="1288">
        <f>D145</f>
        <v>270477</v>
      </c>
      <c r="E144" s="1642">
        <f t="shared" ref="E144:N144" si="120">+E145</f>
        <v>0</v>
      </c>
      <c r="F144" s="1293">
        <f t="shared" ref="F144:H144" si="121">F145</f>
        <v>18123</v>
      </c>
      <c r="G144" s="1293">
        <f t="shared" si="121"/>
        <v>79006</v>
      </c>
      <c r="H144" s="1293">
        <f t="shared" si="121"/>
        <v>173348</v>
      </c>
      <c r="I144" s="1293">
        <v>0</v>
      </c>
      <c r="J144" s="1293">
        <v>0</v>
      </c>
      <c r="K144" s="1293">
        <v>0</v>
      </c>
      <c r="L144" s="1293">
        <v>0</v>
      </c>
      <c r="M144" s="1289">
        <f t="shared" si="120"/>
        <v>270477</v>
      </c>
      <c r="N144" s="1289">
        <f t="shared" si="120"/>
        <v>252354</v>
      </c>
      <c r="O144" s="3358"/>
    </row>
    <row r="145" spans="1:15" s="2287" customFormat="1" ht="15" customHeight="1">
      <c r="A145" s="3996"/>
      <c r="B145" s="3229" t="s">
        <v>20</v>
      </c>
      <c r="C145" s="3347"/>
      <c r="D145" s="1216">
        <f>E145+F145+G145+H145+I145+J145+K145+L145</f>
        <v>270477</v>
      </c>
      <c r="E145" s="1216">
        <v>0</v>
      </c>
      <c r="F145" s="1291">
        <f>SUM(F146:F147)</f>
        <v>18123</v>
      </c>
      <c r="G145" s="1291">
        <f t="shared" ref="G145:H145" si="122">SUM(G146:G147)</f>
        <v>79006</v>
      </c>
      <c r="H145" s="1291">
        <f t="shared" si="122"/>
        <v>173348</v>
      </c>
      <c r="I145" s="1291">
        <v>0</v>
      </c>
      <c r="J145" s="1291">
        <v>0</v>
      </c>
      <c r="K145" s="1291">
        <v>0</v>
      </c>
      <c r="L145" s="1291">
        <v>0</v>
      </c>
      <c r="M145" s="1598">
        <f>SUM(F145:K145)</f>
        <v>270477</v>
      </c>
      <c r="N145" s="1598">
        <f>SUM(G145:L145)</f>
        <v>252354</v>
      </c>
      <c r="O145" s="3358"/>
    </row>
    <row r="146" spans="1:15" s="2287" customFormat="1" ht="15" hidden="1" customHeight="1">
      <c r="A146" s="3996"/>
      <c r="B146" s="2996" t="s">
        <v>423</v>
      </c>
      <c r="C146" s="3347"/>
      <c r="D146" s="2989">
        <f t="shared" ref="D146" si="123">E146+F146+G146+H146+I146+J146+K146+L146</f>
        <v>241352</v>
      </c>
      <c r="E146" s="3241"/>
      <c r="F146" s="2991">
        <f>18973-9391</f>
        <v>9582</v>
      </c>
      <c r="G146" s="2991">
        <f>45747+68360-45393</f>
        <v>68714</v>
      </c>
      <c r="H146" s="2991">
        <f>197415-58934+24575</f>
        <v>163056</v>
      </c>
      <c r="I146" s="3242"/>
      <c r="J146" s="3242"/>
      <c r="K146" s="3242"/>
      <c r="L146" s="3242"/>
      <c r="M146" s="2992"/>
      <c r="N146" s="1598">
        <f>SUM(G146:L146)</f>
        <v>231770</v>
      </c>
      <c r="O146" s="3358"/>
    </row>
    <row r="147" spans="1:15" s="2287" customFormat="1" ht="15" hidden="1" customHeight="1">
      <c r="A147" s="3996"/>
      <c r="B147" s="2997" t="s">
        <v>422</v>
      </c>
      <c r="C147" s="3348"/>
      <c r="D147" s="3243">
        <f t="shared" ref="D147" si="124">E147+F147+G147+H147+I147+J147+K147+L147</f>
        <v>29125</v>
      </c>
      <c r="E147" s="3244"/>
      <c r="F147" s="3245">
        <f>8576-35</f>
        <v>8541</v>
      </c>
      <c r="G147" s="3245">
        <v>10292</v>
      </c>
      <c r="H147" s="3245">
        <v>10292</v>
      </c>
      <c r="I147" s="3246"/>
      <c r="J147" s="3246"/>
      <c r="K147" s="3246"/>
      <c r="L147" s="3246"/>
      <c r="M147" s="2992"/>
      <c r="N147" s="1598">
        <f>SUM(G147:L147)</f>
        <v>20584</v>
      </c>
      <c r="O147" s="3358"/>
    </row>
    <row r="148" spans="1:15" s="2287" customFormat="1" ht="12.75">
      <c r="A148" s="3996"/>
      <c r="B148" s="2073" t="s">
        <v>21</v>
      </c>
      <c r="C148" s="2495"/>
      <c r="D148" s="1285">
        <f t="shared" ref="D148:L149" si="125">D149</f>
        <v>270477</v>
      </c>
      <c r="E148" s="1285">
        <f t="shared" ref="E148:E149" si="126">+E149</f>
        <v>0</v>
      </c>
      <c r="F148" s="1285">
        <f t="shared" si="125"/>
        <v>977</v>
      </c>
      <c r="G148" s="1285">
        <f t="shared" si="125"/>
        <v>20069</v>
      </c>
      <c r="H148" s="1285">
        <f t="shared" si="125"/>
        <v>23937</v>
      </c>
      <c r="I148" s="1285">
        <f t="shared" si="125"/>
        <v>225494</v>
      </c>
      <c r="J148" s="1285">
        <f t="shared" si="125"/>
        <v>0</v>
      </c>
      <c r="K148" s="1285">
        <f t="shared" si="125"/>
        <v>0</v>
      </c>
      <c r="L148" s="1285">
        <f t="shared" si="125"/>
        <v>0</v>
      </c>
      <c r="M148" s="3368" t="s">
        <v>53</v>
      </c>
      <c r="N148" s="3368" t="s">
        <v>53</v>
      </c>
      <c r="O148" s="3358"/>
    </row>
    <row r="149" spans="1:15" s="2287" customFormat="1" ht="12.75">
      <c r="A149" s="3996"/>
      <c r="B149" s="2111" t="s">
        <v>18</v>
      </c>
      <c r="C149" s="3436" t="s">
        <v>161</v>
      </c>
      <c r="D149" s="1294">
        <f t="shared" si="125"/>
        <v>270477</v>
      </c>
      <c r="E149" s="1294">
        <f t="shared" si="126"/>
        <v>0</v>
      </c>
      <c r="F149" s="1294">
        <f t="shared" si="125"/>
        <v>977</v>
      </c>
      <c r="G149" s="1294">
        <f t="shared" si="125"/>
        <v>20069</v>
      </c>
      <c r="H149" s="1294">
        <f t="shared" si="125"/>
        <v>23937</v>
      </c>
      <c r="I149" s="1294">
        <f t="shared" si="125"/>
        <v>225494</v>
      </c>
      <c r="J149" s="1294">
        <f t="shared" si="125"/>
        <v>0</v>
      </c>
      <c r="K149" s="1294">
        <f t="shared" si="125"/>
        <v>0</v>
      </c>
      <c r="L149" s="1294">
        <f t="shared" si="125"/>
        <v>0</v>
      </c>
      <c r="M149" s="3366"/>
      <c r="N149" s="3366"/>
      <c r="O149" s="3358"/>
    </row>
    <row r="150" spans="1:15" s="2287" customFormat="1" ht="13.5" thickBot="1">
      <c r="A150" s="3997"/>
      <c r="B150" s="2723" t="s">
        <v>20</v>
      </c>
      <c r="C150" s="3353"/>
      <c r="D150" s="1216">
        <f>E150+F150+G150+H150+I150+J150+K150+L150</f>
        <v>270477</v>
      </c>
      <c r="E150" s="1216">
        <v>0</v>
      </c>
      <c r="F150" s="1586">
        <f>2133-1156</f>
        <v>977</v>
      </c>
      <c r="G150" s="1586">
        <f>39145-24239+5163</f>
        <v>20069</v>
      </c>
      <c r="H150" s="1586">
        <f>148930-34993-90000</f>
        <v>23937</v>
      </c>
      <c r="I150" s="1586">
        <f>101087+60388+64019</f>
        <v>225494</v>
      </c>
      <c r="J150" s="1586">
        <v>0</v>
      </c>
      <c r="K150" s="1586">
        <v>0</v>
      </c>
      <c r="L150" s="1586">
        <v>0</v>
      </c>
      <c r="M150" s="3367"/>
      <c r="N150" s="3367"/>
      <c r="O150" s="3359"/>
    </row>
    <row r="151" spans="1:15" s="2287" customFormat="1" ht="36.75" customHeight="1" thickBot="1">
      <c r="A151" s="3993" t="s">
        <v>85</v>
      </c>
      <c r="B151" s="179" t="s">
        <v>688</v>
      </c>
      <c r="C151" s="1316" t="s">
        <v>74</v>
      </c>
      <c r="D151" s="612"/>
      <c r="E151" s="2661"/>
      <c r="F151" s="2655"/>
      <c r="G151" s="2655"/>
      <c r="H151" s="2655"/>
      <c r="I151" s="1966"/>
      <c r="J151" s="1966"/>
      <c r="K151" s="1966"/>
      <c r="L151" s="2656"/>
      <c r="M151" s="614"/>
      <c r="N151" s="614"/>
      <c r="O151" s="3984" t="s">
        <v>219</v>
      </c>
    </row>
    <row r="152" spans="1:15" s="2287" customFormat="1" ht="13.5" thickBot="1">
      <c r="A152" s="3994"/>
      <c r="B152" s="1283" t="s">
        <v>10</v>
      </c>
      <c r="C152" s="2495"/>
      <c r="D152" s="1285">
        <f>D153+D155</f>
        <v>353792</v>
      </c>
      <c r="E152" s="1285">
        <f t="shared" ref="E152" si="127">E153+E155</f>
        <v>0</v>
      </c>
      <c r="F152" s="1285">
        <f>F153+F155</f>
        <v>52792</v>
      </c>
      <c r="G152" s="1285">
        <f>G153+G155</f>
        <v>81774</v>
      </c>
      <c r="H152" s="1285">
        <f>H153+H155</f>
        <v>219226</v>
      </c>
      <c r="I152" s="1285">
        <f>+I155</f>
        <v>0</v>
      </c>
      <c r="J152" s="1285">
        <f>+J155</f>
        <v>0</v>
      </c>
      <c r="K152" s="1285">
        <f>+K155</f>
        <v>0</v>
      </c>
      <c r="L152" s="1285">
        <f>+L155</f>
        <v>0</v>
      </c>
      <c r="M152" s="1286">
        <f>M153+M155</f>
        <v>353792</v>
      </c>
      <c r="N152" s="1286">
        <f>N153+N155</f>
        <v>301000</v>
      </c>
      <c r="O152" s="3984"/>
    </row>
    <row r="153" spans="1:15" s="2287" customFormat="1" ht="13.5" thickBot="1">
      <c r="A153" s="3994"/>
      <c r="B153" s="1287" t="s">
        <v>23</v>
      </c>
      <c r="C153" s="3351" t="s">
        <v>161</v>
      </c>
      <c r="D153" s="1288">
        <f>D154</f>
        <v>53069</v>
      </c>
      <c r="E153" s="1642">
        <f t="shared" ref="E153:L153" si="128">E154</f>
        <v>0</v>
      </c>
      <c r="F153" s="1293">
        <f t="shared" si="128"/>
        <v>7919</v>
      </c>
      <c r="G153" s="1293">
        <f t="shared" si="128"/>
        <v>12266</v>
      </c>
      <c r="H153" s="1293">
        <f t="shared" si="128"/>
        <v>32884</v>
      </c>
      <c r="I153" s="1293">
        <f t="shared" si="128"/>
        <v>0</v>
      </c>
      <c r="J153" s="1293">
        <f t="shared" si="128"/>
        <v>0</v>
      </c>
      <c r="K153" s="1293">
        <f t="shared" si="128"/>
        <v>0</v>
      </c>
      <c r="L153" s="1293">
        <f t="shared" si="128"/>
        <v>0</v>
      </c>
      <c r="M153" s="1289">
        <f>M154</f>
        <v>53069</v>
      </c>
      <c r="N153" s="1289">
        <f>N154</f>
        <v>45150</v>
      </c>
      <c r="O153" s="3984"/>
    </row>
    <row r="154" spans="1:15" s="2287" customFormat="1" ht="13.5" thickBot="1">
      <c r="A154" s="3994"/>
      <c r="B154" s="1290" t="s">
        <v>12</v>
      </c>
      <c r="C154" s="3347"/>
      <c r="D154" s="1216">
        <f>E154+F154+G154+H154+I154+J154+K154+L154</f>
        <v>53069</v>
      </c>
      <c r="E154" s="1216">
        <v>0</v>
      </c>
      <c r="F154" s="1291">
        <f>8310-391</f>
        <v>7919</v>
      </c>
      <c r="G154" s="1291">
        <f>37035+4441-29210</f>
        <v>12266</v>
      </c>
      <c r="H154" s="1291">
        <f>4050-4050+32884</f>
        <v>32884</v>
      </c>
      <c r="I154" s="1291">
        <v>0</v>
      </c>
      <c r="J154" s="1291">
        <v>0</v>
      </c>
      <c r="K154" s="1291">
        <v>0</v>
      </c>
      <c r="L154" s="1291">
        <v>0</v>
      </c>
      <c r="M154" s="1598">
        <f>SUM(F154:K154)</f>
        <v>53069</v>
      </c>
      <c r="N154" s="1598">
        <f>SUM(G154:L154)</f>
        <v>45150</v>
      </c>
      <c r="O154" s="3984"/>
    </row>
    <row r="155" spans="1:15" s="2287" customFormat="1" ht="13.5" thickBot="1">
      <c r="A155" s="3994"/>
      <c r="B155" s="1292" t="s">
        <v>18</v>
      </c>
      <c r="C155" s="3347"/>
      <c r="D155" s="1288">
        <f>D156</f>
        <v>300723</v>
      </c>
      <c r="E155" s="1642">
        <f t="shared" ref="E155:N155" si="129">+E156</f>
        <v>0</v>
      </c>
      <c r="F155" s="1293">
        <f t="shared" ref="F155:H155" si="130">F156</f>
        <v>44873</v>
      </c>
      <c r="G155" s="1293">
        <f t="shared" si="130"/>
        <v>69508</v>
      </c>
      <c r="H155" s="1293">
        <f t="shared" si="130"/>
        <v>186342</v>
      </c>
      <c r="I155" s="1293">
        <f t="shared" ref="I155:L155" si="131">I156</f>
        <v>0</v>
      </c>
      <c r="J155" s="1293">
        <f t="shared" si="131"/>
        <v>0</v>
      </c>
      <c r="K155" s="1293">
        <f t="shared" si="131"/>
        <v>0</v>
      </c>
      <c r="L155" s="1293">
        <f t="shared" si="131"/>
        <v>0</v>
      </c>
      <c r="M155" s="1289">
        <f t="shared" si="129"/>
        <v>300723</v>
      </c>
      <c r="N155" s="1289">
        <f t="shared" si="129"/>
        <v>255850</v>
      </c>
      <c r="O155" s="3984"/>
    </row>
    <row r="156" spans="1:15" s="2287" customFormat="1" ht="13.5" thickBot="1">
      <c r="A156" s="3994"/>
      <c r="B156" s="3229" t="s">
        <v>20</v>
      </c>
      <c r="C156" s="3348"/>
      <c r="D156" s="1216">
        <f>E156+F156+G156+H156+I156+J156+K156+L156</f>
        <v>300723</v>
      </c>
      <c r="E156" s="1216">
        <v>0</v>
      </c>
      <c r="F156" s="1291">
        <f>47090-2217</f>
        <v>44873</v>
      </c>
      <c r="G156" s="1291">
        <f>209865+25167-165524</f>
        <v>69508</v>
      </c>
      <c r="H156" s="1291">
        <f>22950-22950+186342</f>
        <v>186342</v>
      </c>
      <c r="I156" s="1291">
        <v>0</v>
      </c>
      <c r="J156" s="1291">
        <v>0</v>
      </c>
      <c r="K156" s="1291">
        <v>0</v>
      </c>
      <c r="L156" s="1291">
        <v>0</v>
      </c>
      <c r="M156" s="1598">
        <f>SUM(F156:K156)</f>
        <v>300723</v>
      </c>
      <c r="N156" s="1598">
        <f>SUM(G156:L156)</f>
        <v>255850</v>
      </c>
      <c r="O156" s="3984"/>
    </row>
    <row r="157" spans="1:15" s="2287" customFormat="1" ht="13.5" thickBot="1">
      <c r="A157" s="3994"/>
      <c r="B157" s="2073" t="s">
        <v>21</v>
      </c>
      <c r="C157" s="2495"/>
      <c r="D157" s="1285">
        <f t="shared" ref="D157:L158" si="132">D158</f>
        <v>300723</v>
      </c>
      <c r="E157" s="1285">
        <f t="shared" ref="E157:E158" si="133">+E158</f>
        <v>0</v>
      </c>
      <c r="F157" s="1285">
        <f t="shared" si="132"/>
        <v>0</v>
      </c>
      <c r="G157" s="1285">
        <f t="shared" si="132"/>
        <v>42826</v>
      </c>
      <c r="H157" s="1285">
        <f t="shared" si="132"/>
        <v>0</v>
      </c>
      <c r="I157" s="1285">
        <f t="shared" si="132"/>
        <v>257897</v>
      </c>
      <c r="J157" s="1285">
        <f t="shared" si="132"/>
        <v>0</v>
      </c>
      <c r="K157" s="1285">
        <f t="shared" si="132"/>
        <v>0</v>
      </c>
      <c r="L157" s="1285">
        <f t="shared" si="132"/>
        <v>0</v>
      </c>
      <c r="M157" s="3368" t="s">
        <v>53</v>
      </c>
      <c r="N157" s="3369" t="s">
        <v>53</v>
      </c>
      <c r="O157" s="3984"/>
    </row>
    <row r="158" spans="1:15" s="2287" customFormat="1" ht="13.5" thickBot="1">
      <c r="A158" s="3994"/>
      <c r="B158" s="2111" t="s">
        <v>18</v>
      </c>
      <c r="C158" s="3999" t="s">
        <v>161</v>
      </c>
      <c r="D158" s="1294">
        <f t="shared" si="132"/>
        <v>300723</v>
      </c>
      <c r="E158" s="1294">
        <f t="shared" si="133"/>
        <v>0</v>
      </c>
      <c r="F158" s="1294">
        <f t="shared" si="132"/>
        <v>0</v>
      </c>
      <c r="G158" s="1294">
        <f t="shared" si="132"/>
        <v>42826</v>
      </c>
      <c r="H158" s="1294">
        <f t="shared" si="132"/>
        <v>0</v>
      </c>
      <c r="I158" s="1294">
        <f t="shared" si="132"/>
        <v>257897</v>
      </c>
      <c r="J158" s="1294">
        <f t="shared" si="132"/>
        <v>0</v>
      </c>
      <c r="K158" s="1294">
        <f t="shared" si="132"/>
        <v>0</v>
      </c>
      <c r="L158" s="1294">
        <f t="shared" si="132"/>
        <v>0</v>
      </c>
      <c r="M158" s="3366"/>
      <c r="N158" s="3370"/>
      <c r="O158" s="3984"/>
    </row>
    <row r="159" spans="1:15" s="2287" customFormat="1" ht="13.5" thickBot="1">
      <c r="A159" s="3994"/>
      <c r="B159" s="2723" t="s">
        <v>20</v>
      </c>
      <c r="C159" s="3500"/>
      <c r="D159" s="1570">
        <f>E159+F159+G159+H159+I159+J159+K159+L159</f>
        <v>300723</v>
      </c>
      <c r="E159" s="1955">
        <v>0</v>
      </c>
      <c r="F159" s="1586"/>
      <c r="G159" s="1586">
        <f>73100-26460-3814</f>
        <v>42826</v>
      </c>
      <c r="H159" s="1586">
        <f>183855-5285-178570</f>
        <v>0</v>
      </c>
      <c r="I159" s="1586">
        <f>22950+31745+203202</f>
        <v>257897</v>
      </c>
      <c r="J159" s="1586">
        <v>0</v>
      </c>
      <c r="K159" s="1586">
        <v>0</v>
      </c>
      <c r="L159" s="1586">
        <v>0</v>
      </c>
      <c r="M159" s="3367"/>
      <c r="N159" s="3370"/>
      <c r="O159" s="3984"/>
    </row>
    <row r="160" spans="1:15" s="2287" customFormat="1" ht="34.5" customHeight="1" thickBot="1">
      <c r="A160" s="3993" t="s">
        <v>86</v>
      </c>
      <c r="B160" s="179" t="s">
        <v>687</v>
      </c>
      <c r="C160" s="1965" t="s">
        <v>162</v>
      </c>
      <c r="D160" s="613"/>
      <c r="E160" s="613"/>
      <c r="F160" s="613"/>
      <c r="G160" s="613"/>
      <c r="H160" s="613"/>
      <c r="I160" s="613"/>
      <c r="J160" s="613"/>
      <c r="K160" s="613"/>
      <c r="L160" s="613"/>
      <c r="M160" s="613"/>
      <c r="N160" s="613"/>
      <c r="O160" s="3984" t="s">
        <v>411</v>
      </c>
    </row>
    <row r="161" spans="1:15" s="2287" customFormat="1" ht="13.5" thickBot="1">
      <c r="A161" s="3994"/>
      <c r="B161" s="1283" t="s">
        <v>10</v>
      </c>
      <c r="C161" s="2495"/>
      <c r="D161" s="1285">
        <f>D162+D166</f>
        <v>693012</v>
      </c>
      <c r="E161" s="1285">
        <f t="shared" ref="E161" si="134">E162+E166</f>
        <v>0</v>
      </c>
      <c r="F161" s="1285">
        <f>F162+F166</f>
        <v>32378</v>
      </c>
      <c r="G161" s="1285">
        <f>G162+G166</f>
        <v>385401</v>
      </c>
      <c r="H161" s="1285">
        <f>H162+H166</f>
        <v>275233</v>
      </c>
      <c r="I161" s="1285">
        <f>+I166</f>
        <v>0</v>
      </c>
      <c r="J161" s="1285">
        <f>+J166</f>
        <v>0</v>
      </c>
      <c r="K161" s="1285">
        <f>+K166</f>
        <v>0</v>
      </c>
      <c r="L161" s="1285">
        <f>+L166</f>
        <v>0</v>
      </c>
      <c r="M161" s="1286">
        <f>M162+M166</f>
        <v>693012</v>
      </c>
      <c r="N161" s="1286">
        <f>N162+N166</f>
        <v>660634</v>
      </c>
      <c r="O161" s="3984"/>
    </row>
    <row r="162" spans="1:15" s="2287" customFormat="1" ht="13.5" thickBot="1">
      <c r="A162" s="3994"/>
      <c r="B162" s="2111" t="s">
        <v>23</v>
      </c>
      <c r="C162" s="3499" t="s">
        <v>406</v>
      </c>
      <c r="D162" s="1294">
        <f>D163</f>
        <v>119262</v>
      </c>
      <c r="E162" s="1575">
        <f t="shared" ref="E162:H162" si="135">E163</f>
        <v>0</v>
      </c>
      <c r="F162" s="1299">
        <f t="shared" si="135"/>
        <v>4857</v>
      </c>
      <c r="G162" s="1299">
        <f t="shared" si="135"/>
        <v>73120</v>
      </c>
      <c r="H162" s="1299">
        <f t="shared" si="135"/>
        <v>41285</v>
      </c>
      <c r="I162" s="1299">
        <v>0</v>
      </c>
      <c r="J162" s="1299">
        <v>0</v>
      </c>
      <c r="K162" s="1299">
        <v>0</v>
      </c>
      <c r="L162" s="1299">
        <v>0</v>
      </c>
      <c r="M162" s="1585">
        <f>M163</f>
        <v>119262</v>
      </c>
      <c r="N162" s="1289">
        <f>N163</f>
        <v>114405</v>
      </c>
      <c r="O162" s="3984"/>
    </row>
    <row r="163" spans="1:15" s="2287" customFormat="1" ht="13.5" thickBot="1">
      <c r="A163" s="3994"/>
      <c r="B163" s="2998" t="s">
        <v>12</v>
      </c>
      <c r="C163" s="3347"/>
      <c r="D163" s="825">
        <f>E163+F163+G163+H163+I163+J163+K163+L163</f>
        <v>119262</v>
      </c>
      <c r="E163" s="825">
        <v>0</v>
      </c>
      <c r="F163" s="2999">
        <f>F164+F165</f>
        <v>4857</v>
      </c>
      <c r="G163" s="2999">
        <f>G164+G165</f>
        <v>73120</v>
      </c>
      <c r="H163" s="2999">
        <f>H164+H165</f>
        <v>41285</v>
      </c>
      <c r="I163" s="2999">
        <v>0</v>
      </c>
      <c r="J163" s="2999">
        <v>0</v>
      </c>
      <c r="K163" s="2999">
        <v>0</v>
      </c>
      <c r="L163" s="2999">
        <v>0</v>
      </c>
      <c r="M163" s="1991">
        <f>SUM(F163:K163)</f>
        <v>119262</v>
      </c>
      <c r="N163" s="1991">
        <f>SUM(G163:L163)</f>
        <v>114405</v>
      </c>
      <c r="O163" s="3984"/>
    </row>
    <row r="164" spans="1:15" s="2287" customFormat="1" ht="15" hidden="1" customHeight="1" thickBot="1">
      <c r="A164" s="3994"/>
      <c r="B164" s="2997" t="s">
        <v>421</v>
      </c>
      <c r="C164" s="3347"/>
      <c r="D164" s="3243">
        <f t="shared" ref="D164:D165" si="136">E164+F164+G164+H164+I164+J164+K164+L164</f>
        <v>5597</v>
      </c>
      <c r="E164" s="3244"/>
      <c r="F164" s="3245">
        <f>1500+258+37-148</f>
        <v>1647</v>
      </c>
      <c r="G164" s="3245">
        <f>1500+258+37+360+115</f>
        <v>2270</v>
      </c>
      <c r="H164" s="3245">
        <f>1500+258+37-115</f>
        <v>1680</v>
      </c>
      <c r="I164" s="3246"/>
      <c r="J164" s="3246"/>
      <c r="K164" s="3246"/>
      <c r="L164" s="3246"/>
      <c r="M164" s="1598"/>
      <c r="N164" s="1645">
        <f>SUM(G164:L164)</f>
        <v>3950</v>
      </c>
      <c r="O164" s="3984"/>
    </row>
    <row r="165" spans="1:15" s="2287" customFormat="1" ht="15" hidden="1" customHeight="1" thickBot="1">
      <c r="A165" s="3994"/>
      <c r="B165" s="2996" t="s">
        <v>420</v>
      </c>
      <c r="C165" s="3347"/>
      <c r="D165" s="2989">
        <f t="shared" si="136"/>
        <v>113665</v>
      </c>
      <c r="E165" s="3241"/>
      <c r="F165" s="2991">
        <f>29862+1010+900-17345-750-10467</f>
        <v>3210</v>
      </c>
      <c r="G165" s="2991">
        <f>37887+3262+1350+17345+750+10256</f>
        <v>70850</v>
      </c>
      <c r="H165" s="2991">
        <f>36006+900+2700-1</f>
        <v>39605</v>
      </c>
      <c r="I165" s="3242"/>
      <c r="J165" s="3242"/>
      <c r="K165" s="3242"/>
      <c r="L165" s="3242"/>
      <c r="M165" s="1598"/>
      <c r="N165" s="1645">
        <f>SUM(G165:L165)</f>
        <v>110455</v>
      </c>
      <c r="O165" s="3984"/>
    </row>
    <row r="166" spans="1:15" s="2287" customFormat="1" ht="13.5" thickBot="1">
      <c r="A166" s="3994"/>
      <c r="B166" s="1292" t="s">
        <v>18</v>
      </c>
      <c r="C166" s="3347"/>
      <c r="D166" s="1288">
        <f>D167</f>
        <v>573750</v>
      </c>
      <c r="E166" s="1642">
        <f t="shared" ref="E166:N166" si="137">+E167</f>
        <v>0</v>
      </c>
      <c r="F166" s="1293">
        <f t="shared" ref="F166:H166" si="138">F167</f>
        <v>27521</v>
      </c>
      <c r="G166" s="1293">
        <f t="shared" si="138"/>
        <v>312281</v>
      </c>
      <c r="H166" s="1293">
        <f t="shared" si="138"/>
        <v>233948</v>
      </c>
      <c r="I166" s="1293">
        <v>0</v>
      </c>
      <c r="J166" s="1293">
        <v>0</v>
      </c>
      <c r="K166" s="1293">
        <v>0</v>
      </c>
      <c r="L166" s="1293">
        <v>0</v>
      </c>
      <c r="M166" s="1585">
        <f t="shared" si="137"/>
        <v>573750</v>
      </c>
      <c r="N166" s="1289">
        <f t="shared" si="137"/>
        <v>546229</v>
      </c>
      <c r="O166" s="3984"/>
    </row>
    <row r="167" spans="1:15" s="2287" customFormat="1" ht="13.5" thickBot="1">
      <c r="A167" s="3994"/>
      <c r="B167" s="3229" t="s">
        <v>20</v>
      </c>
      <c r="C167" s="3348"/>
      <c r="D167" s="1216">
        <f>E167+F167+G167+H167+I167+J167+K167+L167</f>
        <v>573750</v>
      </c>
      <c r="E167" s="1216">
        <v>0</v>
      </c>
      <c r="F167" s="1291">
        <f>36651-9130</f>
        <v>27521</v>
      </c>
      <c r="G167" s="1291">
        <f>G168+G169</f>
        <v>312281</v>
      </c>
      <c r="H167" s="1291">
        <f>H168+H169</f>
        <v>233948</v>
      </c>
      <c r="I167" s="1291">
        <v>0</v>
      </c>
      <c r="J167" s="1291">
        <v>0</v>
      </c>
      <c r="K167" s="1291">
        <v>0</v>
      </c>
      <c r="L167" s="1291">
        <v>0</v>
      </c>
      <c r="M167" s="1598">
        <f>SUM(F167:K167)</f>
        <v>573750</v>
      </c>
      <c r="N167" s="1598">
        <f>SUM(G167:L167)</f>
        <v>546229</v>
      </c>
      <c r="O167" s="3984"/>
    </row>
    <row r="168" spans="1:15" s="2287" customFormat="1" ht="15" hidden="1" customHeight="1" thickBot="1">
      <c r="A168" s="3994"/>
      <c r="B168" s="2997" t="s">
        <v>422</v>
      </c>
      <c r="C168" s="3225"/>
      <c r="D168" s="3243">
        <f t="shared" ref="D168:D169" si="139">E168+F168+G168+H168+I168+J168+K168+L168</f>
        <v>31701</v>
      </c>
      <c r="E168" s="3000"/>
      <c r="F168" s="3245">
        <f>8496+1459+208-829</f>
        <v>9334</v>
      </c>
      <c r="G168" s="3245">
        <f>8496+1459+208+2041+652</f>
        <v>12856</v>
      </c>
      <c r="H168" s="3245">
        <f>8496+1459+208-652</f>
        <v>9511</v>
      </c>
      <c r="I168" s="3246"/>
      <c r="J168" s="3246"/>
      <c r="K168" s="3246"/>
      <c r="L168" s="3246"/>
      <c r="M168" s="2992"/>
      <c r="N168" s="1645">
        <f>SUM(G168:L168)</f>
        <v>22367</v>
      </c>
      <c r="O168" s="3984"/>
    </row>
    <row r="169" spans="1:15" s="2287" customFormat="1" ht="15" hidden="1" customHeight="1" thickBot="1">
      <c r="A169" s="3994"/>
      <c r="B169" s="2996" t="s">
        <v>423</v>
      </c>
      <c r="C169" s="3225"/>
      <c r="D169" s="2989">
        <f t="shared" si="139"/>
        <v>542049</v>
      </c>
      <c r="E169" s="3001"/>
      <c r="F169" s="2991">
        <f>129026-98286-4250-8303</f>
        <v>18187</v>
      </c>
      <c r="G169" s="2991">
        <f>163661+18488+7650+98286+4250+7090</f>
        <v>299425</v>
      </c>
      <c r="H169" s="2991">
        <f>204036+5100+15300+1</f>
        <v>224437</v>
      </c>
      <c r="I169" s="3242"/>
      <c r="J169" s="3242"/>
      <c r="K169" s="3242"/>
      <c r="L169" s="3242"/>
      <c r="M169" s="2992"/>
      <c r="N169" s="1645">
        <f>SUM(G169:L169)</f>
        <v>523862</v>
      </c>
      <c r="O169" s="3984"/>
    </row>
    <row r="170" spans="1:15" s="2287" customFormat="1" ht="13.5" thickBot="1">
      <c r="A170" s="3994"/>
      <c r="B170" s="2073" t="s">
        <v>21</v>
      </c>
      <c r="C170" s="2495"/>
      <c r="D170" s="1285">
        <f t="shared" ref="D170:L171" si="140">D171</f>
        <v>573750</v>
      </c>
      <c r="E170" s="1285">
        <f t="shared" ref="E170:E171" si="141">+E171</f>
        <v>0</v>
      </c>
      <c r="F170" s="1285">
        <f t="shared" si="140"/>
        <v>0</v>
      </c>
      <c r="G170" s="1285">
        <f t="shared" si="140"/>
        <v>178482</v>
      </c>
      <c r="H170" s="1285">
        <f t="shared" si="140"/>
        <v>308586</v>
      </c>
      <c r="I170" s="1285">
        <f t="shared" si="140"/>
        <v>86682</v>
      </c>
      <c r="J170" s="1285">
        <f t="shared" si="140"/>
        <v>0</v>
      </c>
      <c r="K170" s="1285">
        <f t="shared" si="140"/>
        <v>0</v>
      </c>
      <c r="L170" s="1285">
        <f t="shared" si="140"/>
        <v>0</v>
      </c>
      <c r="M170" s="3368" t="s">
        <v>53</v>
      </c>
      <c r="N170" s="3368" t="s">
        <v>53</v>
      </c>
      <c r="O170" s="3984"/>
    </row>
    <row r="171" spans="1:15" s="2287" customFormat="1" ht="13.5" thickBot="1">
      <c r="A171" s="3994"/>
      <c r="B171" s="2111" t="s">
        <v>18</v>
      </c>
      <c r="C171" s="3436" t="s">
        <v>161</v>
      </c>
      <c r="D171" s="1294">
        <f t="shared" si="140"/>
        <v>573750</v>
      </c>
      <c r="E171" s="1294">
        <f t="shared" si="141"/>
        <v>0</v>
      </c>
      <c r="F171" s="1294">
        <f t="shared" si="140"/>
        <v>0</v>
      </c>
      <c r="G171" s="1294">
        <f t="shared" si="140"/>
        <v>178482</v>
      </c>
      <c r="H171" s="1294">
        <f t="shared" si="140"/>
        <v>308586</v>
      </c>
      <c r="I171" s="1294">
        <f t="shared" si="140"/>
        <v>86682</v>
      </c>
      <c r="J171" s="1294">
        <f t="shared" si="140"/>
        <v>0</v>
      </c>
      <c r="K171" s="1294">
        <f t="shared" si="140"/>
        <v>0</v>
      </c>
      <c r="L171" s="1294">
        <f t="shared" si="140"/>
        <v>0</v>
      </c>
      <c r="M171" s="3366"/>
      <c r="N171" s="3366"/>
      <c r="O171" s="3984"/>
    </row>
    <row r="172" spans="1:15" s="2287" customFormat="1" ht="13.5" thickBot="1">
      <c r="A172" s="3994"/>
      <c r="B172" s="2723" t="s">
        <v>20</v>
      </c>
      <c r="C172" s="3353"/>
      <c r="D172" s="1955">
        <f>E172+F172+G172+H172+I172+J172+K172+L172</f>
        <v>573750</v>
      </c>
      <c r="E172" s="1955">
        <v>0</v>
      </c>
      <c r="F172" s="1586">
        <f>48432-48432</f>
        <v>0</v>
      </c>
      <c r="G172" s="1586">
        <f>130050+48432</f>
        <v>178482</v>
      </c>
      <c r="H172" s="1586">
        <v>308586</v>
      </c>
      <c r="I172" s="1586">
        <v>86682</v>
      </c>
      <c r="J172" s="1586">
        <v>0</v>
      </c>
      <c r="K172" s="1586">
        <v>0</v>
      </c>
      <c r="L172" s="1586">
        <v>0</v>
      </c>
      <c r="M172" s="3367"/>
      <c r="N172" s="3367"/>
      <c r="O172" s="3984"/>
    </row>
    <row r="173" spans="1:15" s="2287" customFormat="1" ht="12.75" hidden="1">
      <c r="A173" s="3995" t="s">
        <v>84</v>
      </c>
      <c r="B173" s="179"/>
      <c r="C173" s="1316" t="s">
        <v>162</v>
      </c>
      <c r="D173" s="611"/>
      <c r="E173" s="612"/>
      <c r="F173" s="613"/>
      <c r="G173" s="613"/>
      <c r="H173" s="613"/>
      <c r="I173" s="612"/>
      <c r="J173" s="612"/>
      <c r="K173" s="612"/>
      <c r="L173" s="612"/>
      <c r="M173" s="614"/>
      <c r="N173" s="614"/>
      <c r="O173" s="3357"/>
    </row>
    <row r="174" spans="1:15" s="2287" customFormat="1" ht="15" hidden="1" customHeight="1">
      <c r="A174" s="3996"/>
      <c r="B174" s="1283" t="s">
        <v>10</v>
      </c>
      <c r="C174" s="2495"/>
      <c r="D174" s="1285">
        <f>+D175+D177</f>
        <v>0</v>
      </c>
      <c r="E174" s="1285">
        <f>+E175+E177</f>
        <v>0</v>
      </c>
      <c r="F174" s="1285">
        <f>+F175+F177</f>
        <v>0</v>
      </c>
      <c r="G174" s="1285">
        <f t="shared" ref="G174:H174" si="142">+G175+G177</f>
        <v>0</v>
      </c>
      <c r="H174" s="1285">
        <f t="shared" si="142"/>
        <v>0</v>
      </c>
      <c r="I174" s="1285">
        <v>0</v>
      </c>
      <c r="J174" s="1285">
        <v>0</v>
      </c>
      <c r="K174" s="1285">
        <v>0</v>
      </c>
      <c r="L174" s="1285">
        <v>0</v>
      </c>
      <c r="M174" s="1286">
        <f>+M175+M177</f>
        <v>0</v>
      </c>
      <c r="N174" s="1286">
        <f>+N175+N177</f>
        <v>0</v>
      </c>
      <c r="O174" s="3358"/>
    </row>
    <row r="175" spans="1:15" s="2287" customFormat="1" ht="15" hidden="1" customHeight="1">
      <c r="A175" s="3996"/>
      <c r="B175" s="1287" t="s">
        <v>23</v>
      </c>
      <c r="C175" s="3351" t="s">
        <v>211</v>
      </c>
      <c r="D175" s="1288">
        <f>+D176</f>
        <v>0</v>
      </c>
      <c r="E175" s="1293">
        <f>+E176</f>
        <v>0</v>
      </c>
      <c r="F175" s="1293">
        <f>+F176</f>
        <v>0</v>
      </c>
      <c r="G175" s="1293">
        <f t="shared" ref="G175:H175" si="143">+G176</f>
        <v>0</v>
      </c>
      <c r="H175" s="1293">
        <f t="shared" si="143"/>
        <v>0</v>
      </c>
      <c r="I175" s="1294">
        <v>0</v>
      </c>
      <c r="J175" s="1294">
        <v>0</v>
      </c>
      <c r="K175" s="1294">
        <v>0</v>
      </c>
      <c r="L175" s="1294">
        <v>0</v>
      </c>
      <c r="M175" s="1289">
        <f>+M176</f>
        <v>0</v>
      </c>
      <c r="N175" s="1289">
        <f>+N176</f>
        <v>0</v>
      </c>
      <c r="O175" s="3358"/>
    </row>
    <row r="176" spans="1:15" s="2287" customFormat="1" ht="15" hidden="1" customHeight="1">
      <c r="A176" s="3996"/>
      <c r="B176" s="1290" t="s">
        <v>12</v>
      </c>
      <c r="C176" s="3347"/>
      <c r="D176" s="1216"/>
      <c r="E176" s="1216">
        <v>0</v>
      </c>
      <c r="F176" s="1291"/>
      <c r="G176" s="1291"/>
      <c r="H176" s="1291"/>
      <c r="I176" s="1294">
        <v>0</v>
      </c>
      <c r="J176" s="1294">
        <v>0</v>
      </c>
      <c r="K176" s="1294">
        <v>0</v>
      </c>
      <c r="L176" s="1294">
        <v>0</v>
      </c>
      <c r="M176" s="1598">
        <f>SUM(F176:K176)</f>
        <v>0</v>
      </c>
      <c r="N176" s="1598">
        <f>SUM(G176:L176)</f>
        <v>0</v>
      </c>
      <c r="O176" s="3358"/>
    </row>
    <row r="177" spans="1:16" s="2287" customFormat="1" ht="15" hidden="1" customHeight="1">
      <c r="A177" s="3996"/>
      <c r="B177" s="1292" t="s">
        <v>18</v>
      </c>
      <c r="C177" s="3347"/>
      <c r="D177" s="1288">
        <f>+D178</f>
        <v>0</v>
      </c>
      <c r="E177" s="1293">
        <f>+E178</f>
        <v>0</v>
      </c>
      <c r="F177" s="1293">
        <f>+F178</f>
        <v>0</v>
      </c>
      <c r="G177" s="1293">
        <f t="shared" ref="G177:H177" si="144">+G178</f>
        <v>0</v>
      </c>
      <c r="H177" s="1293">
        <f t="shared" si="144"/>
        <v>0</v>
      </c>
      <c r="I177" s="1294">
        <v>0</v>
      </c>
      <c r="J177" s="1294">
        <v>0</v>
      </c>
      <c r="K177" s="1294">
        <v>0</v>
      </c>
      <c r="L177" s="1294">
        <v>0</v>
      </c>
      <c r="M177" s="1289">
        <f>+M178</f>
        <v>0</v>
      </c>
      <c r="N177" s="1289">
        <f>+N178</f>
        <v>0</v>
      </c>
      <c r="O177" s="3358"/>
    </row>
    <row r="178" spans="1:16" s="2287" customFormat="1" ht="15" hidden="1" customHeight="1">
      <c r="A178" s="3996"/>
      <c r="B178" s="3229" t="s">
        <v>20</v>
      </c>
      <c r="C178" s="3348"/>
      <c r="D178" s="1216"/>
      <c r="E178" s="1216">
        <v>0</v>
      </c>
      <c r="F178" s="1291"/>
      <c r="G178" s="1291"/>
      <c r="H178" s="1291"/>
      <c r="I178" s="1294">
        <v>0</v>
      </c>
      <c r="J178" s="1294">
        <v>0</v>
      </c>
      <c r="K178" s="1294">
        <v>0</v>
      </c>
      <c r="L178" s="1294">
        <v>0</v>
      </c>
      <c r="M178" s="1598">
        <f>SUM(F178:K178)</f>
        <v>0</v>
      </c>
      <c r="N178" s="1598">
        <f>SUM(G178:L178)</f>
        <v>0</v>
      </c>
      <c r="O178" s="3931"/>
    </row>
    <row r="179" spans="1:16" s="2287" customFormat="1" ht="15" hidden="1" customHeight="1">
      <c r="A179" s="3996"/>
      <c r="B179" s="2073" t="s">
        <v>21</v>
      </c>
      <c r="C179" s="2495"/>
      <c r="D179" s="1285">
        <f t="shared" ref="D179:F180" si="145">+D180</f>
        <v>0</v>
      </c>
      <c r="E179" s="1285">
        <f t="shared" si="145"/>
        <v>0</v>
      </c>
      <c r="F179" s="1285">
        <f t="shared" si="145"/>
        <v>0</v>
      </c>
      <c r="G179" s="1285">
        <f t="shared" ref="G179:H179" si="146">+G180</f>
        <v>0</v>
      </c>
      <c r="H179" s="1285">
        <f t="shared" si="146"/>
        <v>0</v>
      </c>
      <c r="I179" s="1285">
        <v>0</v>
      </c>
      <c r="J179" s="1285">
        <v>0</v>
      </c>
      <c r="K179" s="1285">
        <v>0</v>
      </c>
      <c r="L179" s="1285">
        <v>0</v>
      </c>
      <c r="M179" s="3368"/>
      <c r="N179" s="3368"/>
      <c r="O179" s="3358"/>
    </row>
    <row r="180" spans="1:16" s="2287" customFormat="1" ht="15" hidden="1" customHeight="1">
      <c r="A180" s="3996"/>
      <c r="B180" s="2111" t="s">
        <v>18</v>
      </c>
      <c r="C180" s="3436" t="s">
        <v>214</v>
      </c>
      <c r="D180" s="1288">
        <f t="shared" si="145"/>
        <v>0</v>
      </c>
      <c r="E180" s="1294">
        <f t="shared" si="145"/>
        <v>0</v>
      </c>
      <c r="F180" s="1294">
        <f t="shared" si="145"/>
        <v>0</v>
      </c>
      <c r="G180" s="1294">
        <f t="shared" ref="G180:H180" si="147">+G181</f>
        <v>0</v>
      </c>
      <c r="H180" s="1294">
        <f t="shared" si="147"/>
        <v>0</v>
      </c>
      <c r="I180" s="1294">
        <v>0</v>
      </c>
      <c r="J180" s="1294">
        <v>0</v>
      </c>
      <c r="K180" s="1294">
        <v>0</v>
      </c>
      <c r="L180" s="1294">
        <v>0</v>
      </c>
      <c r="M180" s="3366"/>
      <c r="N180" s="3366"/>
      <c r="O180" s="3358"/>
    </row>
    <row r="181" spans="1:16" s="2287" customFormat="1" ht="15" hidden="1" customHeight="1" thickBot="1">
      <c r="A181" s="3997"/>
      <c r="B181" s="2723" t="s">
        <v>20</v>
      </c>
      <c r="C181" s="3353"/>
      <c r="D181" s="1955">
        <f>E181+F181+G181+H181+I181+J181+K181+L181</f>
        <v>0</v>
      </c>
      <c r="E181" s="1955">
        <v>0</v>
      </c>
      <c r="F181" s="1586"/>
      <c r="G181" s="1586"/>
      <c r="H181" s="1586"/>
      <c r="I181" s="1586">
        <v>0</v>
      </c>
      <c r="J181" s="1586">
        <v>0</v>
      </c>
      <c r="K181" s="1586">
        <v>0</v>
      </c>
      <c r="L181" s="1586">
        <v>0</v>
      </c>
      <c r="M181" s="3367"/>
      <c r="N181" s="3367"/>
      <c r="O181" s="3359"/>
    </row>
    <row r="182" spans="1:16" s="2287" customFormat="1" ht="12.75" hidden="1">
      <c r="A182" s="4000" t="s">
        <v>85</v>
      </c>
      <c r="B182" s="179"/>
      <c r="C182" s="1316" t="s">
        <v>74</v>
      </c>
      <c r="D182" s="611"/>
      <c r="E182" s="1214"/>
      <c r="F182" s="613"/>
      <c r="G182" s="613"/>
      <c r="H182" s="613"/>
      <c r="I182" s="612"/>
      <c r="J182" s="612"/>
      <c r="K182" s="612"/>
      <c r="L182" s="612"/>
      <c r="M182" s="614"/>
      <c r="N182" s="614"/>
      <c r="O182" s="3357"/>
    </row>
    <row r="183" spans="1:16" s="2287" customFormat="1" ht="15" hidden="1" customHeight="1">
      <c r="A183" s="3996"/>
      <c r="B183" s="1283" t="s">
        <v>10</v>
      </c>
      <c r="C183" s="2495"/>
      <c r="D183" s="1285">
        <f>+D184+D186</f>
        <v>0</v>
      </c>
      <c r="E183" s="1285">
        <f>+E184+E186</f>
        <v>0</v>
      </c>
      <c r="F183" s="1285">
        <f>+F184+F186</f>
        <v>0</v>
      </c>
      <c r="G183" s="1285">
        <f t="shared" ref="G183:I183" si="148">+G184+G186</f>
        <v>0</v>
      </c>
      <c r="H183" s="1285">
        <f t="shared" si="148"/>
        <v>0</v>
      </c>
      <c r="I183" s="1285">
        <f t="shared" si="148"/>
        <v>0</v>
      </c>
      <c r="J183" s="1285">
        <v>0</v>
      </c>
      <c r="K183" s="1285">
        <v>0</v>
      </c>
      <c r="L183" s="1285">
        <v>0</v>
      </c>
      <c r="M183" s="1286">
        <f>+M184+M186</f>
        <v>0</v>
      </c>
      <c r="N183" s="1286">
        <f>+N184+N186</f>
        <v>0</v>
      </c>
      <c r="O183" s="3358"/>
    </row>
    <row r="184" spans="1:16" s="2287" customFormat="1" ht="15" hidden="1" customHeight="1">
      <c r="A184" s="3996"/>
      <c r="B184" s="1287" t="s">
        <v>23</v>
      </c>
      <c r="C184" s="3351" t="s">
        <v>211</v>
      </c>
      <c r="D184" s="1288">
        <f>+D185</f>
        <v>0</v>
      </c>
      <c r="E184" s="1293">
        <f>+E185</f>
        <v>0</v>
      </c>
      <c r="F184" s="1293">
        <f>+F185</f>
        <v>0</v>
      </c>
      <c r="G184" s="1293">
        <f>+G185</f>
        <v>0</v>
      </c>
      <c r="H184" s="1293">
        <f t="shared" ref="H184:I184" si="149">+H185</f>
        <v>0</v>
      </c>
      <c r="I184" s="1293">
        <f t="shared" si="149"/>
        <v>0</v>
      </c>
      <c r="J184" s="1294">
        <v>0</v>
      </c>
      <c r="K184" s="1294">
        <v>0</v>
      </c>
      <c r="L184" s="1294">
        <v>0</v>
      </c>
      <c r="M184" s="1289">
        <f>+M185</f>
        <v>0</v>
      </c>
      <c r="N184" s="1289">
        <f>+N185</f>
        <v>0</v>
      </c>
      <c r="O184" s="3358"/>
    </row>
    <row r="185" spans="1:16" s="2287" customFormat="1" ht="15" hidden="1" customHeight="1">
      <c r="A185" s="3996"/>
      <c r="B185" s="1290" t="s">
        <v>12</v>
      </c>
      <c r="C185" s="3347"/>
      <c r="D185" s="1216"/>
      <c r="E185" s="1216">
        <v>0</v>
      </c>
      <c r="F185" s="1291"/>
      <c r="G185" s="1291"/>
      <c r="H185" s="1291"/>
      <c r="I185" s="1291"/>
      <c r="J185" s="1294">
        <v>0</v>
      </c>
      <c r="K185" s="1294">
        <v>0</v>
      </c>
      <c r="L185" s="1294">
        <v>0</v>
      </c>
      <c r="M185" s="1598">
        <f>SUM(F185:K185)</f>
        <v>0</v>
      </c>
      <c r="N185" s="1598">
        <f>SUM(G185:L185)</f>
        <v>0</v>
      </c>
      <c r="O185" s="3358"/>
    </row>
    <row r="186" spans="1:16" s="2287" customFormat="1" ht="15" hidden="1" customHeight="1">
      <c r="A186" s="3996"/>
      <c r="B186" s="1292" t="s">
        <v>18</v>
      </c>
      <c r="C186" s="3347"/>
      <c r="D186" s="1288">
        <f>+D187</f>
        <v>0</v>
      </c>
      <c r="E186" s="1293">
        <f>+E187</f>
        <v>0</v>
      </c>
      <c r="F186" s="1293">
        <f>+F187</f>
        <v>0</v>
      </c>
      <c r="G186" s="1293">
        <f t="shared" ref="G186:I186" si="150">+G187</f>
        <v>0</v>
      </c>
      <c r="H186" s="1293">
        <f t="shared" si="150"/>
        <v>0</v>
      </c>
      <c r="I186" s="1293">
        <f t="shared" si="150"/>
        <v>0</v>
      </c>
      <c r="J186" s="1294">
        <v>0</v>
      </c>
      <c r="K186" s="1294">
        <v>0</v>
      </c>
      <c r="L186" s="1294">
        <v>0</v>
      </c>
      <c r="M186" s="1289">
        <f>+M187</f>
        <v>0</v>
      </c>
      <c r="N186" s="1289">
        <f>+N187</f>
        <v>0</v>
      </c>
      <c r="O186" s="3358"/>
    </row>
    <row r="187" spans="1:16" s="2287" customFormat="1" ht="15" hidden="1" customHeight="1">
      <c r="A187" s="3996"/>
      <c r="B187" s="3229" t="s">
        <v>20</v>
      </c>
      <c r="C187" s="3348"/>
      <c r="D187" s="1216"/>
      <c r="E187" s="1267">
        <v>0</v>
      </c>
      <c r="F187" s="1297"/>
      <c r="G187" s="1297"/>
      <c r="H187" s="1297"/>
      <c r="I187" s="1297"/>
      <c r="J187" s="1294">
        <v>0</v>
      </c>
      <c r="K187" s="1294">
        <v>0</v>
      </c>
      <c r="L187" s="1294">
        <v>0</v>
      </c>
      <c r="M187" s="1598">
        <f>SUM(F187:K187)</f>
        <v>0</v>
      </c>
      <c r="N187" s="1598">
        <f>SUM(G187:L187)</f>
        <v>0</v>
      </c>
      <c r="O187" s="3931"/>
    </row>
    <row r="188" spans="1:16" s="2287" customFormat="1" ht="15" hidden="1" customHeight="1">
      <c r="A188" s="3996"/>
      <c r="B188" s="2073" t="s">
        <v>21</v>
      </c>
      <c r="C188" s="2495"/>
      <c r="D188" s="1285">
        <f t="shared" ref="D188:F189" si="151">+D189</f>
        <v>0</v>
      </c>
      <c r="E188" s="97">
        <f t="shared" si="151"/>
        <v>0</v>
      </c>
      <c r="F188" s="97">
        <f t="shared" si="151"/>
        <v>0</v>
      </c>
      <c r="G188" s="97">
        <f t="shared" ref="G188:I188" si="152">+G189</f>
        <v>0</v>
      </c>
      <c r="H188" s="97">
        <f t="shared" si="152"/>
        <v>0</v>
      </c>
      <c r="I188" s="97">
        <f t="shared" si="152"/>
        <v>0</v>
      </c>
      <c r="J188" s="1285">
        <v>0</v>
      </c>
      <c r="K188" s="1285">
        <v>0</v>
      </c>
      <c r="L188" s="1285">
        <v>0</v>
      </c>
      <c r="M188" s="3368"/>
      <c r="N188" s="3368"/>
      <c r="O188" s="3358"/>
    </row>
    <row r="189" spans="1:16" s="2287" customFormat="1" ht="15" hidden="1" customHeight="1">
      <c r="A189" s="3996"/>
      <c r="B189" s="2111" t="s">
        <v>18</v>
      </c>
      <c r="C189" s="3436" t="s">
        <v>214</v>
      </c>
      <c r="D189" s="1288">
        <f t="shared" si="151"/>
        <v>0</v>
      </c>
      <c r="E189" s="1294">
        <f t="shared" si="151"/>
        <v>0</v>
      </c>
      <c r="F189" s="1294">
        <f t="shared" si="151"/>
        <v>0</v>
      </c>
      <c r="G189" s="1294">
        <f t="shared" ref="G189:I189" si="153">+G190</f>
        <v>0</v>
      </c>
      <c r="H189" s="1294">
        <f t="shared" si="153"/>
        <v>0</v>
      </c>
      <c r="I189" s="1294">
        <f t="shared" si="153"/>
        <v>0</v>
      </c>
      <c r="J189" s="1294">
        <v>0</v>
      </c>
      <c r="K189" s="1294">
        <v>0</v>
      </c>
      <c r="L189" s="1294">
        <v>0</v>
      </c>
      <c r="M189" s="3366"/>
      <c r="N189" s="3366"/>
      <c r="O189" s="3358"/>
    </row>
    <row r="190" spans="1:16" s="2287" customFormat="1" ht="15" hidden="1" customHeight="1" thickBot="1">
      <c r="A190" s="3997"/>
      <c r="B190" s="2723" t="s">
        <v>20</v>
      </c>
      <c r="C190" s="3353"/>
      <c r="D190" s="1216"/>
      <c r="E190" s="1216">
        <v>0</v>
      </c>
      <c r="F190" s="1586"/>
      <c r="G190" s="1586"/>
      <c r="H190" s="1586"/>
      <c r="I190" s="1586"/>
      <c r="J190" s="1586">
        <v>0</v>
      </c>
      <c r="K190" s="1586">
        <v>0</v>
      </c>
      <c r="L190" s="1586">
        <v>0</v>
      </c>
      <c r="M190" s="3367"/>
      <c r="N190" s="3367"/>
      <c r="O190" s="3359"/>
    </row>
    <row r="191" spans="1:16" s="2287" customFormat="1" ht="22.5" customHeight="1">
      <c r="A191" s="3995" t="s">
        <v>87</v>
      </c>
      <c r="B191" s="179" t="s">
        <v>685</v>
      </c>
      <c r="C191" s="1965" t="s">
        <v>101</v>
      </c>
      <c r="D191" s="613"/>
      <c r="E191" s="613"/>
      <c r="F191" s="613"/>
      <c r="G191" s="613"/>
      <c r="H191" s="613"/>
      <c r="I191" s="613"/>
      <c r="J191" s="613"/>
      <c r="K191" s="613"/>
      <c r="L191" s="613"/>
      <c r="M191" s="613">
        <f t="shared" ref="M191" si="154">+M196+M200</f>
        <v>121909</v>
      </c>
      <c r="N191" s="613"/>
      <c r="O191" s="3357" t="s">
        <v>411</v>
      </c>
    </row>
    <row r="192" spans="1:16" s="2287" customFormat="1" ht="12.75">
      <c r="A192" s="3996"/>
      <c r="B192" s="1283" t="s">
        <v>10</v>
      </c>
      <c r="C192" s="2495"/>
      <c r="D192" s="1285">
        <f>+D193+D197</f>
        <v>653000</v>
      </c>
      <c r="E192" s="1285">
        <f t="shared" ref="E192" si="155">+E193+E197</f>
        <v>0</v>
      </c>
      <c r="F192" s="1285">
        <f t="shared" ref="F192:L192" si="156">+F193+F197</f>
        <v>915</v>
      </c>
      <c r="G192" s="1285">
        <f t="shared" si="156"/>
        <v>76680</v>
      </c>
      <c r="H192" s="1285">
        <f t="shared" si="156"/>
        <v>427626</v>
      </c>
      <c r="I192" s="1285">
        <f t="shared" si="156"/>
        <v>147779</v>
      </c>
      <c r="J192" s="1295">
        <f t="shared" si="156"/>
        <v>0</v>
      </c>
      <c r="K192" s="1295">
        <f t="shared" si="156"/>
        <v>0</v>
      </c>
      <c r="L192" s="1295">
        <f t="shared" si="156"/>
        <v>0</v>
      </c>
      <c r="M192" s="1286">
        <f>+M193+M197</f>
        <v>653000</v>
      </c>
      <c r="N192" s="1286">
        <f>+N193+N197</f>
        <v>652085</v>
      </c>
      <c r="O192" s="3358"/>
      <c r="P192" s="2287" t="s">
        <v>477</v>
      </c>
    </row>
    <row r="193" spans="1:16" s="2287" customFormat="1" ht="15" customHeight="1">
      <c r="A193" s="3996"/>
      <c r="B193" s="1287" t="s">
        <v>23</v>
      </c>
      <c r="C193" s="3351" t="s">
        <v>472</v>
      </c>
      <c r="D193" s="1288">
        <f>SUM(D194)</f>
        <v>98843</v>
      </c>
      <c r="E193" s="1288">
        <f t="shared" ref="E193:L193" si="157">SUM(E194)</f>
        <v>0</v>
      </c>
      <c r="F193" s="1288">
        <f t="shared" si="157"/>
        <v>137</v>
      </c>
      <c r="G193" s="1288">
        <f t="shared" si="157"/>
        <v>11800</v>
      </c>
      <c r="H193" s="1288">
        <f t="shared" si="157"/>
        <v>64441</v>
      </c>
      <c r="I193" s="1288">
        <f t="shared" si="157"/>
        <v>22465</v>
      </c>
      <c r="J193" s="1296">
        <f t="shared" si="157"/>
        <v>0</v>
      </c>
      <c r="K193" s="1296">
        <f t="shared" si="157"/>
        <v>0</v>
      </c>
      <c r="L193" s="1296">
        <f t="shared" si="157"/>
        <v>0</v>
      </c>
      <c r="M193" s="1289">
        <f>+M194</f>
        <v>98843</v>
      </c>
      <c r="N193" s="1289">
        <f>+N194</f>
        <v>98706</v>
      </c>
      <c r="O193" s="3358"/>
    </row>
    <row r="194" spans="1:16" s="2287" customFormat="1" ht="13.5" thickBot="1">
      <c r="A194" s="3996"/>
      <c r="B194" s="1290" t="s">
        <v>12</v>
      </c>
      <c r="C194" s="3347"/>
      <c r="D194" s="1216">
        <f>E194+F194+G194+H194+I194+J194+K194+L194</f>
        <v>98843</v>
      </c>
      <c r="E194" s="1216">
        <v>0</v>
      </c>
      <c r="F194" s="1216">
        <f>SUM(F195:F196)</f>
        <v>137</v>
      </c>
      <c r="G194" s="1216">
        <f t="shared" ref="G194:L194" si="158">SUM(G195:G196)</f>
        <v>11800</v>
      </c>
      <c r="H194" s="1216">
        <f t="shared" si="158"/>
        <v>64441</v>
      </c>
      <c r="I194" s="1216">
        <f t="shared" si="158"/>
        <v>22465</v>
      </c>
      <c r="J194" s="1973">
        <f t="shared" si="158"/>
        <v>0</v>
      </c>
      <c r="K194" s="1973">
        <f t="shared" si="158"/>
        <v>0</v>
      </c>
      <c r="L194" s="1973">
        <f t="shared" si="158"/>
        <v>0</v>
      </c>
      <c r="M194" s="1598">
        <f>+M195+M196</f>
        <v>98843</v>
      </c>
      <c r="N194" s="1598">
        <f>+N195+N196</f>
        <v>98706</v>
      </c>
      <c r="O194" s="3358"/>
    </row>
    <row r="195" spans="1:16" s="2287" customFormat="1" ht="15" hidden="1" customHeight="1">
      <c r="A195" s="3996"/>
      <c r="B195" s="2988" t="s">
        <v>473</v>
      </c>
      <c r="C195" s="3347"/>
      <c r="D195" s="2989">
        <f>SUM(E195:L195)</f>
        <v>80557</v>
      </c>
      <c r="E195" s="3247">
        <v>0</v>
      </c>
      <c r="F195" s="3248">
        <f>2151-2014</f>
        <v>137</v>
      </c>
      <c r="G195" s="3248">
        <f>22007+4408-15714</f>
        <v>10701</v>
      </c>
      <c r="H195" s="3248">
        <f>45779+8214</f>
        <v>53993</v>
      </c>
      <c r="I195" s="3248">
        <f>8226+7500</f>
        <v>15726</v>
      </c>
      <c r="J195" s="3249">
        <v>0</v>
      </c>
      <c r="K195" s="3249">
        <v>0</v>
      </c>
      <c r="L195" s="3249">
        <v>0</v>
      </c>
      <c r="M195" s="1598">
        <f>SUM(F195:K195)</f>
        <v>80557</v>
      </c>
      <c r="N195" s="1598">
        <f>SUM(G195:L195)</f>
        <v>80420</v>
      </c>
      <c r="O195" s="3358"/>
    </row>
    <row r="196" spans="1:16" s="2287" customFormat="1" ht="15" hidden="1" customHeight="1" thickBot="1">
      <c r="A196" s="3997"/>
      <c r="B196" s="3250" t="s">
        <v>288</v>
      </c>
      <c r="C196" s="3347"/>
      <c r="D196" s="3243">
        <v>18286</v>
      </c>
      <c r="E196" s="3251">
        <v>0</v>
      </c>
      <c r="F196" s="3252">
        <v>0</v>
      </c>
      <c r="G196" s="3246">
        <f>6027-4928</f>
        <v>1099</v>
      </c>
      <c r="H196" s="3246">
        <v>10448</v>
      </c>
      <c r="I196" s="3246">
        <f>1811+4928</f>
        <v>6739</v>
      </c>
      <c r="J196" s="3253">
        <v>0</v>
      </c>
      <c r="K196" s="3253">
        <v>0</v>
      </c>
      <c r="L196" s="3253">
        <v>0</v>
      </c>
      <c r="M196" s="1598">
        <f>SUM(F196:K196)</f>
        <v>18286</v>
      </c>
      <c r="N196" s="1598">
        <f>SUM(G196:L196)</f>
        <v>18286</v>
      </c>
      <c r="O196" s="3358"/>
    </row>
    <row r="197" spans="1:16" s="2287" customFormat="1" ht="13.5" thickBot="1">
      <c r="A197" s="3994"/>
      <c r="B197" s="1292" t="s">
        <v>18</v>
      </c>
      <c r="C197" s="3347"/>
      <c r="D197" s="1288">
        <f>SUM(E197:L197)</f>
        <v>554157</v>
      </c>
      <c r="E197" s="1288">
        <f t="shared" ref="E197:L197" si="159">SUM(E198)</f>
        <v>0</v>
      </c>
      <c r="F197" s="1288">
        <f t="shared" si="159"/>
        <v>778</v>
      </c>
      <c r="G197" s="1288">
        <f t="shared" si="159"/>
        <v>64880</v>
      </c>
      <c r="H197" s="1288">
        <f t="shared" si="159"/>
        <v>363185</v>
      </c>
      <c r="I197" s="1288">
        <f t="shared" si="159"/>
        <v>125314</v>
      </c>
      <c r="J197" s="1296">
        <f t="shared" si="159"/>
        <v>0</v>
      </c>
      <c r="K197" s="1296">
        <f t="shared" si="159"/>
        <v>0</v>
      </c>
      <c r="L197" s="1296">
        <f t="shared" si="159"/>
        <v>0</v>
      </c>
      <c r="M197" s="1289">
        <f>+M198</f>
        <v>554157</v>
      </c>
      <c r="N197" s="1289">
        <f>+N198</f>
        <v>553379</v>
      </c>
      <c r="O197" s="3358"/>
    </row>
    <row r="198" spans="1:16" s="2287" customFormat="1" ht="13.5" thickBot="1">
      <c r="A198" s="3994"/>
      <c r="B198" s="3254" t="s">
        <v>20</v>
      </c>
      <c r="C198" s="3347"/>
      <c r="D198" s="1216">
        <f>E198+F198+G198+H198+I198+J198+K198+L198</f>
        <v>554157</v>
      </c>
      <c r="E198" s="1216">
        <v>0</v>
      </c>
      <c r="F198" s="1978">
        <f t="shared" ref="F198:L198" si="160">SUM(F199:F200)</f>
        <v>778</v>
      </c>
      <c r="G198" s="1978">
        <f t="shared" si="160"/>
        <v>64880</v>
      </c>
      <c r="H198" s="1978">
        <f t="shared" si="160"/>
        <v>363185</v>
      </c>
      <c r="I198" s="1978">
        <f t="shared" si="160"/>
        <v>125314</v>
      </c>
      <c r="J198" s="1979">
        <f t="shared" si="160"/>
        <v>0</v>
      </c>
      <c r="K198" s="1979">
        <f t="shared" si="160"/>
        <v>0</v>
      </c>
      <c r="L198" s="1979">
        <f t="shared" si="160"/>
        <v>0</v>
      </c>
      <c r="M198" s="1598">
        <f>SUM(F198:K198)</f>
        <v>554157</v>
      </c>
      <c r="N198" s="1598">
        <f>SUM(G198:L198)</f>
        <v>553379</v>
      </c>
      <c r="O198" s="3358"/>
    </row>
    <row r="199" spans="1:16" s="2287" customFormat="1" ht="15" hidden="1" customHeight="1" thickBot="1">
      <c r="A199" s="3994"/>
      <c r="B199" s="3255" t="s">
        <v>473</v>
      </c>
      <c r="C199" s="3998"/>
      <c r="D199" s="1978">
        <f>SUM(E199:L199)</f>
        <v>450534</v>
      </c>
      <c r="E199" s="3256">
        <v>0</v>
      </c>
      <c r="F199" s="3242">
        <f>12189-11411</f>
        <v>778</v>
      </c>
      <c r="G199" s="3242">
        <f>122723+24977-89045</f>
        <v>58655</v>
      </c>
      <c r="H199" s="3242">
        <f>257431+46545</f>
        <v>303976</v>
      </c>
      <c r="I199" s="3242">
        <f>44625+42500</f>
        <v>87125</v>
      </c>
      <c r="J199" s="3257">
        <v>0</v>
      </c>
      <c r="K199" s="3257">
        <v>0</v>
      </c>
      <c r="L199" s="3257">
        <v>0</v>
      </c>
      <c r="M199" s="1286">
        <f t="shared" ref="M199:M200" si="161">SUM(E199:K199)</f>
        <v>450534</v>
      </c>
      <c r="N199" s="1598">
        <f>SUM(G199:L199)</f>
        <v>449756</v>
      </c>
      <c r="O199" s="3358"/>
    </row>
    <row r="200" spans="1:16" s="2287" customFormat="1" ht="15" hidden="1" customHeight="1" thickBot="1">
      <c r="A200" s="3994"/>
      <c r="B200" s="3258" t="s">
        <v>288</v>
      </c>
      <c r="C200" s="3923"/>
      <c r="D200" s="3243">
        <f>SUM(E200:L200)</f>
        <v>103623</v>
      </c>
      <c r="E200" s="3259">
        <v>0</v>
      </c>
      <c r="F200" s="3260">
        <v>0</v>
      </c>
      <c r="G200" s="2026">
        <f>34150-27925</f>
        <v>6225</v>
      </c>
      <c r="H200" s="2026">
        <v>59209</v>
      </c>
      <c r="I200" s="2026">
        <f>10264+27925</f>
        <v>38189</v>
      </c>
      <c r="J200" s="3261">
        <v>0</v>
      </c>
      <c r="K200" s="3261">
        <v>0</v>
      </c>
      <c r="L200" s="3261">
        <v>0</v>
      </c>
      <c r="M200" s="1286">
        <f t="shared" si="161"/>
        <v>103623</v>
      </c>
      <c r="N200" s="1598">
        <f>SUM(G200:L200)</f>
        <v>103623</v>
      </c>
      <c r="O200" s="3931"/>
    </row>
    <row r="201" spans="1:16" s="2287" customFormat="1" ht="13.5" customHeight="1" thickBot="1">
      <c r="A201" s="3994"/>
      <c r="B201" s="80" t="s">
        <v>21</v>
      </c>
      <c r="C201" s="2495"/>
      <c r="D201" s="1285">
        <f>SUM(E201:L201)</f>
        <v>554157</v>
      </c>
      <c r="E201" s="1285">
        <f t="shared" ref="E201:L201" si="162">+E202</f>
        <v>0</v>
      </c>
      <c r="F201" s="1295">
        <f t="shared" si="162"/>
        <v>0</v>
      </c>
      <c r="G201" s="1285">
        <f t="shared" si="162"/>
        <v>37120</v>
      </c>
      <c r="H201" s="1285">
        <f t="shared" si="162"/>
        <v>367384</v>
      </c>
      <c r="I201" s="1285">
        <f t="shared" si="162"/>
        <v>149653</v>
      </c>
      <c r="J201" s="1295">
        <f t="shared" si="162"/>
        <v>0</v>
      </c>
      <c r="K201" s="1295">
        <f t="shared" si="162"/>
        <v>0</v>
      </c>
      <c r="L201" s="1295">
        <f t="shared" si="162"/>
        <v>0</v>
      </c>
      <c r="M201" s="3368"/>
      <c r="N201" s="3368"/>
      <c r="O201" s="3992" t="s">
        <v>219</v>
      </c>
    </row>
    <row r="202" spans="1:16" s="2287" customFormat="1" ht="15" customHeight="1" thickBot="1">
      <c r="A202" s="3994"/>
      <c r="B202" s="2111" t="s">
        <v>18</v>
      </c>
      <c r="C202" s="3436" t="s">
        <v>161</v>
      </c>
      <c r="D202" s="1288">
        <f>SUM(E202:L202)</f>
        <v>554157</v>
      </c>
      <c r="E202" s="1288">
        <f t="shared" ref="E202:L202" si="163">SUM(E203)</f>
        <v>0</v>
      </c>
      <c r="F202" s="1296">
        <f t="shared" si="163"/>
        <v>0</v>
      </c>
      <c r="G202" s="1288">
        <f t="shared" si="163"/>
        <v>37120</v>
      </c>
      <c r="H202" s="1288">
        <f t="shared" si="163"/>
        <v>367384</v>
      </c>
      <c r="I202" s="1288">
        <f t="shared" si="163"/>
        <v>149653</v>
      </c>
      <c r="J202" s="1296">
        <f t="shared" si="163"/>
        <v>0</v>
      </c>
      <c r="K202" s="1296">
        <f t="shared" si="163"/>
        <v>0</v>
      </c>
      <c r="L202" s="1296">
        <f t="shared" si="163"/>
        <v>0</v>
      </c>
      <c r="M202" s="3366"/>
      <c r="N202" s="3366"/>
      <c r="O202" s="3358"/>
    </row>
    <row r="203" spans="1:16" s="2287" customFormat="1" ht="13.5" thickBot="1">
      <c r="A203" s="3994"/>
      <c r="B203" s="2723" t="s">
        <v>20</v>
      </c>
      <c r="C203" s="3353"/>
      <c r="D203" s="1216">
        <f>E203+F203+G203+H203+I203+J203+K203+L203</f>
        <v>554157</v>
      </c>
      <c r="E203" s="1216">
        <v>0</v>
      </c>
      <c r="F203" s="1735">
        <v>0</v>
      </c>
      <c r="G203" s="1586">
        <f>69700-32580</f>
        <v>37120</v>
      </c>
      <c r="H203" s="1586">
        <f>353818+13566</f>
        <v>367384</v>
      </c>
      <c r="I203" s="1586">
        <f>117073+32580</f>
        <v>149653</v>
      </c>
      <c r="J203" s="1735">
        <v>0</v>
      </c>
      <c r="K203" s="1735">
        <v>0</v>
      </c>
      <c r="L203" s="1735">
        <v>0</v>
      </c>
      <c r="M203" s="3367"/>
      <c r="N203" s="3367"/>
      <c r="O203" s="3359"/>
    </row>
    <row r="204" spans="1:16" s="2287" customFormat="1" ht="24" hidden="1" customHeight="1">
      <c r="A204" s="3993" t="s">
        <v>85</v>
      </c>
      <c r="B204" s="179" t="s">
        <v>487</v>
      </c>
      <c r="C204" s="1316" t="s">
        <v>74</v>
      </c>
      <c r="D204" s="611"/>
      <c r="E204" s="1214"/>
      <c r="F204" s="613"/>
      <c r="G204" s="613"/>
      <c r="H204" s="613"/>
      <c r="I204" s="612"/>
      <c r="J204" s="612"/>
      <c r="K204" s="612"/>
      <c r="L204" s="612"/>
      <c r="M204" s="614"/>
      <c r="N204" s="614"/>
      <c r="O204" s="3357" t="s">
        <v>219</v>
      </c>
      <c r="P204" s="2287" t="s">
        <v>477</v>
      </c>
    </row>
    <row r="205" spans="1:16" s="2287" customFormat="1" ht="13.5" hidden="1" thickBot="1">
      <c r="A205" s="3994"/>
      <c r="B205" s="1283" t="s">
        <v>10</v>
      </c>
      <c r="C205" s="2495"/>
      <c r="D205" s="1285">
        <f>SUM(E205:L205)</f>
        <v>0</v>
      </c>
      <c r="E205" s="1967">
        <f>SUM(E206,E208)</f>
        <v>0</v>
      </c>
      <c r="F205" s="1580">
        <f t="shared" ref="F205:L205" si="164">F206+F208</f>
        <v>0</v>
      </c>
      <c r="G205" s="1967">
        <f>SUM(G206,G208)</f>
        <v>0</v>
      </c>
      <c r="H205" s="1580">
        <f t="shared" si="164"/>
        <v>0</v>
      </c>
      <c r="I205" s="1580">
        <f t="shared" si="164"/>
        <v>0</v>
      </c>
      <c r="J205" s="1580">
        <f t="shared" si="164"/>
        <v>0</v>
      </c>
      <c r="K205" s="1580">
        <f t="shared" si="164"/>
        <v>0</v>
      </c>
      <c r="L205" s="1580">
        <f t="shared" si="164"/>
        <v>0</v>
      </c>
      <c r="M205" s="1286">
        <f>+M206+M208</f>
        <v>0</v>
      </c>
      <c r="N205" s="1286">
        <f>+N206+N208</f>
        <v>0</v>
      </c>
      <c r="O205" s="3358"/>
    </row>
    <row r="206" spans="1:16" s="2287" customFormat="1" ht="15" hidden="1" customHeight="1">
      <c r="A206" s="3994"/>
      <c r="B206" s="1287" t="s">
        <v>23</v>
      </c>
      <c r="C206" s="3351" t="s">
        <v>161</v>
      </c>
      <c r="D206" s="1288">
        <f>SUM(E206:L206)</f>
        <v>0</v>
      </c>
      <c r="E206" s="1968">
        <f t="shared" ref="E206:L206" si="165">E207</f>
        <v>0</v>
      </c>
      <c r="F206" s="1969">
        <f t="shared" si="165"/>
        <v>0</v>
      </c>
      <c r="G206" s="1968">
        <f t="shared" si="165"/>
        <v>0</v>
      </c>
      <c r="H206" s="1969">
        <f t="shared" si="165"/>
        <v>0</v>
      </c>
      <c r="I206" s="1969">
        <f t="shared" si="165"/>
        <v>0</v>
      </c>
      <c r="J206" s="1969">
        <f t="shared" si="165"/>
        <v>0</v>
      </c>
      <c r="K206" s="1969">
        <f t="shared" si="165"/>
        <v>0</v>
      </c>
      <c r="L206" s="1969">
        <f t="shared" si="165"/>
        <v>0</v>
      </c>
      <c r="M206" s="1289">
        <f>+M207</f>
        <v>0</v>
      </c>
      <c r="N206" s="1289">
        <f>+N207</f>
        <v>0</v>
      </c>
      <c r="O206" s="3358"/>
    </row>
    <row r="207" spans="1:16" s="2287" customFormat="1" ht="11.25" hidden="1" customHeight="1">
      <c r="A207" s="3994"/>
      <c r="B207" s="2288" t="s">
        <v>12</v>
      </c>
      <c r="C207" s="3347"/>
      <c r="D207" s="1216">
        <f>E207+F207+G207+H207+I207+J207+K207+L207</f>
        <v>0</v>
      </c>
      <c r="E207" s="1216">
        <v>0</v>
      </c>
      <c r="F207" s="1970">
        <v>0</v>
      </c>
      <c r="G207" s="1971">
        <f>2394-2394</f>
        <v>0</v>
      </c>
      <c r="H207" s="1970">
        <v>0</v>
      </c>
      <c r="I207" s="1970">
        <v>0</v>
      </c>
      <c r="J207" s="1970">
        <v>0</v>
      </c>
      <c r="K207" s="1970">
        <v>0</v>
      </c>
      <c r="L207" s="1970">
        <v>0</v>
      </c>
      <c r="M207" s="1598">
        <f>SUM(F207:K207)</f>
        <v>0</v>
      </c>
      <c r="N207" s="1598">
        <f>SUM(G207:L207)</f>
        <v>0</v>
      </c>
      <c r="O207" s="3358"/>
    </row>
    <row r="208" spans="1:16" s="2287" customFormat="1" ht="12.75" hidden="1" customHeight="1">
      <c r="A208" s="3994"/>
      <c r="B208" s="2372" t="s">
        <v>18</v>
      </c>
      <c r="C208" s="3347"/>
      <c r="D208" s="1288">
        <f>SUM(E208:L208)</f>
        <v>0</v>
      </c>
      <c r="E208" s="1968">
        <f>E209</f>
        <v>0</v>
      </c>
      <c r="F208" s="1969">
        <v>0</v>
      </c>
      <c r="G208" s="1968">
        <f>G209</f>
        <v>0</v>
      </c>
      <c r="H208" s="1969">
        <v>0</v>
      </c>
      <c r="I208" s="1969">
        <v>0</v>
      </c>
      <c r="J208" s="1969">
        <v>0</v>
      </c>
      <c r="K208" s="1969">
        <v>0</v>
      </c>
      <c r="L208" s="1969">
        <v>0</v>
      </c>
      <c r="M208" s="1289">
        <f>+M209</f>
        <v>0</v>
      </c>
      <c r="N208" s="1289">
        <f>+N209</f>
        <v>0</v>
      </c>
      <c r="O208" s="3358"/>
    </row>
    <row r="209" spans="1:15" s="2287" customFormat="1" ht="13.5" hidden="1" thickBot="1">
      <c r="A209" s="3994"/>
      <c r="B209" s="3229" t="s">
        <v>20</v>
      </c>
      <c r="C209" s="3348"/>
      <c r="D209" s="1216">
        <f>E209+F209+G209+H209+I209+J209+K209+L209</f>
        <v>0</v>
      </c>
      <c r="E209" s="1216">
        <v>0</v>
      </c>
      <c r="F209" s="1970">
        <v>0</v>
      </c>
      <c r="G209" s="1971">
        <f>13566-13566</f>
        <v>0</v>
      </c>
      <c r="H209" s="1970">
        <v>0</v>
      </c>
      <c r="I209" s="1970">
        <v>0</v>
      </c>
      <c r="J209" s="1970">
        <v>0</v>
      </c>
      <c r="K209" s="1970">
        <v>0</v>
      </c>
      <c r="L209" s="1970">
        <v>0</v>
      </c>
      <c r="M209" s="1598">
        <f>SUM(F209:K209)</f>
        <v>0</v>
      </c>
      <c r="N209" s="1598">
        <f>SUM(G209:L209)</f>
        <v>0</v>
      </c>
      <c r="O209" s="3931"/>
    </row>
    <row r="210" spans="1:15" s="2287" customFormat="1" ht="13.5" hidden="1" thickBot="1">
      <c r="A210" s="3994"/>
      <c r="B210" s="2073" t="s">
        <v>21</v>
      </c>
      <c r="C210" s="2495"/>
      <c r="D210" s="1285">
        <f>SUM(E210:L210)</f>
        <v>0</v>
      </c>
      <c r="E210" s="1967">
        <f t="shared" ref="E210:L211" si="166">E211</f>
        <v>0</v>
      </c>
      <c r="F210" s="1580">
        <f t="shared" si="166"/>
        <v>0</v>
      </c>
      <c r="G210" s="1967">
        <f t="shared" si="166"/>
        <v>0</v>
      </c>
      <c r="H210" s="1580">
        <f t="shared" si="166"/>
        <v>0</v>
      </c>
      <c r="I210" s="1580">
        <f t="shared" si="166"/>
        <v>0</v>
      </c>
      <c r="J210" s="1580">
        <f t="shared" si="166"/>
        <v>0</v>
      </c>
      <c r="K210" s="1580">
        <f t="shared" si="166"/>
        <v>0</v>
      </c>
      <c r="L210" s="1580">
        <f t="shared" si="166"/>
        <v>0</v>
      </c>
      <c r="M210" s="3368"/>
      <c r="N210" s="3368"/>
      <c r="O210" s="3358" t="s">
        <v>219</v>
      </c>
    </row>
    <row r="211" spans="1:15" s="2287" customFormat="1" ht="12.75" hidden="1" customHeight="1">
      <c r="A211" s="3994"/>
      <c r="B211" s="2111" t="s">
        <v>18</v>
      </c>
      <c r="C211" s="3436" t="s">
        <v>161</v>
      </c>
      <c r="D211" s="1288">
        <f>SUM(E211:L211)</f>
        <v>0</v>
      </c>
      <c r="E211" s="1972">
        <f t="shared" si="166"/>
        <v>0</v>
      </c>
      <c r="F211" s="1344">
        <f t="shared" si="166"/>
        <v>0</v>
      </c>
      <c r="G211" s="1972">
        <f t="shared" si="166"/>
        <v>0</v>
      </c>
      <c r="H211" s="1344">
        <f t="shared" si="166"/>
        <v>0</v>
      </c>
      <c r="I211" s="1344">
        <f t="shared" si="166"/>
        <v>0</v>
      </c>
      <c r="J211" s="1344">
        <f t="shared" si="166"/>
        <v>0</v>
      </c>
      <c r="K211" s="1344">
        <f t="shared" si="166"/>
        <v>0</v>
      </c>
      <c r="L211" s="1344">
        <f t="shared" si="166"/>
        <v>0</v>
      </c>
      <c r="M211" s="3366"/>
      <c r="N211" s="3366"/>
      <c r="O211" s="3358"/>
    </row>
    <row r="212" spans="1:15" s="2287" customFormat="1" ht="12" hidden="1" customHeight="1" thickBot="1">
      <c r="A212" s="3994"/>
      <c r="B212" s="2723" t="s">
        <v>20</v>
      </c>
      <c r="C212" s="3353"/>
      <c r="D212" s="1955">
        <f>E212+F212+G212+H212+I212+J212+K212+L212</f>
        <v>0</v>
      </c>
      <c r="E212" s="1955">
        <v>0</v>
      </c>
      <c r="F212" s="1956">
        <v>0</v>
      </c>
      <c r="G212" s="3262">
        <f>13566-13566</f>
        <v>0</v>
      </c>
      <c r="H212" s="1956">
        <v>0</v>
      </c>
      <c r="I212" s="1956">
        <v>0</v>
      </c>
      <c r="J212" s="1956">
        <v>0</v>
      </c>
      <c r="K212" s="1956">
        <v>0</v>
      </c>
      <c r="L212" s="1956">
        <v>0</v>
      </c>
      <c r="M212" s="3367"/>
      <c r="N212" s="3367"/>
      <c r="O212" s="3359"/>
    </row>
    <row r="213" spans="1:15" s="2287" customFormat="1" ht="40.5" customHeight="1" thickBot="1">
      <c r="A213" s="3993" t="s">
        <v>88</v>
      </c>
      <c r="B213" s="179" t="s">
        <v>686</v>
      </c>
      <c r="C213" s="1316" t="s">
        <v>101</v>
      </c>
      <c r="D213" s="612"/>
      <c r="E213" s="2661"/>
      <c r="F213" s="2655"/>
      <c r="G213" s="2655"/>
      <c r="H213" s="2655"/>
      <c r="I213" s="1966"/>
      <c r="J213" s="1966"/>
      <c r="K213" s="1966"/>
      <c r="L213" s="2656"/>
      <c r="M213" s="614"/>
      <c r="N213" s="614"/>
      <c r="O213" s="3357" t="s">
        <v>411</v>
      </c>
    </row>
    <row r="214" spans="1:15" s="2287" customFormat="1" ht="15" customHeight="1" thickBot="1">
      <c r="A214" s="3994"/>
      <c r="B214" s="1283" t="s">
        <v>10</v>
      </c>
      <c r="C214" s="2495"/>
      <c r="D214" s="1285">
        <f>+D215+D219</f>
        <v>1276500</v>
      </c>
      <c r="E214" s="1285">
        <f t="shared" ref="E214" si="167">+E215+E219</f>
        <v>0</v>
      </c>
      <c r="F214" s="1285">
        <f>+F215+F219</f>
        <v>25422</v>
      </c>
      <c r="G214" s="1285">
        <f>+G215+G219</f>
        <v>545621</v>
      </c>
      <c r="H214" s="1285">
        <f t="shared" ref="H214:L214" si="168">+H215+H219</f>
        <v>671780</v>
      </c>
      <c r="I214" s="1285">
        <f t="shared" si="168"/>
        <v>33677</v>
      </c>
      <c r="J214" s="1295">
        <f t="shared" si="168"/>
        <v>0</v>
      </c>
      <c r="K214" s="1295">
        <f t="shared" si="168"/>
        <v>0</v>
      </c>
      <c r="L214" s="1295">
        <f t="shared" si="168"/>
        <v>0</v>
      </c>
      <c r="M214" s="1286">
        <f>+M215+M219</f>
        <v>1276500</v>
      </c>
      <c r="N214" s="1286">
        <f>+N215+N219</f>
        <v>1251078</v>
      </c>
      <c r="O214" s="3358"/>
    </row>
    <row r="215" spans="1:15" s="2287" customFormat="1" ht="15" customHeight="1" thickBot="1">
      <c r="A215" s="3994"/>
      <c r="B215" s="1287" t="s">
        <v>23</v>
      </c>
      <c r="C215" s="3351" t="s">
        <v>472</v>
      </c>
      <c r="D215" s="1288">
        <f>SUM(D216)</f>
        <v>191898</v>
      </c>
      <c r="E215" s="1288">
        <f t="shared" ref="E215:L215" si="169">SUM(E216)</f>
        <v>0</v>
      </c>
      <c r="F215" s="1288">
        <f t="shared" si="169"/>
        <v>3813</v>
      </c>
      <c r="G215" s="1288">
        <f t="shared" si="169"/>
        <v>82013</v>
      </c>
      <c r="H215" s="1288">
        <f t="shared" si="169"/>
        <v>100937</v>
      </c>
      <c r="I215" s="1288">
        <f t="shared" si="169"/>
        <v>5135</v>
      </c>
      <c r="J215" s="1296">
        <f t="shared" si="169"/>
        <v>0</v>
      </c>
      <c r="K215" s="1296">
        <f t="shared" si="169"/>
        <v>0</v>
      </c>
      <c r="L215" s="1296">
        <f t="shared" si="169"/>
        <v>0</v>
      </c>
      <c r="M215" s="1289">
        <f>+M216</f>
        <v>191898</v>
      </c>
      <c r="N215" s="1289">
        <f>+N216</f>
        <v>188085</v>
      </c>
      <c r="O215" s="3358"/>
    </row>
    <row r="216" spans="1:15" s="2287" customFormat="1" ht="12" customHeight="1" thickBot="1">
      <c r="A216" s="3994"/>
      <c r="B216" s="1290" t="s">
        <v>12</v>
      </c>
      <c r="C216" s="3347"/>
      <c r="D216" s="1216">
        <f>E216+F216+G216+H216+I216+J216+K216+L216</f>
        <v>191898</v>
      </c>
      <c r="E216" s="1216">
        <v>0</v>
      </c>
      <c r="F216" s="1216">
        <f t="shared" ref="F216:L216" si="170">SUM(F217:F218)</f>
        <v>3813</v>
      </c>
      <c r="G216" s="1216">
        <f t="shared" si="170"/>
        <v>82013</v>
      </c>
      <c r="H216" s="1216">
        <f t="shared" si="170"/>
        <v>100937</v>
      </c>
      <c r="I216" s="1216">
        <f t="shared" si="170"/>
        <v>5135</v>
      </c>
      <c r="J216" s="1973">
        <f t="shared" si="170"/>
        <v>0</v>
      </c>
      <c r="K216" s="1973">
        <f t="shared" si="170"/>
        <v>0</v>
      </c>
      <c r="L216" s="1973">
        <f t="shared" si="170"/>
        <v>0</v>
      </c>
      <c r="M216" s="1598">
        <f>+M217+M218</f>
        <v>191898</v>
      </c>
      <c r="N216" s="1598">
        <f>+N217+N218</f>
        <v>188085</v>
      </c>
      <c r="O216" s="3358"/>
    </row>
    <row r="217" spans="1:15" s="2287" customFormat="1" ht="15" hidden="1" customHeight="1">
      <c r="A217" s="3994"/>
      <c r="B217" s="1974" t="s">
        <v>473</v>
      </c>
      <c r="C217" s="3347"/>
      <c r="D217" s="1975">
        <f>SUM(E217:L217)</f>
        <v>156108</v>
      </c>
      <c r="E217" s="1976">
        <v>0</v>
      </c>
      <c r="F217" s="1375">
        <f>3150-50</f>
        <v>3100</v>
      </c>
      <c r="G217" s="1375">
        <f>66665+50</f>
        <v>66715</v>
      </c>
      <c r="H217" s="1375">
        <v>82100</v>
      </c>
      <c r="I217" s="1375">
        <v>4193</v>
      </c>
      <c r="J217" s="1977">
        <v>0</v>
      </c>
      <c r="K217" s="1977">
        <v>0</v>
      </c>
      <c r="L217" s="1977">
        <v>0</v>
      </c>
      <c r="M217" s="1598">
        <f>SUM(F217:K217)</f>
        <v>156108</v>
      </c>
      <c r="N217" s="1598">
        <f>SUM(G217:L217)</f>
        <v>153008</v>
      </c>
      <c r="O217" s="3358"/>
    </row>
    <row r="218" spans="1:15" s="2287" customFormat="1" ht="15" hidden="1" customHeight="1">
      <c r="A218" s="3994"/>
      <c r="B218" s="1974" t="s">
        <v>288</v>
      </c>
      <c r="C218" s="3347"/>
      <c r="D218" s="1975">
        <f>SUM(E218:L218)</f>
        <v>35790</v>
      </c>
      <c r="E218" s="1976">
        <v>0</v>
      </c>
      <c r="F218" s="1375">
        <f>724-11</f>
        <v>713</v>
      </c>
      <c r="G218" s="1375">
        <f>15287+11</f>
        <v>15298</v>
      </c>
      <c r="H218" s="1375">
        <v>18837</v>
      </c>
      <c r="I218" s="1375">
        <v>942</v>
      </c>
      <c r="J218" s="1977">
        <v>0</v>
      </c>
      <c r="K218" s="1977">
        <v>0</v>
      </c>
      <c r="L218" s="1977">
        <v>0</v>
      </c>
      <c r="M218" s="1598">
        <f>SUM(F218:K218)</f>
        <v>35790</v>
      </c>
      <c r="N218" s="1598">
        <f>SUM(G218:L218)</f>
        <v>35077</v>
      </c>
      <c r="O218" s="3358"/>
    </row>
    <row r="219" spans="1:15" s="2287" customFormat="1" ht="15" customHeight="1" thickBot="1">
      <c r="A219" s="3994"/>
      <c r="B219" s="1292" t="s">
        <v>18</v>
      </c>
      <c r="C219" s="3347"/>
      <c r="D219" s="1288">
        <f>SUM(E219:L219)</f>
        <v>1084602</v>
      </c>
      <c r="E219" s="1288">
        <f t="shared" ref="E219:L219" si="171">SUM(E220)</f>
        <v>0</v>
      </c>
      <c r="F219" s="1288">
        <f t="shared" si="171"/>
        <v>21609</v>
      </c>
      <c r="G219" s="1288">
        <f t="shared" si="171"/>
        <v>463608</v>
      </c>
      <c r="H219" s="1288">
        <f t="shared" si="171"/>
        <v>570843</v>
      </c>
      <c r="I219" s="1288">
        <f t="shared" si="171"/>
        <v>28542</v>
      </c>
      <c r="J219" s="1296">
        <f t="shared" si="171"/>
        <v>0</v>
      </c>
      <c r="K219" s="1296">
        <f t="shared" si="171"/>
        <v>0</v>
      </c>
      <c r="L219" s="1296">
        <f t="shared" si="171"/>
        <v>0</v>
      </c>
      <c r="M219" s="1289">
        <f>+M220</f>
        <v>1084602</v>
      </c>
      <c r="N219" s="1289">
        <f>+N220</f>
        <v>1062993</v>
      </c>
      <c r="O219" s="3358"/>
    </row>
    <row r="220" spans="1:15" s="2287" customFormat="1" ht="15" customHeight="1" thickBot="1">
      <c r="A220" s="3994"/>
      <c r="B220" s="3229" t="s">
        <v>20</v>
      </c>
      <c r="C220" s="3347"/>
      <c r="D220" s="1216">
        <f>E220+F220+G220+H220+I220+J220+K220+L220</f>
        <v>1084602</v>
      </c>
      <c r="E220" s="1216">
        <v>0</v>
      </c>
      <c r="F220" s="1978">
        <f t="shared" ref="F220:L220" si="172">SUM(F221:F222)</f>
        <v>21609</v>
      </c>
      <c r="G220" s="1978">
        <f t="shared" si="172"/>
        <v>463608</v>
      </c>
      <c r="H220" s="1978">
        <f t="shared" si="172"/>
        <v>570843</v>
      </c>
      <c r="I220" s="1978">
        <f t="shared" si="172"/>
        <v>28542</v>
      </c>
      <c r="J220" s="1979">
        <f t="shared" si="172"/>
        <v>0</v>
      </c>
      <c r="K220" s="1979">
        <f t="shared" si="172"/>
        <v>0</v>
      </c>
      <c r="L220" s="1980">
        <f t="shared" si="172"/>
        <v>0</v>
      </c>
      <c r="M220" s="1598">
        <f>+M221+M222</f>
        <v>1084602</v>
      </c>
      <c r="N220" s="1598">
        <f>+N221+N222</f>
        <v>1062993</v>
      </c>
      <c r="O220" s="3358"/>
    </row>
    <row r="221" spans="1:15" s="2287" customFormat="1" ht="15" hidden="1" customHeight="1">
      <c r="A221" s="4008"/>
      <c r="B221" s="3263" t="s">
        <v>473</v>
      </c>
      <c r="C221" s="3998"/>
      <c r="D221" s="1374">
        <f>SUM(E221:L221)</f>
        <v>881790</v>
      </c>
      <c r="E221" s="1981">
        <v>0</v>
      </c>
      <c r="F221" s="1982">
        <f>17850-282</f>
        <v>17568</v>
      </c>
      <c r="G221" s="1982">
        <f>376635+282</f>
        <v>376917</v>
      </c>
      <c r="H221" s="1982">
        <v>464100</v>
      </c>
      <c r="I221" s="1982">
        <v>23205</v>
      </c>
      <c r="J221" s="1983">
        <v>0</v>
      </c>
      <c r="K221" s="1984">
        <v>0</v>
      </c>
      <c r="L221" s="1984">
        <v>0</v>
      </c>
      <c r="M221" s="1598">
        <f>SUM(F221:K221)</f>
        <v>881790</v>
      </c>
      <c r="N221" s="1816">
        <f>SUM(G221:L221)</f>
        <v>864222</v>
      </c>
      <c r="O221" s="3359"/>
    </row>
    <row r="222" spans="1:15" s="2287" customFormat="1" ht="15" hidden="1" customHeight="1">
      <c r="A222" s="4008"/>
      <c r="B222" s="3264" t="s">
        <v>288</v>
      </c>
      <c r="C222" s="3998"/>
      <c r="D222" s="1975">
        <f>SUM(E222:L222)</f>
        <v>202812</v>
      </c>
      <c r="E222" s="1985">
        <v>0</v>
      </c>
      <c r="F222" s="1795">
        <f>4106-65</f>
        <v>4041</v>
      </c>
      <c r="G222" s="1795">
        <f>86626+65</f>
        <v>86691</v>
      </c>
      <c r="H222" s="1795">
        <v>106743</v>
      </c>
      <c r="I222" s="1795">
        <v>5337</v>
      </c>
      <c r="J222" s="1983">
        <v>0</v>
      </c>
      <c r="K222" s="1984">
        <v>0</v>
      </c>
      <c r="L222" s="1984">
        <v>0</v>
      </c>
      <c r="M222" s="1598">
        <f>SUM(F222:K222)</f>
        <v>202812</v>
      </c>
      <c r="N222" s="2303">
        <f>SUM(G222:L222)</f>
        <v>198771</v>
      </c>
      <c r="O222" s="3984"/>
    </row>
    <row r="223" spans="1:15" s="2287" customFormat="1" ht="15" customHeight="1" thickBot="1">
      <c r="A223" s="3994"/>
      <c r="B223" s="80" t="s">
        <v>21</v>
      </c>
      <c r="C223" s="2495"/>
      <c r="D223" s="1285">
        <f>SUM(E223:L223)</f>
        <v>1084602</v>
      </c>
      <c r="E223" s="1285">
        <f t="shared" ref="E223:L223" si="173">+E224</f>
        <v>0</v>
      </c>
      <c r="F223" s="1295">
        <f t="shared" si="173"/>
        <v>0</v>
      </c>
      <c r="G223" s="1285">
        <f t="shared" si="173"/>
        <v>253586</v>
      </c>
      <c r="H223" s="1285">
        <f t="shared" si="173"/>
        <v>517052</v>
      </c>
      <c r="I223" s="1285">
        <f t="shared" si="173"/>
        <v>313964</v>
      </c>
      <c r="J223" s="1295">
        <f t="shared" si="173"/>
        <v>0</v>
      </c>
      <c r="K223" s="1295">
        <f t="shared" si="173"/>
        <v>0</v>
      </c>
      <c r="L223" s="1295">
        <f t="shared" si="173"/>
        <v>0</v>
      </c>
      <c r="M223" s="3368"/>
      <c r="N223" s="3370"/>
      <c r="O223" s="3984" t="s">
        <v>219</v>
      </c>
    </row>
    <row r="224" spans="1:15" s="2287" customFormat="1" ht="15" customHeight="1" thickBot="1">
      <c r="A224" s="3994"/>
      <c r="B224" s="2111" t="s">
        <v>18</v>
      </c>
      <c r="C224" s="3975" t="s">
        <v>161</v>
      </c>
      <c r="D224" s="1288">
        <f>SUM(E224:L224)</f>
        <v>1084602</v>
      </c>
      <c r="E224" s="1288">
        <f t="shared" ref="E224:L224" si="174">SUM(E225)</f>
        <v>0</v>
      </c>
      <c r="F224" s="1296">
        <f t="shared" si="174"/>
        <v>0</v>
      </c>
      <c r="G224" s="1288">
        <f t="shared" si="174"/>
        <v>253586</v>
      </c>
      <c r="H224" s="1288">
        <f t="shared" si="174"/>
        <v>517052</v>
      </c>
      <c r="I224" s="1288">
        <f t="shared" si="174"/>
        <v>313964</v>
      </c>
      <c r="J224" s="1296">
        <f t="shared" si="174"/>
        <v>0</v>
      </c>
      <c r="K224" s="1296">
        <f t="shared" si="174"/>
        <v>0</v>
      </c>
      <c r="L224" s="1296">
        <f t="shared" si="174"/>
        <v>0</v>
      </c>
      <c r="M224" s="3366"/>
      <c r="N224" s="3370"/>
      <c r="O224" s="3984"/>
    </row>
    <row r="225" spans="1:16" s="2287" customFormat="1" ht="15" customHeight="1" thickBot="1">
      <c r="A225" s="3994"/>
      <c r="B225" s="2723" t="s">
        <v>20</v>
      </c>
      <c r="C225" s="3500"/>
      <c r="D225" s="1955">
        <f>E225+F225+G225+H225+I225+J225+K225+L225</f>
        <v>1084602</v>
      </c>
      <c r="E225" s="1955">
        <v>0</v>
      </c>
      <c r="F225" s="1735">
        <v>0</v>
      </c>
      <c r="G225" s="1586">
        <v>253586</v>
      </c>
      <c r="H225" s="1586">
        <v>517052</v>
      </c>
      <c r="I225" s="1586">
        <v>313964</v>
      </c>
      <c r="J225" s="1735">
        <v>0</v>
      </c>
      <c r="K225" s="1735">
        <v>0</v>
      </c>
      <c r="L225" s="1735">
        <v>0</v>
      </c>
      <c r="M225" s="3367"/>
      <c r="N225" s="3370"/>
      <c r="O225" s="3984"/>
    </row>
    <row r="226" spans="1:16" s="2287" customFormat="1" ht="27.75" customHeight="1" thickBot="1">
      <c r="A226" s="3993" t="s">
        <v>89</v>
      </c>
      <c r="B226" s="179" t="s">
        <v>684</v>
      </c>
      <c r="C226" s="1316" t="s">
        <v>162</v>
      </c>
      <c r="D226" s="612"/>
      <c r="E226" s="2661"/>
      <c r="F226" s="2655"/>
      <c r="G226" s="2655"/>
      <c r="H226" s="2655"/>
      <c r="I226" s="1966"/>
      <c r="J226" s="1966"/>
      <c r="K226" s="1966"/>
      <c r="L226" s="2656"/>
      <c r="M226" s="614"/>
      <c r="N226" s="614"/>
      <c r="O226" s="3984" t="s">
        <v>403</v>
      </c>
    </row>
    <row r="227" spans="1:16" s="2287" customFormat="1" ht="15" customHeight="1" thickBot="1">
      <c r="A227" s="3994"/>
      <c r="B227" s="1283" t="s">
        <v>10</v>
      </c>
      <c r="C227" s="2495"/>
      <c r="D227" s="1285">
        <f>D228+D230</f>
        <v>225600</v>
      </c>
      <c r="E227" s="1580">
        <f t="shared" ref="E227" si="175">E228+E230</f>
        <v>0</v>
      </c>
      <c r="F227" s="1580">
        <f t="shared" ref="F227" si="176">+F230</f>
        <v>0</v>
      </c>
      <c r="G227" s="1285">
        <f>G228+G232</f>
        <v>1000</v>
      </c>
      <c r="H227" s="1285">
        <f t="shared" ref="H227:L227" si="177">H228+H232</f>
        <v>1000</v>
      </c>
      <c r="I227" s="1285">
        <f>I228+I230</f>
        <v>223600</v>
      </c>
      <c r="J227" s="1580">
        <f>J228+J230</f>
        <v>0</v>
      </c>
      <c r="K227" s="1580">
        <f t="shared" si="177"/>
        <v>0</v>
      </c>
      <c r="L227" s="1580">
        <f t="shared" si="177"/>
        <v>0</v>
      </c>
      <c r="M227" s="1286">
        <f>+M230+M228</f>
        <v>225600</v>
      </c>
      <c r="N227" s="1286">
        <f>+N230+N228</f>
        <v>225600</v>
      </c>
      <c r="O227" s="3984"/>
      <c r="P227" s="2287" t="s">
        <v>453</v>
      </c>
    </row>
    <row r="228" spans="1:16" s="2287" customFormat="1" ht="15" customHeight="1" thickBot="1">
      <c r="A228" s="3994"/>
      <c r="B228" s="1287" t="s">
        <v>23</v>
      </c>
      <c r="C228" s="3351" t="s">
        <v>211</v>
      </c>
      <c r="D228" s="1288">
        <f>D229</f>
        <v>36390</v>
      </c>
      <c r="E228" s="1646">
        <f t="shared" ref="E228:F228" si="178">E229</f>
        <v>0</v>
      </c>
      <c r="F228" s="1646">
        <f t="shared" si="178"/>
        <v>0</v>
      </c>
      <c r="G228" s="1293">
        <f>G229</f>
        <v>1000</v>
      </c>
      <c r="H228" s="1293">
        <f>H229</f>
        <v>1000</v>
      </c>
      <c r="I228" s="1293">
        <f t="shared" ref="I228:L228" si="179">I229</f>
        <v>34390</v>
      </c>
      <c r="J228" s="1344">
        <f t="shared" si="179"/>
        <v>0</v>
      </c>
      <c r="K228" s="1344">
        <f t="shared" si="179"/>
        <v>0</v>
      </c>
      <c r="L228" s="1344">
        <f t="shared" si="179"/>
        <v>0</v>
      </c>
      <c r="M228" s="1289">
        <f>M229</f>
        <v>36390</v>
      </c>
      <c r="N228" s="1289">
        <f>N229</f>
        <v>36390</v>
      </c>
      <c r="O228" s="3984"/>
    </row>
    <row r="229" spans="1:16" s="2287" customFormat="1" ht="15" customHeight="1" thickBot="1">
      <c r="A229" s="3994"/>
      <c r="B229" s="1290" t="s">
        <v>12</v>
      </c>
      <c r="C229" s="3347"/>
      <c r="D229" s="1216">
        <f>E229+F229+G229+H229+I229+J229+K229+L229</f>
        <v>36390</v>
      </c>
      <c r="E229" s="1643">
        <v>0</v>
      </c>
      <c r="F229" s="1643">
        <v>0</v>
      </c>
      <c r="G229" s="1291">
        <v>1000</v>
      </c>
      <c r="H229" s="1291">
        <v>1000</v>
      </c>
      <c r="I229" s="1291">
        <v>34390</v>
      </c>
      <c r="J229" s="1344">
        <v>0</v>
      </c>
      <c r="K229" s="1643">
        <v>0</v>
      </c>
      <c r="L229" s="1643">
        <v>0</v>
      </c>
      <c r="M229" s="1598">
        <f>SUM(F229:K229)</f>
        <v>36390</v>
      </c>
      <c r="N229" s="1598">
        <f>SUM(G229:L229)</f>
        <v>36390</v>
      </c>
      <c r="O229" s="3984"/>
    </row>
    <row r="230" spans="1:16" s="2287" customFormat="1" ht="15" customHeight="1" thickBot="1">
      <c r="A230" s="3994"/>
      <c r="B230" s="1292" t="s">
        <v>18</v>
      </c>
      <c r="C230" s="3347"/>
      <c r="D230" s="1288">
        <f>D231</f>
        <v>189210</v>
      </c>
      <c r="E230" s="1646">
        <f t="shared" ref="E230:N230" si="180">+E231</f>
        <v>0</v>
      </c>
      <c r="F230" s="1646">
        <v>0</v>
      </c>
      <c r="G230" s="1724">
        <f>G231</f>
        <v>0</v>
      </c>
      <c r="H230" s="1724">
        <v>0</v>
      </c>
      <c r="I230" s="1293">
        <f>I231</f>
        <v>189210</v>
      </c>
      <c r="J230" s="1344">
        <v>0</v>
      </c>
      <c r="K230" s="1344">
        <v>0</v>
      </c>
      <c r="L230" s="1344">
        <v>0</v>
      </c>
      <c r="M230" s="1289">
        <f t="shared" si="180"/>
        <v>189210</v>
      </c>
      <c r="N230" s="1289">
        <f t="shared" si="180"/>
        <v>189210</v>
      </c>
      <c r="O230" s="3984"/>
    </row>
    <row r="231" spans="1:16" s="2287" customFormat="1" ht="15" customHeight="1" thickBot="1">
      <c r="A231" s="3994"/>
      <c r="B231" s="3229" t="s">
        <v>20</v>
      </c>
      <c r="C231" s="3348"/>
      <c r="D231" s="1216">
        <f>E231+F231+G231+H231+I231+J231+K231+L231</f>
        <v>189210</v>
      </c>
      <c r="E231" s="1643">
        <v>0</v>
      </c>
      <c r="F231" s="1643">
        <v>0</v>
      </c>
      <c r="G231" s="1720">
        <v>0</v>
      </c>
      <c r="H231" s="1720">
        <v>0</v>
      </c>
      <c r="I231" s="1291">
        <v>189210</v>
      </c>
      <c r="J231" s="1643">
        <v>0</v>
      </c>
      <c r="K231" s="1643">
        <v>0</v>
      </c>
      <c r="L231" s="1643">
        <v>0</v>
      </c>
      <c r="M231" s="1598">
        <f>SUM(F231:K231)</f>
        <v>189210</v>
      </c>
      <c r="N231" s="1598">
        <f>SUM(G231:L231)</f>
        <v>189210</v>
      </c>
      <c r="O231" s="3984"/>
    </row>
    <row r="232" spans="1:16" s="2287" customFormat="1" ht="15" customHeight="1" thickBot="1">
      <c r="A232" s="3994"/>
      <c r="B232" s="2073" t="s">
        <v>21</v>
      </c>
      <c r="C232" s="2495"/>
      <c r="D232" s="1285">
        <f t="shared" ref="D232:L233" si="181">D233</f>
        <v>189210</v>
      </c>
      <c r="E232" s="1580">
        <f t="shared" ref="E232" si="182">+E235</f>
        <v>0</v>
      </c>
      <c r="F232" s="1580">
        <f t="shared" si="181"/>
        <v>0</v>
      </c>
      <c r="G232" s="1295">
        <f t="shared" si="181"/>
        <v>0</v>
      </c>
      <c r="H232" s="1295">
        <f t="shared" si="181"/>
        <v>0</v>
      </c>
      <c r="I232" s="1295">
        <f t="shared" si="181"/>
        <v>0</v>
      </c>
      <c r="J232" s="1285">
        <f t="shared" si="181"/>
        <v>189210</v>
      </c>
      <c r="K232" s="1580">
        <f t="shared" si="181"/>
        <v>0</v>
      </c>
      <c r="L232" s="1580">
        <f t="shared" si="181"/>
        <v>0</v>
      </c>
      <c r="M232" s="3368" t="s">
        <v>53</v>
      </c>
      <c r="N232" s="3369" t="s">
        <v>53</v>
      </c>
      <c r="O232" s="3984" t="s">
        <v>219</v>
      </c>
    </row>
    <row r="233" spans="1:16" s="2287" customFormat="1" ht="15" customHeight="1" thickBot="1">
      <c r="A233" s="3994"/>
      <c r="B233" s="2111" t="s">
        <v>18</v>
      </c>
      <c r="C233" s="3999" t="s">
        <v>211</v>
      </c>
      <c r="D233" s="1294">
        <f t="shared" si="181"/>
        <v>189210</v>
      </c>
      <c r="E233" s="1646">
        <f t="shared" si="181"/>
        <v>0</v>
      </c>
      <c r="F233" s="1344">
        <f t="shared" si="181"/>
        <v>0</v>
      </c>
      <c r="G233" s="1977">
        <f t="shared" si="181"/>
        <v>0</v>
      </c>
      <c r="H233" s="1977">
        <f t="shared" si="181"/>
        <v>0</v>
      </c>
      <c r="I233" s="1977">
        <f t="shared" si="181"/>
        <v>0</v>
      </c>
      <c r="J233" s="1294">
        <f t="shared" si="181"/>
        <v>189210</v>
      </c>
      <c r="K233" s="1344">
        <f t="shared" si="181"/>
        <v>0</v>
      </c>
      <c r="L233" s="1344">
        <f t="shared" si="181"/>
        <v>0</v>
      </c>
      <c r="M233" s="3366"/>
      <c r="N233" s="3370"/>
      <c r="O233" s="3984"/>
    </row>
    <row r="234" spans="1:16" s="2287" customFormat="1" ht="15" customHeight="1" thickBot="1">
      <c r="A234" s="3994"/>
      <c r="B234" s="2723" t="s">
        <v>20</v>
      </c>
      <c r="C234" s="3500"/>
      <c r="D234" s="1570">
        <f>E234+F234+G234+H234+I234+J234+K234+L234</f>
        <v>189210</v>
      </c>
      <c r="E234" s="2313">
        <v>0</v>
      </c>
      <c r="F234" s="1587">
        <v>0</v>
      </c>
      <c r="G234" s="1735">
        <v>0</v>
      </c>
      <c r="H234" s="1735">
        <v>0</v>
      </c>
      <c r="I234" s="1735">
        <v>0</v>
      </c>
      <c r="J234" s="1586">
        <v>189210</v>
      </c>
      <c r="K234" s="2313">
        <v>0</v>
      </c>
      <c r="L234" s="2313">
        <v>0</v>
      </c>
      <c r="M234" s="3367"/>
      <c r="N234" s="3370"/>
      <c r="O234" s="3984"/>
    </row>
    <row r="235" spans="1:16" s="2287" customFormat="1" ht="29.25" customHeight="1" thickBot="1">
      <c r="A235" s="3993" t="s">
        <v>90</v>
      </c>
      <c r="B235" s="179" t="s">
        <v>683</v>
      </c>
      <c r="C235" s="1965" t="s">
        <v>74</v>
      </c>
      <c r="D235" s="612"/>
      <c r="E235" s="2661"/>
      <c r="F235" s="2655"/>
      <c r="G235" s="2655"/>
      <c r="H235" s="2655"/>
      <c r="I235" s="1966"/>
      <c r="J235" s="1966"/>
      <c r="K235" s="1966"/>
      <c r="L235" s="2656"/>
      <c r="M235" s="614"/>
      <c r="N235" s="614"/>
      <c r="O235" s="3984" t="s">
        <v>403</v>
      </c>
    </row>
    <row r="236" spans="1:16" s="2287" customFormat="1" ht="15" customHeight="1" thickBot="1">
      <c r="A236" s="3994"/>
      <c r="B236" s="1283" t="s">
        <v>10</v>
      </c>
      <c r="C236" s="2495"/>
      <c r="D236" s="1285">
        <f>D237+D240</f>
        <v>6246481</v>
      </c>
      <c r="E236" s="1285">
        <f t="shared" ref="E236" si="183">E237+E240</f>
        <v>284314</v>
      </c>
      <c r="F236" s="2737">
        <f>F237</f>
        <v>30000</v>
      </c>
      <c r="G236" s="1285">
        <f>+G240+G237</f>
        <v>101919</v>
      </c>
      <c r="H236" s="1285">
        <f>+H240+H237</f>
        <v>3685930</v>
      </c>
      <c r="I236" s="1285">
        <f t="shared" ref="I236:L236" si="184">+I240+I237</f>
        <v>2144318</v>
      </c>
      <c r="J236" s="1580">
        <f t="shared" si="184"/>
        <v>0</v>
      </c>
      <c r="K236" s="1580">
        <f t="shared" si="184"/>
        <v>0</v>
      </c>
      <c r="L236" s="1580">
        <f t="shared" si="184"/>
        <v>0</v>
      </c>
      <c r="M236" s="1286">
        <f>+M240+M237</f>
        <v>5962167</v>
      </c>
      <c r="N236" s="1286">
        <f>+N240+N237</f>
        <v>5932167</v>
      </c>
      <c r="O236" s="3984"/>
      <c r="P236" s="2287" t="s">
        <v>453</v>
      </c>
    </row>
    <row r="237" spans="1:16" s="2287" customFormat="1" ht="15" customHeight="1" thickBot="1">
      <c r="A237" s="3994"/>
      <c r="B237" s="1287" t="s">
        <v>23</v>
      </c>
      <c r="C237" s="3351" t="s">
        <v>211</v>
      </c>
      <c r="D237" s="1288">
        <f>D238+D239</f>
        <v>1034156</v>
      </c>
      <c r="E237" s="1288">
        <f t="shared" ref="E237:I237" si="185">E238+E239</f>
        <v>114331</v>
      </c>
      <c r="F237" s="1288">
        <f t="shared" si="185"/>
        <v>30000</v>
      </c>
      <c r="G237" s="1288">
        <f t="shared" si="185"/>
        <v>15288</v>
      </c>
      <c r="H237" s="1288">
        <f t="shared" si="185"/>
        <v>552889</v>
      </c>
      <c r="I237" s="1288">
        <f t="shared" si="185"/>
        <v>321648</v>
      </c>
      <c r="J237" s="1643">
        <f t="shared" ref="J237:L237" si="186">J238+J239</f>
        <v>0</v>
      </c>
      <c r="K237" s="1643">
        <f t="shared" si="186"/>
        <v>0</v>
      </c>
      <c r="L237" s="1643">
        <f t="shared" si="186"/>
        <v>0</v>
      </c>
      <c r="M237" s="1289">
        <f>M238+M239</f>
        <v>919825</v>
      </c>
      <c r="N237" s="1289">
        <f>N238</f>
        <v>889825</v>
      </c>
      <c r="O237" s="3984"/>
    </row>
    <row r="238" spans="1:16" s="2287" customFormat="1" ht="15" customHeight="1" thickBot="1">
      <c r="A238" s="3994"/>
      <c r="B238" s="1290" t="s">
        <v>12</v>
      </c>
      <c r="C238" s="3347"/>
      <c r="D238" s="1216">
        <f>E238+F238+G238+H238+I238+J238+K238+L238</f>
        <v>1004156</v>
      </c>
      <c r="E238" s="1216">
        <v>114331</v>
      </c>
      <c r="F238" s="1643">
        <v>0</v>
      </c>
      <c r="G238" s="1291">
        <f>270726-255438</f>
        <v>15288</v>
      </c>
      <c r="H238" s="1291">
        <f>297451+255438</f>
        <v>552889</v>
      </c>
      <c r="I238" s="1291">
        <v>321648</v>
      </c>
      <c r="J238" s="1643">
        <v>0</v>
      </c>
      <c r="K238" s="1643">
        <v>0</v>
      </c>
      <c r="L238" s="1643">
        <v>0</v>
      </c>
      <c r="M238" s="1598">
        <f>SUM(F238:K238)</f>
        <v>889825</v>
      </c>
      <c r="N238" s="1598">
        <f>SUM(G238:L238)</f>
        <v>889825</v>
      </c>
      <c r="O238" s="3984"/>
    </row>
    <row r="239" spans="1:16" s="2287" customFormat="1" ht="15" customHeight="1" thickBot="1">
      <c r="A239" s="3994"/>
      <c r="B239" s="1290" t="s">
        <v>15</v>
      </c>
      <c r="C239" s="3347"/>
      <c r="D239" s="1216">
        <f>E239+F239+G239+H239+I239+J239+K239+L239</f>
        <v>30000</v>
      </c>
      <c r="E239" s="1643">
        <v>0</v>
      </c>
      <c r="F239" s="2738">
        <v>30000</v>
      </c>
      <c r="G239" s="1644">
        <v>0</v>
      </c>
      <c r="H239" s="1644">
        <v>0</v>
      </c>
      <c r="I239" s="1644">
        <v>0</v>
      </c>
      <c r="J239" s="1644">
        <v>0</v>
      </c>
      <c r="K239" s="1644">
        <v>0</v>
      </c>
      <c r="L239" s="1644">
        <v>0</v>
      </c>
      <c r="M239" s="1598">
        <f>SUM(F239:K239)</f>
        <v>30000</v>
      </c>
      <c r="N239" s="1645"/>
      <c r="O239" s="3984"/>
    </row>
    <row r="240" spans="1:16" s="2287" customFormat="1" ht="15" customHeight="1" thickBot="1">
      <c r="A240" s="3994"/>
      <c r="B240" s="1292" t="s">
        <v>18</v>
      </c>
      <c r="C240" s="3347"/>
      <c r="D240" s="1288">
        <f>D241</f>
        <v>5212325</v>
      </c>
      <c r="E240" s="1642">
        <f t="shared" ref="E240:N240" si="187">+E241</f>
        <v>169983</v>
      </c>
      <c r="F240" s="1646">
        <v>0</v>
      </c>
      <c r="G240" s="1293">
        <f>G241</f>
        <v>86631</v>
      </c>
      <c r="H240" s="1293">
        <f t="shared" ref="H240:L240" si="188">H241</f>
        <v>3133041</v>
      </c>
      <c r="I240" s="1293">
        <f t="shared" si="188"/>
        <v>1822670</v>
      </c>
      <c r="J240" s="1646">
        <f t="shared" si="188"/>
        <v>0</v>
      </c>
      <c r="K240" s="1646">
        <f t="shared" si="188"/>
        <v>0</v>
      </c>
      <c r="L240" s="1646">
        <f t="shared" si="188"/>
        <v>0</v>
      </c>
      <c r="M240" s="1289">
        <f t="shared" si="187"/>
        <v>5042342</v>
      </c>
      <c r="N240" s="1289">
        <f t="shared" si="187"/>
        <v>5042342</v>
      </c>
      <c r="O240" s="3984"/>
    </row>
    <row r="241" spans="1:16" s="2287" customFormat="1" ht="15" customHeight="1" thickBot="1">
      <c r="A241" s="3994"/>
      <c r="B241" s="3229" t="s">
        <v>20</v>
      </c>
      <c r="C241" s="3348"/>
      <c r="D241" s="1216">
        <f>E241+F241+G241+H241+I241+J241+K241+L241</f>
        <v>5212325</v>
      </c>
      <c r="E241" s="1216">
        <v>169983</v>
      </c>
      <c r="F241" s="1643">
        <v>0</v>
      </c>
      <c r="G241" s="1291">
        <f>1534116-1447485</f>
        <v>86631</v>
      </c>
      <c r="H241" s="1291">
        <f>1685556+1447485</f>
        <v>3133041</v>
      </c>
      <c r="I241" s="1291">
        <v>1822670</v>
      </c>
      <c r="J241" s="1644">
        <v>0</v>
      </c>
      <c r="K241" s="1644">
        <v>0</v>
      </c>
      <c r="L241" s="1644">
        <v>0</v>
      </c>
      <c r="M241" s="1598">
        <f>SUM(F241:K241)</f>
        <v>5042342</v>
      </c>
      <c r="N241" s="1598">
        <f>SUM(G241:L241)</f>
        <v>5042342</v>
      </c>
      <c r="O241" s="3985"/>
    </row>
    <row r="242" spans="1:16" s="2287" customFormat="1" ht="15" customHeight="1" thickBot="1">
      <c r="A242" s="3994"/>
      <c r="B242" s="2073" t="s">
        <v>21</v>
      </c>
      <c r="C242" s="2495"/>
      <c r="D242" s="1285">
        <f>D245+D243</f>
        <v>5242325</v>
      </c>
      <c r="E242" s="1580">
        <f t="shared" ref="E242:L242" si="189">E245+E243</f>
        <v>0</v>
      </c>
      <c r="F242" s="1285">
        <f t="shared" si="189"/>
        <v>30000</v>
      </c>
      <c r="G242" s="1285">
        <f t="shared" si="189"/>
        <v>0</v>
      </c>
      <c r="H242" s="1285">
        <f t="shared" si="189"/>
        <v>1780856</v>
      </c>
      <c r="I242" s="1285">
        <f t="shared" si="189"/>
        <v>1671276</v>
      </c>
      <c r="J242" s="1285">
        <f t="shared" si="189"/>
        <v>1760193</v>
      </c>
      <c r="K242" s="1580">
        <f t="shared" si="189"/>
        <v>0</v>
      </c>
      <c r="L242" s="1580">
        <f t="shared" si="189"/>
        <v>0</v>
      </c>
      <c r="M242" s="3368" t="s">
        <v>53</v>
      </c>
      <c r="N242" s="3368" t="s">
        <v>53</v>
      </c>
      <c r="O242" s="3358" t="s">
        <v>219</v>
      </c>
    </row>
    <row r="243" spans="1:16" s="2287" customFormat="1" ht="15" customHeight="1" thickBot="1">
      <c r="A243" s="3994"/>
      <c r="B243" s="2111" t="s">
        <v>540</v>
      </c>
      <c r="C243" s="3436" t="s">
        <v>211</v>
      </c>
      <c r="D243" s="1294">
        <f t="shared" ref="D243:L245" si="190">D244</f>
        <v>30000</v>
      </c>
      <c r="E243" s="1646">
        <f t="shared" ref="E243:E245" si="191">+E244</f>
        <v>0</v>
      </c>
      <c r="F243" s="2670">
        <f t="shared" si="190"/>
        <v>30000</v>
      </c>
      <c r="G243" s="1646">
        <f t="shared" si="190"/>
        <v>0</v>
      </c>
      <c r="H243" s="1646">
        <f t="shared" si="190"/>
        <v>0</v>
      </c>
      <c r="I243" s="1646">
        <f t="shared" si="190"/>
        <v>0</v>
      </c>
      <c r="J243" s="1646">
        <f t="shared" si="190"/>
        <v>0</v>
      </c>
      <c r="K243" s="1646">
        <f t="shared" si="190"/>
        <v>0</v>
      </c>
      <c r="L243" s="1646">
        <f t="shared" si="190"/>
        <v>0</v>
      </c>
      <c r="M243" s="3366"/>
      <c r="N243" s="3366"/>
      <c r="O243" s="3358"/>
    </row>
    <row r="244" spans="1:16" s="2287" customFormat="1" ht="15" customHeight="1" thickBot="1">
      <c r="A244" s="3994"/>
      <c r="B244" s="2722" t="s">
        <v>15</v>
      </c>
      <c r="C244" s="3506"/>
      <c r="D244" s="1262">
        <f>E244+F244+G244+H244+I244+J244+K244+L244</f>
        <v>30000</v>
      </c>
      <c r="E244" s="1326">
        <v>0</v>
      </c>
      <c r="F244" s="2671">
        <v>30000</v>
      </c>
      <c r="G244" s="1326">
        <v>0</v>
      </c>
      <c r="H244" s="1326">
        <v>0</v>
      </c>
      <c r="I244" s="1326">
        <v>0</v>
      </c>
      <c r="J244" s="1326">
        <v>0</v>
      </c>
      <c r="K244" s="1326">
        <v>0</v>
      </c>
      <c r="L244" s="1326">
        <v>0</v>
      </c>
      <c r="M244" s="3366"/>
      <c r="N244" s="3366"/>
      <c r="O244" s="3358"/>
    </row>
    <row r="245" spans="1:16" s="2287" customFormat="1" ht="15" customHeight="1" thickBot="1">
      <c r="A245" s="3994"/>
      <c r="B245" s="2619" t="s">
        <v>18</v>
      </c>
      <c r="C245" s="3506"/>
      <c r="D245" s="1647">
        <f t="shared" si="190"/>
        <v>5212325</v>
      </c>
      <c r="E245" s="1648">
        <f t="shared" si="191"/>
        <v>0</v>
      </c>
      <c r="F245" s="2622">
        <f t="shared" si="190"/>
        <v>0</v>
      </c>
      <c r="G245" s="1646">
        <f t="shared" si="190"/>
        <v>0</v>
      </c>
      <c r="H245" s="1647">
        <f t="shared" si="190"/>
        <v>1780856</v>
      </c>
      <c r="I245" s="1647">
        <f t="shared" si="190"/>
        <v>1671276</v>
      </c>
      <c r="J245" s="1647">
        <f t="shared" si="190"/>
        <v>1760193</v>
      </c>
      <c r="K245" s="1648">
        <f t="shared" si="190"/>
        <v>0</v>
      </c>
      <c r="L245" s="1648">
        <f t="shared" si="190"/>
        <v>0</v>
      </c>
      <c r="M245" s="3366"/>
      <c r="N245" s="3366"/>
      <c r="O245" s="3358"/>
    </row>
    <row r="246" spans="1:16" s="2287" customFormat="1" ht="15" customHeight="1" thickBot="1">
      <c r="A246" s="3994"/>
      <c r="B246" s="2723" t="s">
        <v>20</v>
      </c>
      <c r="C246" s="3975"/>
      <c r="D246" s="1570">
        <f>E246+F246+G246+H246+I246+J246+K246+L246</f>
        <v>5212325</v>
      </c>
      <c r="E246" s="2313">
        <v>0</v>
      </c>
      <c r="F246" s="1587">
        <v>0</v>
      </c>
      <c r="G246" s="2313">
        <f>219403-219403</f>
        <v>0</v>
      </c>
      <c r="H246" s="1586">
        <f>1561453+219403</f>
        <v>1780856</v>
      </c>
      <c r="I246" s="1586">
        <v>1671276</v>
      </c>
      <c r="J246" s="1586">
        <v>1760193</v>
      </c>
      <c r="K246" s="2313">
        <v>0</v>
      </c>
      <c r="L246" s="2313">
        <v>0</v>
      </c>
      <c r="M246" s="3367"/>
      <c r="N246" s="3367"/>
      <c r="O246" s="3359"/>
    </row>
    <row r="247" spans="1:16" s="2287" customFormat="1" ht="27" customHeight="1">
      <c r="A247" s="3989" t="s">
        <v>92</v>
      </c>
      <c r="B247" s="1574" t="s">
        <v>682</v>
      </c>
      <c r="C247" s="1316" t="s">
        <v>162</v>
      </c>
      <c r="D247" s="612"/>
      <c r="E247" s="2661"/>
      <c r="F247" s="2655"/>
      <c r="G247" s="2655"/>
      <c r="H247" s="2655"/>
      <c r="I247" s="1966"/>
      <c r="J247" s="1966"/>
      <c r="K247" s="1966"/>
      <c r="L247" s="2656"/>
      <c r="M247" s="614"/>
      <c r="N247" s="614"/>
      <c r="O247" s="3357" t="s">
        <v>403</v>
      </c>
    </row>
    <row r="248" spans="1:16" s="2287" customFormat="1" ht="15" customHeight="1">
      <c r="A248" s="3990"/>
      <c r="B248" s="1283" t="s">
        <v>10</v>
      </c>
      <c r="C248" s="2495"/>
      <c r="D248" s="1285">
        <f>D249+D251</f>
        <v>161298</v>
      </c>
      <c r="E248" s="1580">
        <f t="shared" ref="E248" si="192">E249+E251</f>
        <v>0</v>
      </c>
      <c r="F248" s="1580">
        <f t="shared" ref="F248" si="193">+F251</f>
        <v>0</v>
      </c>
      <c r="G248" s="1295">
        <f>G249+G253</f>
        <v>0</v>
      </c>
      <c r="H248" s="1285">
        <f t="shared" ref="H248" si="194">H249+H253</f>
        <v>1500</v>
      </c>
      <c r="I248" s="1285">
        <f>I249+I251</f>
        <v>159798</v>
      </c>
      <c r="J248" s="1580">
        <f>J249+J251</f>
        <v>0</v>
      </c>
      <c r="K248" s="1580">
        <f t="shared" ref="K248:L248" si="195">K249+K253</f>
        <v>0</v>
      </c>
      <c r="L248" s="1580">
        <f t="shared" si="195"/>
        <v>0</v>
      </c>
      <c r="M248" s="1286">
        <f>+M251+M249</f>
        <v>161298</v>
      </c>
      <c r="N248" s="1286">
        <f>+N251+N249</f>
        <v>161298</v>
      </c>
      <c r="O248" s="3358"/>
      <c r="P248" s="2287" t="s">
        <v>453</v>
      </c>
    </row>
    <row r="249" spans="1:16" s="2287" customFormat="1" ht="15" customHeight="1">
      <c r="A249" s="3990"/>
      <c r="B249" s="1287" t="s">
        <v>23</v>
      </c>
      <c r="C249" s="3351" t="s">
        <v>211</v>
      </c>
      <c r="D249" s="1288">
        <f>D250</f>
        <v>26745</v>
      </c>
      <c r="E249" s="1646">
        <f t="shared" ref="E249:F249" si="196">E250</f>
        <v>0</v>
      </c>
      <c r="F249" s="1646">
        <f t="shared" si="196"/>
        <v>0</v>
      </c>
      <c r="G249" s="1724">
        <f>G250</f>
        <v>0</v>
      </c>
      <c r="H249" s="1293">
        <f>H250</f>
        <v>1500</v>
      </c>
      <c r="I249" s="1293">
        <f t="shared" ref="I249:L249" si="197">I250</f>
        <v>25245</v>
      </c>
      <c r="J249" s="1344">
        <f t="shared" si="197"/>
        <v>0</v>
      </c>
      <c r="K249" s="1344">
        <f t="shared" si="197"/>
        <v>0</v>
      </c>
      <c r="L249" s="1344">
        <f t="shared" si="197"/>
        <v>0</v>
      </c>
      <c r="M249" s="1289">
        <f>M250</f>
        <v>26745</v>
      </c>
      <c r="N249" s="1289">
        <f>N250</f>
        <v>26745</v>
      </c>
      <c r="O249" s="3358"/>
    </row>
    <row r="250" spans="1:16" s="2287" customFormat="1" ht="15" customHeight="1">
      <c r="A250" s="3990"/>
      <c r="B250" s="1290" t="s">
        <v>12</v>
      </c>
      <c r="C250" s="3347"/>
      <c r="D250" s="1216">
        <f>E250+F250+G250+H250+I250+J250+K250+L250</f>
        <v>26745</v>
      </c>
      <c r="E250" s="1643">
        <v>0</v>
      </c>
      <c r="F250" s="1643">
        <v>0</v>
      </c>
      <c r="G250" s="1720">
        <v>0</v>
      </c>
      <c r="H250" s="1291">
        <v>1500</v>
      </c>
      <c r="I250" s="1291">
        <v>25245</v>
      </c>
      <c r="J250" s="1344">
        <v>0</v>
      </c>
      <c r="K250" s="1643">
        <v>0</v>
      </c>
      <c r="L250" s="1643">
        <v>0</v>
      </c>
      <c r="M250" s="1598">
        <f>SUM(F250:K250)</f>
        <v>26745</v>
      </c>
      <c r="N250" s="1598">
        <f>SUM(G250:L250)</f>
        <v>26745</v>
      </c>
      <c r="O250" s="3358"/>
    </row>
    <row r="251" spans="1:16" s="2287" customFormat="1" ht="15" customHeight="1">
      <c r="A251" s="3990"/>
      <c r="B251" s="1292" t="s">
        <v>18</v>
      </c>
      <c r="C251" s="3347"/>
      <c r="D251" s="1288">
        <f>D252</f>
        <v>134553</v>
      </c>
      <c r="E251" s="1646">
        <f t="shared" ref="E251:N251" si="198">+E252</f>
        <v>0</v>
      </c>
      <c r="F251" s="1646">
        <v>0</v>
      </c>
      <c r="G251" s="3265">
        <f>G252</f>
        <v>0</v>
      </c>
      <c r="H251" s="3265">
        <v>0</v>
      </c>
      <c r="I251" s="1293">
        <f>I252</f>
        <v>134553</v>
      </c>
      <c r="J251" s="1344">
        <v>0</v>
      </c>
      <c r="K251" s="1344">
        <v>0</v>
      </c>
      <c r="L251" s="1344">
        <v>0</v>
      </c>
      <c r="M251" s="1289">
        <f t="shared" si="198"/>
        <v>134553</v>
      </c>
      <c r="N251" s="1289">
        <f t="shared" si="198"/>
        <v>134553</v>
      </c>
      <c r="O251" s="3358"/>
    </row>
    <row r="252" spans="1:16" s="2287" customFormat="1" ht="15" customHeight="1">
      <c r="A252" s="3990"/>
      <c r="B252" s="3229" t="s">
        <v>20</v>
      </c>
      <c r="C252" s="3348"/>
      <c r="D252" s="1216">
        <f>E252+F252+G252+H252+I252+J252+K252+L252</f>
        <v>134553</v>
      </c>
      <c r="E252" s="1643">
        <v>0</v>
      </c>
      <c r="F252" s="1643">
        <v>0</v>
      </c>
      <c r="G252" s="3266">
        <v>0</v>
      </c>
      <c r="H252" s="3266">
        <v>0</v>
      </c>
      <c r="I252" s="1291">
        <v>134553</v>
      </c>
      <c r="J252" s="1643">
        <v>0</v>
      </c>
      <c r="K252" s="1643">
        <v>0</v>
      </c>
      <c r="L252" s="1643">
        <v>0</v>
      </c>
      <c r="M252" s="1598">
        <f>SUM(F252:K252)</f>
        <v>134553</v>
      </c>
      <c r="N252" s="1598">
        <f>SUM(G252:L252)</f>
        <v>134553</v>
      </c>
      <c r="O252" s="3931"/>
    </row>
    <row r="253" spans="1:16" s="2287" customFormat="1" ht="15" customHeight="1">
      <c r="A253" s="3990"/>
      <c r="B253" s="1283" t="s">
        <v>21</v>
      </c>
      <c r="C253" s="2495"/>
      <c r="D253" s="1285">
        <f t="shared" ref="D253:L254" si="199">D254</f>
        <v>134553</v>
      </c>
      <c r="E253" s="1580">
        <f t="shared" ref="E253" si="200">+E256</f>
        <v>0</v>
      </c>
      <c r="F253" s="1580">
        <f t="shared" si="199"/>
        <v>0</v>
      </c>
      <c r="G253" s="1716">
        <f t="shared" si="199"/>
        <v>0</v>
      </c>
      <c r="H253" s="1716">
        <f t="shared" si="199"/>
        <v>0</v>
      </c>
      <c r="I253" s="1716">
        <f t="shared" si="199"/>
        <v>0</v>
      </c>
      <c r="J253" s="1285">
        <f t="shared" si="199"/>
        <v>134553</v>
      </c>
      <c r="K253" s="1580">
        <f t="shared" si="199"/>
        <v>0</v>
      </c>
      <c r="L253" s="1580">
        <f t="shared" si="199"/>
        <v>0</v>
      </c>
      <c r="M253" s="3368" t="s">
        <v>53</v>
      </c>
      <c r="N253" s="3368" t="s">
        <v>53</v>
      </c>
      <c r="O253" s="3358" t="s">
        <v>219</v>
      </c>
    </row>
    <row r="254" spans="1:16" s="2287" customFormat="1" ht="15" customHeight="1">
      <c r="A254" s="3990"/>
      <c r="B254" s="1292" t="s">
        <v>18</v>
      </c>
      <c r="C254" s="3436" t="s">
        <v>211</v>
      </c>
      <c r="D254" s="1294">
        <f t="shared" si="199"/>
        <v>134553</v>
      </c>
      <c r="E254" s="1646">
        <f t="shared" si="199"/>
        <v>0</v>
      </c>
      <c r="F254" s="1344">
        <f t="shared" si="199"/>
        <v>0</v>
      </c>
      <c r="G254" s="1717">
        <f t="shared" si="199"/>
        <v>0</v>
      </c>
      <c r="H254" s="1717">
        <f t="shared" si="199"/>
        <v>0</v>
      </c>
      <c r="I254" s="1717">
        <f t="shared" si="199"/>
        <v>0</v>
      </c>
      <c r="J254" s="1294">
        <f t="shared" si="199"/>
        <v>134553</v>
      </c>
      <c r="K254" s="1344">
        <f t="shared" si="199"/>
        <v>0</v>
      </c>
      <c r="L254" s="1344">
        <f t="shared" si="199"/>
        <v>0</v>
      </c>
      <c r="M254" s="3366"/>
      <c r="N254" s="3366"/>
      <c r="O254" s="3358"/>
    </row>
    <row r="255" spans="1:16" s="2287" customFormat="1" ht="15" customHeight="1" thickBot="1">
      <c r="A255" s="3991"/>
      <c r="B255" s="2739" t="s">
        <v>20</v>
      </c>
      <c r="C255" s="3353"/>
      <c r="D255" s="1955">
        <f>E255+F255+G255+H255+I255+J255+K255+L255</f>
        <v>134553</v>
      </c>
      <c r="E255" s="2313">
        <v>0</v>
      </c>
      <c r="F255" s="1587">
        <v>0</v>
      </c>
      <c r="G255" s="1718">
        <v>0</v>
      </c>
      <c r="H255" s="1718">
        <v>0</v>
      </c>
      <c r="I255" s="1718">
        <v>0</v>
      </c>
      <c r="J255" s="1586">
        <v>134553</v>
      </c>
      <c r="K255" s="2313">
        <v>0</v>
      </c>
      <c r="L255" s="2313">
        <v>0</v>
      </c>
      <c r="M255" s="3367"/>
      <c r="N255" s="3367"/>
      <c r="O255" s="3359"/>
    </row>
    <row r="256" spans="1:16" s="2287" customFormat="1" ht="36.75" customHeight="1">
      <c r="A256" s="3988" t="s">
        <v>286</v>
      </c>
      <c r="B256" s="1574" t="s">
        <v>681</v>
      </c>
      <c r="C256" s="1316" t="s">
        <v>74</v>
      </c>
      <c r="D256" s="612"/>
      <c r="E256" s="2661"/>
      <c r="F256" s="2655"/>
      <c r="G256" s="2655"/>
      <c r="H256" s="2655"/>
      <c r="I256" s="1966"/>
      <c r="J256" s="1966"/>
      <c r="K256" s="1966"/>
      <c r="L256" s="2656"/>
      <c r="M256" s="614"/>
      <c r="N256" s="614"/>
      <c r="O256" s="3357" t="s">
        <v>403</v>
      </c>
    </row>
    <row r="257" spans="1:16" s="2287" customFormat="1" ht="15" customHeight="1">
      <c r="A257" s="3458"/>
      <c r="B257" s="1283" t="s">
        <v>10</v>
      </c>
      <c r="C257" s="2495"/>
      <c r="D257" s="1285">
        <f>D258+D261</f>
        <v>7217997</v>
      </c>
      <c r="E257" s="1285">
        <f t="shared" ref="E257" si="201">E258+E261</f>
        <v>191980</v>
      </c>
      <c r="F257" s="1719">
        <f>F258</f>
        <v>0</v>
      </c>
      <c r="G257" s="1295">
        <f>+G261+G258</f>
        <v>0</v>
      </c>
      <c r="H257" s="1285">
        <f>+H261+H258</f>
        <v>4414172</v>
      </c>
      <c r="I257" s="1285">
        <f t="shared" ref="I257:L257" si="202">+I261+I258</f>
        <v>2611845</v>
      </c>
      <c r="J257" s="1580">
        <f t="shared" si="202"/>
        <v>0</v>
      </c>
      <c r="K257" s="1580">
        <f t="shared" si="202"/>
        <v>0</v>
      </c>
      <c r="L257" s="1580">
        <f t="shared" si="202"/>
        <v>0</v>
      </c>
      <c r="M257" s="1286">
        <f>+M261+M258</f>
        <v>7026017</v>
      </c>
      <c r="N257" s="1286">
        <f>+N261+N258</f>
        <v>7026017</v>
      </c>
      <c r="O257" s="3358"/>
      <c r="P257" s="2287" t="s">
        <v>453</v>
      </c>
    </row>
    <row r="258" spans="1:16" s="2287" customFormat="1" ht="15" customHeight="1">
      <c r="A258" s="3458"/>
      <c r="B258" s="1287" t="s">
        <v>23</v>
      </c>
      <c r="C258" s="3351" t="s">
        <v>211</v>
      </c>
      <c r="D258" s="1288">
        <f>D259+D260</f>
        <v>1203400</v>
      </c>
      <c r="E258" s="1288">
        <f t="shared" ref="E258:L258" si="203">E259+E260</f>
        <v>149497</v>
      </c>
      <c r="F258" s="1296">
        <f t="shared" si="203"/>
        <v>0</v>
      </c>
      <c r="G258" s="1296">
        <f t="shared" si="203"/>
        <v>0</v>
      </c>
      <c r="H258" s="1288">
        <f t="shared" si="203"/>
        <v>662126</v>
      </c>
      <c r="I258" s="1288">
        <f t="shared" si="203"/>
        <v>391777</v>
      </c>
      <c r="J258" s="1643">
        <f t="shared" si="203"/>
        <v>0</v>
      </c>
      <c r="K258" s="1643">
        <f t="shared" si="203"/>
        <v>0</v>
      </c>
      <c r="L258" s="1643">
        <f t="shared" si="203"/>
        <v>0</v>
      </c>
      <c r="M258" s="1289">
        <f>M259+M260</f>
        <v>1053903</v>
      </c>
      <c r="N258" s="1289">
        <f>N259</f>
        <v>1053903</v>
      </c>
      <c r="O258" s="3358"/>
    </row>
    <row r="259" spans="1:16" s="2287" customFormat="1" ht="15" customHeight="1">
      <c r="A259" s="3458"/>
      <c r="B259" s="1290" t="s">
        <v>12</v>
      </c>
      <c r="C259" s="3347"/>
      <c r="D259" s="1216">
        <f>E259+F259+G259+H259+I259+J259+K259+L259</f>
        <v>1083400</v>
      </c>
      <c r="E259" s="1216">
        <v>29497</v>
      </c>
      <c r="F259" s="1644">
        <v>0</v>
      </c>
      <c r="G259" s="1720">
        <v>0</v>
      </c>
      <c r="H259" s="1291">
        <v>662126</v>
      </c>
      <c r="I259" s="1291">
        <v>391777</v>
      </c>
      <c r="J259" s="1643">
        <v>0</v>
      </c>
      <c r="K259" s="1643">
        <v>0</v>
      </c>
      <c r="L259" s="1643">
        <v>0</v>
      </c>
      <c r="M259" s="1598">
        <f>SUM(F259:K259)</f>
        <v>1053903</v>
      </c>
      <c r="N259" s="1598">
        <f>SUM(G259:L259)</f>
        <v>1053903</v>
      </c>
      <c r="O259" s="3358"/>
    </row>
    <row r="260" spans="1:16" s="2287" customFormat="1" ht="15" customHeight="1">
      <c r="A260" s="3458"/>
      <c r="B260" s="1290" t="s">
        <v>15</v>
      </c>
      <c r="C260" s="3347"/>
      <c r="D260" s="1721">
        <f>E260+F260+G260+H260+I260+J260+K260+L260</f>
        <v>120000</v>
      </c>
      <c r="E260" s="1722">
        <v>120000</v>
      </c>
      <c r="F260" s="1644">
        <v>0</v>
      </c>
      <c r="G260" s="1644">
        <v>0</v>
      </c>
      <c r="H260" s="1644">
        <v>0</v>
      </c>
      <c r="I260" s="1644">
        <v>0</v>
      </c>
      <c r="J260" s="1644">
        <v>0</v>
      </c>
      <c r="K260" s="1644">
        <v>0</v>
      </c>
      <c r="L260" s="1644">
        <v>0</v>
      </c>
      <c r="M260" s="1598">
        <f>SUM(F260:K260)</f>
        <v>0</v>
      </c>
      <c r="N260" s="1598">
        <f>SUM(G260:L260)</f>
        <v>0</v>
      </c>
      <c r="O260" s="3358"/>
    </row>
    <row r="261" spans="1:16" s="2287" customFormat="1" ht="15" customHeight="1">
      <c r="A261" s="3458"/>
      <c r="B261" s="1292" t="s">
        <v>18</v>
      </c>
      <c r="C261" s="3347"/>
      <c r="D261" s="1288">
        <f>D262</f>
        <v>6014597</v>
      </c>
      <c r="E261" s="1642">
        <f t="shared" ref="E261:N261" si="204">+E262</f>
        <v>42483</v>
      </c>
      <c r="F261" s="1723">
        <v>0</v>
      </c>
      <c r="G261" s="1724">
        <f>G262</f>
        <v>0</v>
      </c>
      <c r="H261" s="1293">
        <f t="shared" ref="H261:L261" si="205">H262</f>
        <v>3752046</v>
      </c>
      <c r="I261" s="1293">
        <f t="shared" si="205"/>
        <v>2220068</v>
      </c>
      <c r="J261" s="1646">
        <f t="shared" si="205"/>
        <v>0</v>
      </c>
      <c r="K261" s="1646">
        <f t="shared" si="205"/>
        <v>0</v>
      </c>
      <c r="L261" s="1646">
        <f t="shared" si="205"/>
        <v>0</v>
      </c>
      <c r="M261" s="1289">
        <f t="shared" si="204"/>
        <v>5972114</v>
      </c>
      <c r="N261" s="1289">
        <f t="shared" si="204"/>
        <v>5972114</v>
      </c>
      <c r="O261" s="3358"/>
    </row>
    <row r="262" spans="1:16" s="2287" customFormat="1" ht="15" customHeight="1">
      <c r="A262" s="3458"/>
      <c r="B262" s="3229" t="s">
        <v>20</v>
      </c>
      <c r="C262" s="3348"/>
      <c r="D262" s="1216">
        <f>SUM(E262:L262)</f>
        <v>6014597</v>
      </c>
      <c r="E262" s="1216">
        <v>42483</v>
      </c>
      <c r="F262" s="1644">
        <v>0</v>
      </c>
      <c r="G262" s="1720">
        <v>0</v>
      </c>
      <c r="H262" s="1291">
        <v>3752046</v>
      </c>
      <c r="I262" s="1291">
        <v>2220068</v>
      </c>
      <c r="J262" s="1644">
        <v>0</v>
      </c>
      <c r="K262" s="1644">
        <v>0</v>
      </c>
      <c r="L262" s="1644">
        <v>0</v>
      </c>
      <c r="M262" s="1598">
        <f>SUM(F262:K262)</f>
        <v>5972114</v>
      </c>
      <c r="N262" s="1598">
        <f>SUM(G262:L262)</f>
        <v>5972114</v>
      </c>
      <c r="O262" s="3931"/>
    </row>
    <row r="263" spans="1:16" s="2287" customFormat="1" ht="15" customHeight="1">
      <c r="A263" s="3458"/>
      <c r="B263" s="1283" t="s">
        <v>21</v>
      </c>
      <c r="C263" s="2495"/>
      <c r="D263" s="1285">
        <f>D266+D264</f>
        <v>6134597</v>
      </c>
      <c r="E263" s="1725">
        <f t="shared" ref="E263:L263" si="206">E266+E264</f>
        <v>120000</v>
      </c>
      <c r="F263" s="1295">
        <f t="shared" si="206"/>
        <v>0</v>
      </c>
      <c r="G263" s="1295">
        <f t="shared" si="206"/>
        <v>0</v>
      </c>
      <c r="H263" s="1285">
        <f t="shared" si="206"/>
        <v>237555</v>
      </c>
      <c r="I263" s="1285">
        <f t="shared" si="206"/>
        <v>4513210</v>
      </c>
      <c r="J263" s="1285">
        <f t="shared" si="206"/>
        <v>1263832</v>
      </c>
      <c r="K263" s="1580">
        <f t="shared" si="206"/>
        <v>0</v>
      </c>
      <c r="L263" s="1580">
        <f t="shared" si="206"/>
        <v>0</v>
      </c>
      <c r="M263" s="3368" t="s">
        <v>53</v>
      </c>
      <c r="N263" s="3368" t="s">
        <v>53</v>
      </c>
      <c r="O263" s="3358" t="s">
        <v>219</v>
      </c>
    </row>
    <row r="264" spans="1:16" s="2287" customFormat="1" ht="15" customHeight="1">
      <c r="A264" s="3458"/>
      <c r="B264" s="1292" t="s">
        <v>540</v>
      </c>
      <c r="C264" s="3436" t="s">
        <v>211</v>
      </c>
      <c r="D264" s="1294">
        <f t="shared" ref="D264:L266" si="207">D265</f>
        <v>120000</v>
      </c>
      <c r="E264" s="1726">
        <f t="shared" ref="E264:E266" si="208">+E265</f>
        <v>120000</v>
      </c>
      <c r="F264" s="1727">
        <f t="shared" si="207"/>
        <v>0</v>
      </c>
      <c r="G264" s="1723">
        <f t="shared" si="207"/>
        <v>0</v>
      </c>
      <c r="H264" s="1646">
        <f t="shared" si="207"/>
        <v>0</v>
      </c>
      <c r="I264" s="1646">
        <f t="shared" si="207"/>
        <v>0</v>
      </c>
      <c r="J264" s="1646">
        <f t="shared" si="207"/>
        <v>0</v>
      </c>
      <c r="K264" s="1646">
        <f t="shared" si="207"/>
        <v>0</v>
      </c>
      <c r="L264" s="1646">
        <f t="shared" si="207"/>
        <v>0</v>
      </c>
      <c r="M264" s="3366"/>
      <c r="N264" s="3366"/>
      <c r="O264" s="3358"/>
    </row>
    <row r="265" spans="1:16" s="2287" customFormat="1" ht="15" customHeight="1">
      <c r="A265" s="3458"/>
      <c r="B265" s="2740" t="s">
        <v>15</v>
      </c>
      <c r="C265" s="3506"/>
      <c r="D265" s="1262">
        <f>E265+F265+G265+H265+I265+J265+K265+L265</f>
        <v>120000</v>
      </c>
      <c r="E265" s="1728">
        <v>120000</v>
      </c>
      <c r="F265" s="1729">
        <v>0</v>
      </c>
      <c r="G265" s="1730">
        <v>0</v>
      </c>
      <c r="H265" s="1326">
        <v>0</v>
      </c>
      <c r="I265" s="1326">
        <v>0</v>
      </c>
      <c r="J265" s="1326">
        <v>0</v>
      </c>
      <c r="K265" s="1326">
        <v>0</v>
      </c>
      <c r="L265" s="1326">
        <v>0</v>
      </c>
      <c r="M265" s="3366"/>
      <c r="N265" s="3366"/>
      <c r="O265" s="3358"/>
    </row>
    <row r="266" spans="1:16" s="2287" customFormat="1" ht="15" customHeight="1">
      <c r="A266" s="3458"/>
      <c r="B266" s="1731" t="s">
        <v>18</v>
      </c>
      <c r="C266" s="3506"/>
      <c r="D266" s="1647">
        <f t="shared" si="207"/>
        <v>6014597</v>
      </c>
      <c r="E266" s="1648">
        <f t="shared" si="208"/>
        <v>0</v>
      </c>
      <c r="F266" s="1732">
        <f t="shared" si="207"/>
        <v>0</v>
      </c>
      <c r="G266" s="1733">
        <f t="shared" si="207"/>
        <v>0</v>
      </c>
      <c r="H266" s="1647">
        <f t="shared" si="207"/>
        <v>237555</v>
      </c>
      <c r="I266" s="1647">
        <f t="shared" si="207"/>
        <v>4513210</v>
      </c>
      <c r="J266" s="1647">
        <f t="shared" si="207"/>
        <v>1263832</v>
      </c>
      <c r="K266" s="1648">
        <f t="shared" si="207"/>
        <v>0</v>
      </c>
      <c r="L266" s="1648">
        <f t="shared" si="207"/>
        <v>0</v>
      </c>
      <c r="M266" s="3366"/>
      <c r="N266" s="3366"/>
      <c r="O266" s="3358"/>
    </row>
    <row r="267" spans="1:16" s="2287" customFormat="1" ht="15" customHeight="1" thickBot="1">
      <c r="A267" s="3457"/>
      <c r="B267" s="2739" t="s">
        <v>20</v>
      </c>
      <c r="C267" s="3975"/>
      <c r="D267" s="1955">
        <f>E267+F267+G267+H267+I267+J267+K267+L267</f>
        <v>6014597</v>
      </c>
      <c r="E267" s="2313">
        <v>0</v>
      </c>
      <c r="F267" s="1734">
        <v>0</v>
      </c>
      <c r="G267" s="1735">
        <v>0</v>
      </c>
      <c r="H267" s="1586">
        <v>237555</v>
      </c>
      <c r="I267" s="1586">
        <v>4513210</v>
      </c>
      <c r="J267" s="1586">
        <v>1263832</v>
      </c>
      <c r="K267" s="2313">
        <v>0</v>
      </c>
      <c r="L267" s="2313">
        <v>0</v>
      </c>
      <c r="M267" s="3367"/>
      <c r="N267" s="3367"/>
      <c r="O267" s="3359"/>
    </row>
    <row r="268" spans="1:16" ht="23.25" customHeight="1" thickBot="1">
      <c r="A268" s="186" t="s">
        <v>163</v>
      </c>
      <c r="B268" s="618"/>
      <c r="C268" s="618"/>
      <c r="D268" s="618"/>
      <c r="E268" s="618"/>
      <c r="F268" s="618"/>
      <c r="G268" s="618"/>
      <c r="H268" s="618"/>
      <c r="I268" s="618"/>
      <c r="J268" s="618"/>
      <c r="K268" s="618"/>
      <c r="L268" s="618"/>
      <c r="M268" s="619"/>
      <c r="N268" s="619"/>
      <c r="O268" s="620"/>
    </row>
    <row r="269" spans="1:16" ht="18.75" customHeight="1" thickBot="1">
      <c r="A269" s="621"/>
      <c r="B269" s="202" t="s">
        <v>68</v>
      </c>
      <c r="C269" s="409"/>
      <c r="D269" s="204">
        <f>+D270+D271</f>
        <v>16198501</v>
      </c>
      <c r="E269" s="204">
        <f t="shared" ref="E269:F269" si="209">+E270+E271</f>
        <v>7742800</v>
      </c>
      <c r="F269" s="204">
        <f t="shared" si="209"/>
        <v>2600000</v>
      </c>
      <c r="G269" s="204">
        <f t="shared" ref="G269:N269" si="210">+G270+G271</f>
        <v>2647000</v>
      </c>
      <c r="H269" s="204">
        <f t="shared" si="210"/>
        <v>2788899</v>
      </c>
      <c r="I269" s="204">
        <f t="shared" si="210"/>
        <v>83899</v>
      </c>
      <c r="J269" s="204">
        <f t="shared" si="210"/>
        <v>97429</v>
      </c>
      <c r="K269" s="204">
        <f t="shared" si="210"/>
        <v>113579</v>
      </c>
      <c r="L269" s="204">
        <f t="shared" si="210"/>
        <v>124895</v>
      </c>
      <c r="M269" s="16">
        <f t="shared" ref="M269" si="211">+M270+M271</f>
        <v>8330806</v>
      </c>
      <c r="N269" s="16">
        <f t="shared" si="210"/>
        <v>5855701</v>
      </c>
      <c r="O269" s="4012"/>
    </row>
    <row r="270" spans="1:16" ht="14.25" customHeight="1" thickBot="1">
      <c r="A270" s="530"/>
      <c r="B270" s="205" t="s">
        <v>69</v>
      </c>
      <c r="C270" s="207"/>
      <c r="D270" s="207">
        <f>D281+D285</f>
        <v>16198501</v>
      </c>
      <c r="E270" s="207">
        <f t="shared" ref="E270:L270" si="212">E281+E285</f>
        <v>7742800</v>
      </c>
      <c r="F270" s="207">
        <f t="shared" si="212"/>
        <v>2600000</v>
      </c>
      <c r="G270" s="207">
        <f t="shared" si="212"/>
        <v>2647000</v>
      </c>
      <c r="H270" s="207">
        <f t="shared" si="212"/>
        <v>2788899</v>
      </c>
      <c r="I270" s="207">
        <f t="shared" si="212"/>
        <v>83899</v>
      </c>
      <c r="J270" s="207">
        <f t="shared" si="212"/>
        <v>97429</v>
      </c>
      <c r="K270" s="207">
        <f t="shared" si="212"/>
        <v>113579</v>
      </c>
      <c r="L270" s="207">
        <f t="shared" si="212"/>
        <v>124895</v>
      </c>
      <c r="M270" s="18">
        <f>SUM(F270:K270)</f>
        <v>8330806</v>
      </c>
      <c r="N270" s="18">
        <f>SUM(G270:L270)</f>
        <v>5855701</v>
      </c>
      <c r="O270" s="4012"/>
    </row>
    <row r="271" spans="1:16" ht="14.25" customHeight="1" thickBot="1">
      <c r="A271" s="530"/>
      <c r="B271" s="622" t="s">
        <v>9</v>
      </c>
      <c r="C271" s="607"/>
      <c r="D271" s="607">
        <v>0</v>
      </c>
      <c r="E271" s="607">
        <v>0</v>
      </c>
      <c r="F271" s="607">
        <v>0</v>
      </c>
      <c r="G271" s="607">
        <v>0</v>
      </c>
      <c r="H271" s="607">
        <v>0</v>
      </c>
      <c r="I271" s="607">
        <f>+I281</f>
        <v>0</v>
      </c>
      <c r="J271" s="607">
        <f>+J281</f>
        <v>0</v>
      </c>
      <c r="K271" s="607">
        <f>+K281</f>
        <v>0</v>
      </c>
      <c r="L271" s="607">
        <f>+L281</f>
        <v>0</v>
      </c>
      <c r="M271" s="147">
        <f>SUM(E271:K271)</f>
        <v>0</v>
      </c>
      <c r="N271" s="147">
        <f>SUM(G271:L271)</f>
        <v>0</v>
      </c>
      <c r="O271" s="4012"/>
    </row>
    <row r="272" spans="1:16" ht="16.5" customHeight="1" thickBot="1">
      <c r="A272" s="335"/>
      <c r="B272" s="2321" t="s">
        <v>10</v>
      </c>
      <c r="C272" s="2322"/>
      <c r="D272" s="2323">
        <f t="shared" ref="D272:L272" si="213">+D273</f>
        <v>16198501</v>
      </c>
      <c r="E272" s="2323">
        <f t="shared" si="213"/>
        <v>7742800</v>
      </c>
      <c r="F272" s="2323">
        <f t="shared" si="213"/>
        <v>2600000</v>
      </c>
      <c r="G272" s="2323">
        <f t="shared" si="213"/>
        <v>2647000</v>
      </c>
      <c r="H272" s="2323">
        <f t="shared" si="213"/>
        <v>2788899</v>
      </c>
      <c r="I272" s="2323">
        <f t="shared" si="213"/>
        <v>83899</v>
      </c>
      <c r="J272" s="2323">
        <f t="shared" si="213"/>
        <v>97429</v>
      </c>
      <c r="K272" s="2323">
        <f t="shared" si="213"/>
        <v>113579</v>
      </c>
      <c r="L272" s="2323">
        <f t="shared" si="213"/>
        <v>124895</v>
      </c>
      <c r="M272" s="2324">
        <f>+M273</f>
        <v>8330806</v>
      </c>
      <c r="N272" s="2324">
        <f>+N273</f>
        <v>5855701</v>
      </c>
      <c r="O272" s="4012"/>
    </row>
    <row r="273" spans="1:17" ht="15" customHeight="1" thickBot="1">
      <c r="A273" s="190"/>
      <c r="B273" s="2293" t="s">
        <v>11</v>
      </c>
      <c r="C273" s="4010" t="s">
        <v>53</v>
      </c>
      <c r="D273" s="2319">
        <f>+D276+D274</f>
        <v>16198501</v>
      </c>
      <c r="E273" s="2319">
        <f t="shared" ref="E273:L273" si="214">+E276+E274</f>
        <v>7742800</v>
      </c>
      <c r="F273" s="2319">
        <f t="shared" si="214"/>
        <v>2600000</v>
      </c>
      <c r="G273" s="2319">
        <f t="shared" si="214"/>
        <v>2647000</v>
      </c>
      <c r="H273" s="2319">
        <f t="shared" si="214"/>
        <v>2788899</v>
      </c>
      <c r="I273" s="2319">
        <f t="shared" si="214"/>
        <v>83899</v>
      </c>
      <c r="J273" s="2319">
        <f t="shared" si="214"/>
        <v>97429</v>
      </c>
      <c r="K273" s="2319">
        <f t="shared" si="214"/>
        <v>113579</v>
      </c>
      <c r="L273" s="2319">
        <f t="shared" si="214"/>
        <v>124895</v>
      </c>
      <c r="M273" s="2320">
        <f>+M274+M275+M276</f>
        <v>8330806</v>
      </c>
      <c r="N273" s="2320">
        <f>+N274+N275+N276</f>
        <v>5855701</v>
      </c>
      <c r="O273" s="4012"/>
    </row>
    <row r="274" spans="1:17" s="1081" customFormat="1" ht="15" customHeight="1" thickBot="1">
      <c r="A274" s="190"/>
      <c r="B274" s="2316" t="s">
        <v>12</v>
      </c>
      <c r="C274" s="4011"/>
      <c r="D274" s="2317">
        <f>D287</f>
        <v>503701</v>
      </c>
      <c r="E274" s="2318">
        <f t="shared" ref="E274:L274" si="215">E287</f>
        <v>0</v>
      </c>
      <c r="F274" s="2318">
        <f t="shared" si="215"/>
        <v>0</v>
      </c>
      <c r="G274" s="2318">
        <f t="shared" si="215"/>
        <v>0</v>
      </c>
      <c r="H274" s="2318">
        <f t="shared" si="215"/>
        <v>83899</v>
      </c>
      <c r="I274" s="2318">
        <f t="shared" si="215"/>
        <v>83899</v>
      </c>
      <c r="J274" s="2318">
        <f t="shared" si="215"/>
        <v>97429</v>
      </c>
      <c r="K274" s="2318">
        <f t="shared" si="215"/>
        <v>113579</v>
      </c>
      <c r="L274" s="2318">
        <f t="shared" si="215"/>
        <v>124895</v>
      </c>
      <c r="M274" s="1991">
        <f t="shared" ref="M274:N276" si="216">SUM(F274:K274)</f>
        <v>378806</v>
      </c>
      <c r="N274" s="1991">
        <f t="shared" si="216"/>
        <v>503701</v>
      </c>
      <c r="O274" s="4012"/>
    </row>
    <row r="275" spans="1:17" ht="13.5" hidden="1" customHeight="1">
      <c r="A275" s="190"/>
      <c r="B275" s="2314" t="s">
        <v>54</v>
      </c>
      <c r="C275" s="4011"/>
      <c r="D275" s="3267">
        <f t="shared" ref="D275:L275" si="217">D291</f>
        <v>0</v>
      </c>
      <c r="E275" s="1641">
        <f t="shared" si="217"/>
        <v>0</v>
      </c>
      <c r="F275" s="1641">
        <f t="shared" si="217"/>
        <v>0</v>
      </c>
      <c r="G275" s="1641">
        <f t="shared" si="217"/>
        <v>0</v>
      </c>
      <c r="H275" s="1641">
        <f t="shared" si="217"/>
        <v>0</v>
      </c>
      <c r="I275" s="1641">
        <f t="shared" si="217"/>
        <v>0</v>
      </c>
      <c r="J275" s="1641">
        <f t="shared" si="217"/>
        <v>0</v>
      </c>
      <c r="K275" s="1641">
        <f t="shared" si="217"/>
        <v>0</v>
      </c>
      <c r="L275" s="1641">
        <f t="shared" si="217"/>
        <v>0</v>
      </c>
      <c r="M275" s="1598">
        <f t="shared" si="216"/>
        <v>0</v>
      </c>
      <c r="N275" s="1598">
        <f t="shared" si="216"/>
        <v>0</v>
      </c>
      <c r="O275" s="4012"/>
    </row>
    <row r="276" spans="1:17" ht="15.75" customHeight="1" thickBot="1">
      <c r="A276" s="2311"/>
      <c r="B276" s="26" t="s">
        <v>166</v>
      </c>
      <c r="C276" s="4011"/>
      <c r="D276" s="2315">
        <f t="shared" ref="D276:E276" si="218">+D283+D291</f>
        <v>15694800</v>
      </c>
      <c r="E276" s="2315">
        <f t="shared" si="218"/>
        <v>7742800</v>
      </c>
      <c r="F276" s="2315">
        <f t="shared" ref="F276:I276" si="219">+F283</f>
        <v>2600000</v>
      </c>
      <c r="G276" s="2315">
        <f t="shared" si="219"/>
        <v>2647000</v>
      </c>
      <c r="H276" s="2315">
        <f t="shared" si="219"/>
        <v>2705000</v>
      </c>
      <c r="I276" s="2315">
        <f t="shared" si="219"/>
        <v>0</v>
      </c>
      <c r="J276" s="2315">
        <f>+J283</f>
        <v>0</v>
      </c>
      <c r="K276" s="2315">
        <f>+K283</f>
        <v>0</v>
      </c>
      <c r="L276" s="2315">
        <f>+L283</f>
        <v>0</v>
      </c>
      <c r="M276" s="1816">
        <f t="shared" si="216"/>
        <v>7952000</v>
      </c>
      <c r="N276" s="1816">
        <f t="shared" si="216"/>
        <v>5352000</v>
      </c>
      <c r="O276" s="4012"/>
    </row>
    <row r="277" spans="1:17" ht="18.75" hidden="1" customHeight="1">
      <c r="A277" s="2312"/>
      <c r="B277" s="2304" t="s">
        <v>21</v>
      </c>
      <c r="C277" s="2305"/>
      <c r="D277" s="2306">
        <f t="shared" ref="D277:I278" si="220">D278</f>
        <v>0</v>
      </c>
      <c r="E277" s="2306">
        <f t="shared" si="220"/>
        <v>0</v>
      </c>
      <c r="F277" s="2306">
        <f t="shared" si="220"/>
        <v>0</v>
      </c>
      <c r="G277" s="2306">
        <f t="shared" si="220"/>
        <v>0</v>
      </c>
      <c r="H277" s="2306">
        <f t="shared" si="220"/>
        <v>0</v>
      </c>
      <c r="I277" s="2306">
        <f t="shared" si="220"/>
        <v>0</v>
      </c>
      <c r="J277" s="2306">
        <f t="shared" ref="J277:L278" si="221">J278</f>
        <v>0</v>
      </c>
      <c r="K277" s="2306">
        <f t="shared" si="221"/>
        <v>0</v>
      </c>
      <c r="L277" s="2306">
        <f t="shared" si="221"/>
        <v>0</v>
      </c>
      <c r="M277" s="3370" t="s">
        <v>53</v>
      </c>
      <c r="N277" s="3370" t="s">
        <v>53</v>
      </c>
      <c r="O277" s="4012"/>
    </row>
    <row r="278" spans="1:17" ht="13.5" hidden="1" customHeight="1">
      <c r="A278" s="2312"/>
      <c r="B278" s="2307" t="s">
        <v>11</v>
      </c>
      <c r="C278" s="2308"/>
      <c r="D278" s="2309">
        <f t="shared" si="220"/>
        <v>0</v>
      </c>
      <c r="E278" s="2309">
        <f t="shared" si="220"/>
        <v>0</v>
      </c>
      <c r="F278" s="2309">
        <f t="shared" si="220"/>
        <v>0</v>
      </c>
      <c r="G278" s="2309">
        <f t="shared" si="220"/>
        <v>0</v>
      </c>
      <c r="H278" s="2309">
        <f t="shared" si="220"/>
        <v>0</v>
      </c>
      <c r="I278" s="2309">
        <f t="shared" si="220"/>
        <v>0</v>
      </c>
      <c r="J278" s="2309">
        <f t="shared" si="221"/>
        <v>0</v>
      </c>
      <c r="K278" s="2309">
        <f t="shared" si="221"/>
        <v>0</v>
      </c>
      <c r="L278" s="2309">
        <f t="shared" si="221"/>
        <v>0</v>
      </c>
      <c r="M278" s="3370"/>
      <c r="N278" s="3370"/>
      <c r="O278" s="4012"/>
    </row>
    <row r="279" spans="1:17" ht="13.5" hidden="1" customHeight="1" thickBot="1">
      <c r="A279" s="2312"/>
      <c r="B279" s="2310" t="s">
        <v>54</v>
      </c>
      <c r="C279" s="2308"/>
      <c r="D279" s="2301"/>
      <c r="E279" s="2302">
        <f t="shared" ref="E279:G279" si="222">E293+E311+E318+E325+E332+E302+E339+E346+E353+E360</f>
        <v>0</v>
      </c>
      <c r="F279" s="2302">
        <f t="shared" si="222"/>
        <v>0</v>
      </c>
      <c r="G279" s="2302">
        <f t="shared" si="222"/>
        <v>0</v>
      </c>
      <c r="H279" s="2302">
        <f>H294</f>
        <v>0</v>
      </c>
      <c r="I279" s="2302">
        <f>I294</f>
        <v>0</v>
      </c>
      <c r="J279" s="2302">
        <f>J294</f>
        <v>0</v>
      </c>
      <c r="K279" s="2302">
        <f>K294</f>
        <v>0</v>
      </c>
      <c r="L279" s="2302">
        <f>L294</f>
        <v>0</v>
      </c>
      <c r="M279" s="3370"/>
      <c r="N279" s="3370"/>
      <c r="O279" s="4012"/>
    </row>
    <row r="280" spans="1:17" ht="36.75" customHeight="1" thickBot="1">
      <c r="A280" s="4007" t="s">
        <v>55</v>
      </c>
      <c r="B280" s="179" t="s">
        <v>316</v>
      </c>
      <c r="C280" s="1965" t="s">
        <v>162</v>
      </c>
      <c r="D280" s="612"/>
      <c r="E280" s="1966"/>
      <c r="F280" s="2655"/>
      <c r="G280" s="2655"/>
      <c r="H280" s="2655"/>
      <c r="I280" s="1966"/>
      <c r="J280" s="1966"/>
      <c r="K280" s="1966"/>
      <c r="L280" s="2656"/>
      <c r="M280" s="614"/>
      <c r="N280" s="614"/>
      <c r="O280" s="3984" t="s">
        <v>164</v>
      </c>
    </row>
    <row r="281" spans="1:17" ht="15.75" customHeight="1" thickBot="1">
      <c r="A281" s="4007"/>
      <c r="B281" s="2073" t="s">
        <v>10</v>
      </c>
      <c r="C281" s="2495"/>
      <c r="D281" s="1285">
        <f t="shared" ref="D281:N282" si="223">+D282</f>
        <v>15694800</v>
      </c>
      <c r="E281" s="1285">
        <f t="shared" si="223"/>
        <v>7742800</v>
      </c>
      <c r="F281" s="1285">
        <f t="shared" si="223"/>
        <v>2600000</v>
      </c>
      <c r="G281" s="1285">
        <f t="shared" si="223"/>
        <v>2647000</v>
      </c>
      <c r="H281" s="1285">
        <f t="shared" si="223"/>
        <v>2705000</v>
      </c>
      <c r="I281" s="1285">
        <f t="shared" si="223"/>
        <v>0</v>
      </c>
      <c r="J281" s="1285">
        <f t="shared" si="223"/>
        <v>0</v>
      </c>
      <c r="K281" s="1285">
        <f t="shared" si="223"/>
        <v>0</v>
      </c>
      <c r="L281" s="1285">
        <f t="shared" si="223"/>
        <v>0</v>
      </c>
      <c r="M281" s="1346">
        <f t="shared" si="223"/>
        <v>7952000</v>
      </c>
      <c r="N281" s="1346">
        <f t="shared" si="223"/>
        <v>5352000</v>
      </c>
      <c r="O281" s="3984"/>
    </row>
    <row r="282" spans="1:17" ht="15" customHeight="1" thickBot="1">
      <c r="A282" s="4007"/>
      <c r="B282" s="1287" t="s">
        <v>23</v>
      </c>
      <c r="C282" s="3351" t="s">
        <v>165</v>
      </c>
      <c r="D282" s="1642">
        <f t="shared" si="223"/>
        <v>15694800</v>
      </c>
      <c r="E282" s="1642">
        <f t="shared" si="223"/>
        <v>7742800</v>
      </c>
      <c r="F282" s="1293">
        <f t="shared" ref="F282:H282" si="224">F283</f>
        <v>2600000</v>
      </c>
      <c r="G282" s="1293">
        <f t="shared" si="224"/>
        <v>2647000</v>
      </c>
      <c r="H282" s="1293">
        <f t="shared" si="224"/>
        <v>2705000</v>
      </c>
      <c r="I282" s="1293">
        <v>0</v>
      </c>
      <c r="J282" s="1293">
        <v>0</v>
      </c>
      <c r="K282" s="1293">
        <v>0</v>
      </c>
      <c r="L282" s="1293">
        <v>0</v>
      </c>
      <c r="M282" s="1289">
        <f t="shared" si="223"/>
        <v>7952000</v>
      </c>
      <c r="N282" s="1289">
        <f t="shared" si="223"/>
        <v>5352000</v>
      </c>
      <c r="O282" s="3984"/>
    </row>
    <row r="283" spans="1:17" ht="15" customHeight="1" thickBot="1">
      <c r="A283" s="4007"/>
      <c r="B283" s="2739" t="s">
        <v>166</v>
      </c>
      <c r="C283" s="3391"/>
      <c r="D283" s="1570">
        <f>E283+F283+G283+H283+I283+J283+K283+L283</f>
        <v>15694800</v>
      </c>
      <c r="E283" s="1570">
        <v>7742800</v>
      </c>
      <c r="F283" s="3268">
        <v>2600000</v>
      </c>
      <c r="G283" s="3268">
        <v>2647000</v>
      </c>
      <c r="H283" s="3268">
        <v>2705000</v>
      </c>
      <c r="I283" s="3268">
        <v>0</v>
      </c>
      <c r="J283" s="3268">
        <v>0</v>
      </c>
      <c r="K283" s="3268">
        <v>0</v>
      </c>
      <c r="L283" s="3268">
        <v>0</v>
      </c>
      <c r="M283" s="1598">
        <f>SUM(F283:K283)</f>
        <v>7952000</v>
      </c>
      <c r="N283" s="1816">
        <f>SUM(G283:L283)</f>
        <v>5352000</v>
      </c>
      <c r="O283" s="3984"/>
    </row>
    <row r="284" spans="1:17" ht="35.25" customHeight="1">
      <c r="A284" s="3375" t="s">
        <v>56</v>
      </c>
      <c r="B284" s="581" t="s">
        <v>402</v>
      </c>
      <c r="C284" s="594" t="s">
        <v>101</v>
      </c>
      <c r="D284" s="2741"/>
      <c r="E284" s="2643"/>
      <c r="F284" s="2643"/>
      <c r="G284" s="2643"/>
      <c r="H284" s="2643"/>
      <c r="I284" s="2643"/>
      <c r="J284" s="2643"/>
      <c r="K284" s="2643"/>
      <c r="L284" s="58"/>
      <c r="M284" s="582"/>
      <c r="N284" s="582"/>
      <c r="O284" s="3959" t="s">
        <v>219</v>
      </c>
      <c r="Q284" s="195"/>
    </row>
    <row r="285" spans="1:17" ht="15" customHeight="1">
      <c r="A285" s="3375"/>
      <c r="B285" s="2073" t="s">
        <v>10</v>
      </c>
      <c r="C285" s="3269"/>
      <c r="D285" s="1285">
        <f>D286</f>
        <v>503701</v>
      </c>
      <c r="E285" s="1285">
        <f t="shared" ref="E285:L286" si="225">E286</f>
        <v>0</v>
      </c>
      <c r="F285" s="1580">
        <f t="shared" si="225"/>
        <v>0</v>
      </c>
      <c r="G285" s="1580">
        <f t="shared" si="225"/>
        <v>0</v>
      </c>
      <c r="H285" s="1285">
        <f t="shared" si="225"/>
        <v>83899</v>
      </c>
      <c r="I285" s="1285">
        <f t="shared" si="225"/>
        <v>83899</v>
      </c>
      <c r="J285" s="1285">
        <f t="shared" si="225"/>
        <v>97429</v>
      </c>
      <c r="K285" s="1285">
        <f t="shared" si="225"/>
        <v>113579</v>
      </c>
      <c r="L285" s="1345">
        <f t="shared" si="225"/>
        <v>124895</v>
      </c>
      <c r="M285" s="1625">
        <f>M286</f>
        <v>503701</v>
      </c>
      <c r="N285" s="1625">
        <f>N286</f>
        <v>503701</v>
      </c>
      <c r="O285" s="3959"/>
    </row>
    <row r="286" spans="1:17" ht="15" customHeight="1">
      <c r="A286" s="3375"/>
      <c r="B286" s="2057" t="s">
        <v>11</v>
      </c>
      <c r="C286" s="4009" t="s">
        <v>161</v>
      </c>
      <c r="D286" s="1369">
        <f>D287</f>
        <v>503701</v>
      </c>
      <c r="E286" s="1369">
        <f t="shared" si="225"/>
        <v>0</v>
      </c>
      <c r="F286" s="2000">
        <f t="shared" si="225"/>
        <v>0</v>
      </c>
      <c r="G286" s="2000">
        <f t="shared" si="225"/>
        <v>0</v>
      </c>
      <c r="H286" s="1369">
        <f t="shared" si="225"/>
        <v>83899</v>
      </c>
      <c r="I286" s="1369">
        <f t="shared" si="225"/>
        <v>83899</v>
      </c>
      <c r="J286" s="1369">
        <f t="shared" si="225"/>
        <v>97429</v>
      </c>
      <c r="K286" s="1369">
        <f t="shared" si="225"/>
        <v>113579</v>
      </c>
      <c r="L286" s="1369">
        <f t="shared" si="225"/>
        <v>124895</v>
      </c>
      <c r="M286" s="1585">
        <f>M287</f>
        <v>503701</v>
      </c>
      <c r="N286" s="1585">
        <f>N287</f>
        <v>503701</v>
      </c>
      <c r="O286" s="3959"/>
    </row>
    <row r="287" spans="1:17" ht="15" customHeight="1" thickBot="1">
      <c r="A287" s="3531"/>
      <c r="B287" s="79" t="s">
        <v>12</v>
      </c>
      <c r="C287" s="3525"/>
      <c r="D287" s="1570">
        <f>E287+F287+G287+H287+I287+J287+K287+L287</f>
        <v>503701</v>
      </c>
      <c r="E287" s="1570">
        <v>0</v>
      </c>
      <c r="F287" s="1078">
        <v>0</v>
      </c>
      <c r="G287" s="1078">
        <v>0</v>
      </c>
      <c r="H287" s="1079">
        <v>83899</v>
      </c>
      <c r="I287" s="1079">
        <v>83899</v>
      </c>
      <c r="J287" s="1079">
        <v>97429</v>
      </c>
      <c r="K287" s="1079">
        <v>113579</v>
      </c>
      <c r="L287" s="1079">
        <v>124895</v>
      </c>
      <c r="M287" s="2003">
        <f>SUM(F287:L287)</f>
        <v>503701</v>
      </c>
      <c r="N287" s="2003">
        <f>SUM(G287:L287)</f>
        <v>503701</v>
      </c>
      <c r="O287" s="3960"/>
    </row>
    <row r="288" spans="1:17" ht="40.5" hidden="1" customHeight="1">
      <c r="A288" s="4002" t="s">
        <v>57</v>
      </c>
      <c r="B288" s="251"/>
      <c r="C288" s="246" t="s">
        <v>162</v>
      </c>
      <c r="D288" s="624"/>
      <c r="E288" s="625"/>
      <c r="F288" s="626"/>
      <c r="G288" s="626"/>
      <c r="H288" s="626"/>
      <c r="I288" s="625"/>
      <c r="J288" s="625"/>
      <c r="K288" s="625"/>
      <c r="L288" s="625"/>
      <c r="M288" s="627"/>
      <c r="N288" s="627"/>
      <c r="O288" s="4003" t="s">
        <v>212</v>
      </c>
    </row>
    <row r="289" spans="1:15" ht="17.25" hidden="1" customHeight="1">
      <c r="A289" s="4002"/>
      <c r="B289" s="131" t="s">
        <v>10</v>
      </c>
      <c r="C289" s="131"/>
      <c r="D289" s="224"/>
      <c r="E289" s="224"/>
      <c r="F289" s="253"/>
      <c r="G289" s="252">
        <f t="shared" ref="G289:N289" si="226">+G290</f>
        <v>0</v>
      </c>
      <c r="H289" s="252">
        <f t="shared" si="226"/>
        <v>0</v>
      </c>
      <c r="I289" s="253">
        <f t="shared" si="226"/>
        <v>0</v>
      </c>
      <c r="J289" s="253"/>
      <c r="K289" s="253"/>
      <c r="L289" s="253"/>
      <c r="M289" s="63">
        <f t="shared" si="226"/>
        <v>0</v>
      </c>
      <c r="N289" s="63">
        <f t="shared" si="226"/>
        <v>0</v>
      </c>
      <c r="O289" s="4003"/>
    </row>
    <row r="290" spans="1:15" ht="16.5" hidden="1" customHeight="1">
      <c r="A290" s="4002"/>
      <c r="B290" s="170" t="s">
        <v>213</v>
      </c>
      <c r="C290" s="4004" t="s">
        <v>211</v>
      </c>
      <c r="D290" s="254"/>
      <c r="E290" s="255"/>
      <c r="F290" s="255"/>
      <c r="G290" s="255">
        <f>G291</f>
        <v>0</v>
      </c>
      <c r="H290" s="255">
        <f>H291</f>
        <v>0</v>
      </c>
      <c r="I290" s="256">
        <f>I291</f>
        <v>0</v>
      </c>
      <c r="J290" s="256"/>
      <c r="K290" s="256"/>
      <c r="L290" s="256"/>
      <c r="M290" s="77">
        <f>+M291</f>
        <v>0</v>
      </c>
      <c r="N290" s="77">
        <f>+N291</f>
        <v>0</v>
      </c>
      <c r="O290" s="4003"/>
    </row>
    <row r="291" spans="1:15" ht="13.5" hidden="1" customHeight="1">
      <c r="A291" s="4002"/>
      <c r="B291" s="2742" t="s">
        <v>54</v>
      </c>
      <c r="C291" s="4005"/>
      <c r="D291" s="257"/>
      <c r="E291" s="258"/>
      <c r="F291" s="258"/>
      <c r="G291" s="258">
        <v>0</v>
      </c>
      <c r="H291" s="258">
        <v>0</v>
      </c>
      <c r="I291" s="258">
        <v>0</v>
      </c>
      <c r="J291" s="258"/>
      <c r="K291" s="258"/>
      <c r="L291" s="258"/>
      <c r="M291" s="259"/>
      <c r="N291" s="259"/>
      <c r="O291" s="4003"/>
    </row>
    <row r="292" spans="1:15" ht="15.75" hidden="1" customHeight="1">
      <c r="A292" s="4002"/>
      <c r="B292" s="260" t="s">
        <v>21</v>
      </c>
      <c r="C292" s="22"/>
      <c r="D292" s="29"/>
      <c r="E292" s="192"/>
      <c r="F292" s="192"/>
      <c r="G292" s="192"/>
      <c r="H292" s="192">
        <f t="shared" ref="G292:I293" si="227">H293</f>
        <v>0</v>
      </c>
      <c r="I292" s="192">
        <f t="shared" si="227"/>
        <v>0</v>
      </c>
      <c r="J292" s="628"/>
      <c r="K292" s="628"/>
      <c r="L292" s="628"/>
      <c r="M292" s="3366" t="s">
        <v>53</v>
      </c>
      <c r="N292" s="3366" t="s">
        <v>53</v>
      </c>
      <c r="O292" s="4003"/>
    </row>
    <row r="293" spans="1:15" ht="16.5" hidden="1" customHeight="1">
      <c r="A293" s="4002"/>
      <c r="B293" s="170" t="s">
        <v>11</v>
      </c>
      <c r="C293" s="4006" t="s">
        <v>211</v>
      </c>
      <c r="D293" s="122"/>
      <c r="E293" s="48"/>
      <c r="F293" s="48"/>
      <c r="G293" s="48">
        <f t="shared" si="227"/>
        <v>0</v>
      </c>
      <c r="H293" s="48">
        <f t="shared" si="227"/>
        <v>0</v>
      </c>
      <c r="I293" s="48">
        <f t="shared" si="227"/>
        <v>0</v>
      </c>
      <c r="J293" s="276"/>
      <c r="K293" s="276"/>
      <c r="L293" s="276"/>
      <c r="M293" s="3366"/>
      <c r="N293" s="3366"/>
      <c r="O293" s="4003"/>
    </row>
    <row r="294" spans="1:15" ht="13.5" hidden="1" customHeight="1" thickBot="1">
      <c r="A294" s="4002"/>
      <c r="B294" s="2723" t="s">
        <v>54</v>
      </c>
      <c r="C294" s="3353"/>
      <c r="D294" s="261"/>
      <c r="E294" s="71"/>
      <c r="F294" s="70"/>
      <c r="G294" s="70">
        <v>0</v>
      </c>
      <c r="H294" s="70">
        <v>0</v>
      </c>
      <c r="I294" s="70">
        <v>0</v>
      </c>
      <c r="J294" s="54"/>
      <c r="K294" s="54"/>
      <c r="L294" s="54"/>
      <c r="M294" s="3367"/>
      <c r="N294" s="3367"/>
      <c r="O294" s="4003"/>
    </row>
    <row r="295" spans="1:15" ht="17.25" customHeight="1">
      <c r="A295" s="603" t="s">
        <v>510</v>
      </c>
      <c r="E295" s="547"/>
      <c r="O295" s="629"/>
    </row>
    <row r="296" spans="1:15" ht="11.25" customHeight="1">
      <c r="A296" s="4001"/>
      <c r="B296" s="4001"/>
      <c r="C296" s="4001"/>
      <c r="D296" s="4001"/>
      <c r="E296" s="4001"/>
      <c r="F296" s="4001"/>
      <c r="G296" s="4001"/>
      <c r="H296" s="4001"/>
      <c r="I296" s="4001"/>
      <c r="J296" s="4001"/>
      <c r="K296" s="4001"/>
      <c r="L296" s="4001"/>
      <c r="M296" s="4001"/>
      <c r="N296" s="4001"/>
      <c r="O296" s="4001"/>
    </row>
    <row r="297" spans="1:15">
      <c r="A297" s="4001"/>
      <c r="B297" s="4001"/>
      <c r="C297" s="4001"/>
      <c r="D297" s="4001"/>
      <c r="E297" s="4001"/>
      <c r="F297" s="4001"/>
      <c r="G297" s="4001"/>
      <c r="H297" s="4001"/>
      <c r="I297" s="4001"/>
      <c r="J297" s="4001"/>
      <c r="K297" s="4001"/>
      <c r="L297" s="4001"/>
      <c r="M297" s="4001"/>
      <c r="N297" s="4001"/>
      <c r="O297" s="4001"/>
    </row>
    <row r="298" spans="1:15" ht="15" customHeight="1">
      <c r="B298" s="1127" t="s">
        <v>448</v>
      </c>
      <c r="C298" s="2743"/>
      <c r="D298" s="2743"/>
      <c r="E298" s="2743"/>
      <c r="F298" s="2743"/>
      <c r="G298" s="2743"/>
      <c r="H298" s="2743"/>
      <c r="I298" s="2743"/>
      <c r="J298" s="2743"/>
      <c r="K298" s="2743"/>
      <c r="L298" s="2743"/>
      <c r="O298" s="629"/>
    </row>
    <row r="299" spans="1:15" ht="15" customHeight="1">
      <c r="B299" s="1160" t="s">
        <v>449</v>
      </c>
      <c r="C299" s="2743"/>
      <c r="D299" s="2744">
        <f t="shared" ref="D299:L299" si="228">D123+D148+D170+D179+D201+D223+D232+D255+D114</f>
        <v>3076429</v>
      </c>
      <c r="E299" s="2744">
        <f t="shared" si="228"/>
        <v>0</v>
      </c>
      <c r="F299" s="2744">
        <f t="shared" si="228"/>
        <v>977</v>
      </c>
      <c r="G299" s="2744">
        <f t="shared" si="228"/>
        <v>590917</v>
      </c>
      <c r="H299" s="2744">
        <f>H123+H148+H170+H179+H201+H223+H232+H255+H114</f>
        <v>1384979</v>
      </c>
      <c r="I299" s="2744">
        <f t="shared" si="228"/>
        <v>775793</v>
      </c>
      <c r="J299" s="2744">
        <f t="shared" si="228"/>
        <v>323763</v>
      </c>
      <c r="K299" s="2744">
        <f t="shared" si="228"/>
        <v>0</v>
      </c>
      <c r="L299" s="2744">
        <f t="shared" si="228"/>
        <v>0</v>
      </c>
      <c r="O299" s="629"/>
    </row>
    <row r="300" spans="1:15" ht="15" customHeight="1">
      <c r="B300" s="1160" t="s">
        <v>450</v>
      </c>
      <c r="C300" s="2743"/>
      <c r="D300" s="2744">
        <f>D32+D44+D56+D79+D92+D133+D157+D188+D210+D242+D267+D265+D105+D68</f>
        <v>84908374</v>
      </c>
      <c r="E300" s="2744">
        <f t="shared" ref="E300:L300" si="229">E32+E44+E56+E79+E92+E133+E157+E188+E210+E242+E267+E265+E105</f>
        <v>120000</v>
      </c>
      <c r="F300" s="2744">
        <f t="shared" si="229"/>
        <v>45886</v>
      </c>
      <c r="G300" s="2744">
        <f t="shared" si="229"/>
        <v>50789854</v>
      </c>
      <c r="H300" s="2744">
        <f>H32+H44+H56+H79+H92+H133+H157+H188+H210+H242+H267+H265+H105+H68</f>
        <v>21211226</v>
      </c>
      <c r="I300" s="2744">
        <f t="shared" si="229"/>
        <v>9717383</v>
      </c>
      <c r="J300" s="2744">
        <f t="shared" si="229"/>
        <v>3024025</v>
      </c>
      <c r="K300" s="2744">
        <f t="shared" si="229"/>
        <v>0</v>
      </c>
      <c r="L300" s="2744">
        <f t="shared" si="229"/>
        <v>0</v>
      </c>
      <c r="O300" s="629"/>
    </row>
    <row r="301" spans="1:15" ht="15" customHeight="1">
      <c r="B301" s="1160" t="s">
        <v>451</v>
      </c>
      <c r="C301" s="2743"/>
      <c r="D301" s="1125">
        <f>D299+D300</f>
        <v>87984803</v>
      </c>
      <c r="E301" s="1125">
        <f t="shared" ref="E301:I301" si="230">E299+E300</f>
        <v>120000</v>
      </c>
      <c r="F301" s="1125">
        <f t="shared" si="230"/>
        <v>46863</v>
      </c>
      <c r="G301" s="1125">
        <f t="shared" si="230"/>
        <v>51380771</v>
      </c>
      <c r="H301" s="1125">
        <f>H299+H300</f>
        <v>22596205</v>
      </c>
      <c r="I301" s="1125">
        <f t="shared" si="230"/>
        <v>10493176</v>
      </c>
      <c r="J301" s="1125">
        <f t="shared" ref="J301:L301" si="231">J299+J300</f>
        <v>3347788</v>
      </c>
      <c r="K301" s="1125">
        <f t="shared" si="231"/>
        <v>0</v>
      </c>
      <c r="L301" s="1125">
        <f t="shared" si="231"/>
        <v>0</v>
      </c>
      <c r="O301" s="629"/>
    </row>
    <row r="302" spans="1:15" ht="15" customHeight="1">
      <c r="B302" s="1122" t="s">
        <v>41</v>
      </c>
      <c r="C302" s="1124"/>
      <c r="D302" s="1126">
        <f>D301-D18</f>
        <v>0</v>
      </c>
      <c r="E302" s="1126">
        <f t="shared" ref="E302:L302" si="232">E301-E18</f>
        <v>0</v>
      </c>
      <c r="F302" s="1126">
        <f t="shared" si="232"/>
        <v>0</v>
      </c>
      <c r="G302" s="1126">
        <f t="shared" si="232"/>
        <v>0</v>
      </c>
      <c r="H302" s="1126">
        <f t="shared" si="232"/>
        <v>0</v>
      </c>
      <c r="I302" s="1126">
        <f t="shared" si="232"/>
        <v>0</v>
      </c>
      <c r="J302" s="1126">
        <f t="shared" si="232"/>
        <v>0</v>
      </c>
      <c r="K302" s="1126">
        <f t="shared" si="232"/>
        <v>0</v>
      </c>
      <c r="L302" s="1126">
        <f t="shared" si="232"/>
        <v>0</v>
      </c>
      <c r="O302" s="629"/>
    </row>
    <row r="303" spans="1:15">
      <c r="E303" s="547"/>
      <c r="O303" s="629"/>
    </row>
    <row r="304" spans="1:15">
      <c r="E304" s="547"/>
      <c r="O304" s="629"/>
    </row>
    <row r="305" spans="5:15">
      <c r="E305" s="547"/>
      <c r="O305" s="629"/>
    </row>
    <row r="306" spans="5:15">
      <c r="E306" s="547"/>
      <c r="O306" s="629"/>
    </row>
    <row r="307" spans="5:15">
      <c r="E307" s="547"/>
      <c r="O307" s="629"/>
    </row>
    <row r="308" spans="5:15">
      <c r="E308" s="547"/>
      <c r="O308" s="629"/>
    </row>
    <row r="309" spans="5:15">
      <c r="E309" s="547"/>
      <c r="O309" s="629"/>
    </row>
    <row r="310" spans="5:15">
      <c r="E310" s="547"/>
      <c r="O310" s="629"/>
    </row>
    <row r="311" spans="5:15">
      <c r="E311" s="547"/>
      <c r="O311" s="629"/>
    </row>
    <row r="312" spans="5:15">
      <c r="E312" s="547"/>
      <c r="O312" s="629"/>
    </row>
    <row r="313" spans="5:15">
      <c r="E313" s="547"/>
      <c r="O313" s="629"/>
    </row>
    <row r="314" spans="5:15">
      <c r="E314" s="547"/>
      <c r="O314" s="629"/>
    </row>
    <row r="315" spans="5:15">
      <c r="E315" s="547"/>
      <c r="O315" s="629"/>
    </row>
    <row r="316" spans="5:15">
      <c r="E316" s="547"/>
      <c r="O316" s="629"/>
    </row>
    <row r="317" spans="5:15">
      <c r="E317" s="547"/>
      <c r="O317" s="629"/>
    </row>
    <row r="318" spans="5:15">
      <c r="E318" s="547"/>
      <c r="O318" s="629"/>
    </row>
    <row r="319" spans="5:15">
      <c r="E319" s="547"/>
      <c r="O319" s="629"/>
    </row>
    <row r="320" spans="5:15">
      <c r="E320" s="547"/>
      <c r="O320" s="629"/>
    </row>
    <row r="321" spans="5:15">
      <c r="E321" s="547"/>
      <c r="O321" s="629"/>
    </row>
    <row r="322" spans="5:15">
      <c r="E322" s="547"/>
      <c r="O322" s="629"/>
    </row>
    <row r="323" spans="5:15">
      <c r="E323" s="547"/>
      <c r="O323" s="629"/>
    </row>
    <row r="324" spans="5:15">
      <c r="E324" s="547"/>
      <c r="O324" s="629"/>
    </row>
    <row r="325" spans="5:15">
      <c r="E325" s="547"/>
      <c r="O325" s="629"/>
    </row>
    <row r="326" spans="5:15">
      <c r="E326" s="547"/>
      <c r="O326" s="629"/>
    </row>
    <row r="327" spans="5:15">
      <c r="E327" s="547"/>
      <c r="O327" s="629"/>
    </row>
    <row r="328" spans="5:15">
      <c r="E328" s="547"/>
      <c r="O328" s="629"/>
    </row>
    <row r="329" spans="5:15">
      <c r="E329" s="547"/>
      <c r="O329" s="629"/>
    </row>
    <row r="330" spans="5:15">
      <c r="E330" s="547"/>
      <c r="O330" s="629"/>
    </row>
    <row r="331" spans="5:15">
      <c r="E331" s="547"/>
      <c r="O331" s="629"/>
    </row>
    <row r="332" spans="5:15">
      <c r="E332" s="547"/>
      <c r="O332" s="629"/>
    </row>
    <row r="333" spans="5:15">
      <c r="E333" s="547"/>
      <c r="O333" s="629"/>
    </row>
    <row r="334" spans="5:15">
      <c r="E334" s="547"/>
      <c r="O334" s="629"/>
    </row>
    <row r="335" spans="5:15">
      <c r="E335" s="547"/>
      <c r="O335" s="629"/>
    </row>
    <row r="336" spans="5:15">
      <c r="E336" s="547"/>
      <c r="O336" s="629"/>
    </row>
    <row r="337" spans="5:15">
      <c r="E337" s="547"/>
      <c r="O337" s="629"/>
    </row>
    <row r="338" spans="5:15">
      <c r="E338" s="547"/>
      <c r="O338" s="629"/>
    </row>
    <row r="339" spans="5:15">
      <c r="E339" s="547"/>
      <c r="O339" s="629"/>
    </row>
    <row r="340" spans="5:15">
      <c r="E340" s="547"/>
      <c r="O340" s="629"/>
    </row>
    <row r="341" spans="5:15">
      <c r="E341" s="547"/>
      <c r="O341" s="629"/>
    </row>
    <row r="342" spans="5:15">
      <c r="E342" s="547"/>
      <c r="O342" s="629"/>
    </row>
    <row r="343" spans="5:15">
      <c r="E343" s="547"/>
      <c r="O343" s="629"/>
    </row>
    <row r="344" spans="5:15">
      <c r="E344" s="547"/>
      <c r="O344" s="629"/>
    </row>
    <row r="345" spans="5:15">
      <c r="E345" s="547"/>
      <c r="O345" s="629"/>
    </row>
    <row r="346" spans="5:15">
      <c r="E346" s="547"/>
      <c r="O346" s="629"/>
    </row>
    <row r="347" spans="5:15">
      <c r="E347" s="547"/>
      <c r="O347" s="629"/>
    </row>
    <row r="348" spans="5:15">
      <c r="E348" s="547"/>
      <c r="O348" s="629"/>
    </row>
    <row r="349" spans="5:15">
      <c r="E349" s="547"/>
      <c r="O349" s="629"/>
    </row>
    <row r="350" spans="5:15">
      <c r="E350" s="547"/>
      <c r="O350" s="629"/>
    </row>
    <row r="351" spans="5:15">
      <c r="E351" s="547"/>
      <c r="O351" s="629"/>
    </row>
    <row r="352" spans="5:15">
      <c r="E352" s="547"/>
      <c r="O352" s="629"/>
    </row>
    <row r="353" spans="5:15">
      <c r="E353" s="547"/>
      <c r="O353" s="629"/>
    </row>
    <row r="354" spans="5:15">
      <c r="E354" s="547"/>
      <c r="O354" s="629"/>
    </row>
    <row r="355" spans="5:15">
      <c r="E355" s="547"/>
      <c r="O355" s="629"/>
    </row>
    <row r="356" spans="5:15">
      <c r="E356" s="547"/>
      <c r="O356" s="629"/>
    </row>
    <row r="357" spans="5:15">
      <c r="E357" s="547"/>
      <c r="O357" s="629"/>
    </row>
    <row r="358" spans="5:15">
      <c r="E358" s="547"/>
      <c r="O358" s="629"/>
    </row>
    <row r="359" spans="5:15">
      <c r="E359" s="547"/>
      <c r="O359" s="629"/>
    </row>
    <row r="360" spans="5:15">
      <c r="E360" s="547"/>
      <c r="O360" s="629"/>
    </row>
    <row r="361" spans="5:15">
      <c r="E361" s="547"/>
      <c r="O361" s="629"/>
    </row>
    <row r="362" spans="5:15">
      <c r="E362" s="547"/>
      <c r="O362" s="629"/>
    </row>
    <row r="363" spans="5:15">
      <c r="E363" s="547"/>
      <c r="O363" s="629"/>
    </row>
    <row r="364" spans="5:15">
      <c r="E364" s="547"/>
      <c r="O364" s="629"/>
    </row>
    <row r="365" spans="5:15">
      <c r="E365" s="547"/>
      <c r="O365" s="629"/>
    </row>
    <row r="366" spans="5:15">
      <c r="E366" s="547"/>
      <c r="O366" s="629"/>
    </row>
    <row r="367" spans="5:15">
      <c r="E367" s="547"/>
      <c r="O367" s="629"/>
    </row>
    <row r="368" spans="5:15">
      <c r="E368" s="547"/>
      <c r="O368" s="629"/>
    </row>
    <row r="369" spans="5:15">
      <c r="E369" s="547"/>
      <c r="O369" s="629"/>
    </row>
    <row r="370" spans="5:15">
      <c r="E370" s="547"/>
      <c r="O370" s="629"/>
    </row>
    <row r="371" spans="5:15">
      <c r="E371" s="547"/>
      <c r="O371" s="629"/>
    </row>
    <row r="372" spans="5:15">
      <c r="E372" s="547"/>
      <c r="O372" s="629"/>
    </row>
    <row r="373" spans="5:15">
      <c r="E373" s="547"/>
      <c r="O373" s="629"/>
    </row>
    <row r="374" spans="5:15">
      <c r="E374" s="547"/>
      <c r="O374" s="629"/>
    </row>
    <row r="375" spans="5:15">
      <c r="E375" s="547"/>
      <c r="O375" s="629"/>
    </row>
    <row r="376" spans="5:15">
      <c r="E376" s="547"/>
      <c r="O376" s="629"/>
    </row>
    <row r="377" spans="5:15">
      <c r="E377" s="547"/>
      <c r="O377" s="629"/>
    </row>
    <row r="378" spans="5:15">
      <c r="E378" s="547"/>
      <c r="O378" s="629"/>
    </row>
    <row r="379" spans="5:15">
      <c r="E379" s="547"/>
      <c r="O379" s="629"/>
    </row>
    <row r="380" spans="5:15">
      <c r="E380" s="547"/>
      <c r="O380" s="629"/>
    </row>
    <row r="381" spans="5:15">
      <c r="E381" s="547"/>
      <c r="O381" s="629"/>
    </row>
    <row r="382" spans="5:15">
      <c r="E382" s="547"/>
      <c r="O382" s="629"/>
    </row>
    <row r="383" spans="5:15">
      <c r="E383" s="547"/>
      <c r="O383" s="629"/>
    </row>
    <row r="384" spans="5:15">
      <c r="E384" s="547"/>
      <c r="O384" s="629"/>
    </row>
    <row r="385" spans="5:15">
      <c r="E385" s="547"/>
      <c r="O385" s="629"/>
    </row>
    <row r="386" spans="5:15">
      <c r="E386" s="547"/>
      <c r="O386" s="629"/>
    </row>
    <row r="387" spans="5:15">
      <c r="E387" s="547"/>
      <c r="O387" s="629"/>
    </row>
    <row r="388" spans="5:15">
      <c r="E388" s="547"/>
      <c r="O388" s="629"/>
    </row>
    <row r="389" spans="5:15">
      <c r="E389" s="547"/>
      <c r="O389" s="629"/>
    </row>
    <row r="390" spans="5:15">
      <c r="E390" s="547"/>
      <c r="O390" s="629"/>
    </row>
    <row r="391" spans="5:15">
      <c r="E391" s="547"/>
      <c r="O391" s="629"/>
    </row>
    <row r="392" spans="5:15">
      <c r="E392" s="547"/>
      <c r="O392" s="629"/>
    </row>
    <row r="393" spans="5:15">
      <c r="E393" s="547"/>
      <c r="O393" s="629"/>
    </row>
    <row r="394" spans="5:15">
      <c r="E394" s="547"/>
      <c r="O394" s="629"/>
    </row>
    <row r="395" spans="5:15">
      <c r="E395" s="547"/>
      <c r="O395" s="629"/>
    </row>
    <row r="396" spans="5:15">
      <c r="E396" s="547"/>
      <c r="O396" s="629"/>
    </row>
    <row r="397" spans="5:15">
      <c r="E397" s="547"/>
      <c r="O397" s="629"/>
    </row>
    <row r="398" spans="5:15">
      <c r="E398" s="547"/>
      <c r="O398" s="629"/>
    </row>
    <row r="399" spans="5:15">
      <c r="E399" s="547"/>
      <c r="O399" s="629"/>
    </row>
    <row r="400" spans="5:15">
      <c r="E400" s="547"/>
      <c r="O400" s="629"/>
    </row>
    <row r="401" spans="5:15">
      <c r="E401" s="547"/>
      <c r="O401" s="629"/>
    </row>
    <row r="402" spans="5:15">
      <c r="E402" s="547"/>
      <c r="O402" s="629"/>
    </row>
    <row r="403" spans="5:15">
      <c r="E403" s="547"/>
      <c r="O403" s="629"/>
    </row>
    <row r="404" spans="5:15">
      <c r="E404" s="547"/>
      <c r="O404" s="629"/>
    </row>
    <row r="405" spans="5:15">
      <c r="E405" s="547"/>
      <c r="O405" s="629"/>
    </row>
    <row r="406" spans="5:15">
      <c r="E406" s="547"/>
      <c r="O406" s="629"/>
    </row>
    <row r="407" spans="5:15">
      <c r="E407" s="547"/>
      <c r="O407" s="629"/>
    </row>
    <row r="408" spans="5:15">
      <c r="E408" s="547"/>
      <c r="O408" s="629"/>
    </row>
    <row r="409" spans="5:15">
      <c r="E409" s="547"/>
      <c r="O409" s="629"/>
    </row>
    <row r="410" spans="5:15">
      <c r="E410" s="547"/>
      <c r="O410" s="629"/>
    </row>
    <row r="411" spans="5:15">
      <c r="E411" s="547"/>
      <c r="O411" s="629"/>
    </row>
    <row r="412" spans="5:15">
      <c r="E412" s="547"/>
      <c r="O412" s="629"/>
    </row>
    <row r="413" spans="5:15">
      <c r="E413" s="547"/>
      <c r="O413" s="629"/>
    </row>
    <row r="414" spans="5:15">
      <c r="E414" s="547"/>
      <c r="O414" s="629"/>
    </row>
    <row r="415" spans="5:15">
      <c r="E415" s="547"/>
      <c r="O415" s="629"/>
    </row>
    <row r="416" spans="5:15">
      <c r="E416" s="547"/>
      <c r="O416" s="629"/>
    </row>
    <row r="417" spans="1:15">
      <c r="E417" s="547"/>
      <c r="O417" s="629"/>
    </row>
    <row r="418" spans="1:15">
      <c r="E418" s="547"/>
      <c r="O418" s="629"/>
    </row>
    <row r="419" spans="1:15">
      <c r="E419" s="547"/>
      <c r="O419" s="629"/>
    </row>
    <row r="420" spans="1:15">
      <c r="E420" s="547"/>
      <c r="O420" s="629"/>
    </row>
    <row r="421" spans="1:15">
      <c r="E421" s="547"/>
      <c r="O421" s="629"/>
    </row>
    <row r="422" spans="1:15" ht="12" thickBot="1">
      <c r="A422" s="2353"/>
      <c r="E422" s="547"/>
      <c r="O422" s="629"/>
    </row>
    <row r="423" spans="1:15" ht="12" thickBot="1">
      <c r="A423" s="2354"/>
      <c r="E423" s="547"/>
      <c r="O423" s="629"/>
    </row>
    <row r="424" spans="1:15" ht="12" thickBot="1">
      <c r="A424" s="2354"/>
      <c r="E424" s="547"/>
      <c r="O424" s="629"/>
    </row>
    <row r="425" spans="1:15" ht="12" thickBot="1">
      <c r="A425" s="2354"/>
      <c r="E425" s="547"/>
      <c r="O425" s="629"/>
    </row>
    <row r="426" spans="1:15" ht="12" thickBot="1">
      <c r="A426" s="2354"/>
      <c r="E426" s="547"/>
      <c r="O426" s="629"/>
    </row>
    <row r="427" spans="1:15" ht="12" thickBot="1">
      <c r="A427" s="2354"/>
      <c r="E427" s="547"/>
      <c r="O427" s="629"/>
    </row>
    <row r="428" spans="1:15" ht="12" thickBot="1">
      <c r="A428" s="2354"/>
      <c r="E428" s="547"/>
      <c r="N428" s="2341"/>
      <c r="O428" s="2347"/>
    </row>
    <row r="429" spans="1:15" ht="12" thickBot="1">
      <c r="A429" s="2354"/>
      <c r="C429" s="2341"/>
      <c r="E429" s="547"/>
      <c r="N429" s="2342"/>
      <c r="O429" s="2348"/>
    </row>
    <row r="430" spans="1:15" ht="12" thickBot="1">
      <c r="A430" s="2354"/>
      <c r="C430" s="2342"/>
      <c r="D430" s="2341"/>
      <c r="E430" s="2341"/>
      <c r="F430" s="2341"/>
      <c r="G430" s="2341"/>
      <c r="H430" s="2341"/>
      <c r="I430" s="2341"/>
      <c r="J430" s="2341"/>
      <c r="K430" s="2341"/>
      <c r="L430" s="2341"/>
      <c r="N430" s="2342"/>
      <c r="O430" s="2348"/>
    </row>
    <row r="431" spans="1:15" ht="12" thickBot="1">
      <c r="A431" s="2354"/>
      <c r="C431" s="2343"/>
      <c r="D431" s="2343"/>
      <c r="E431" s="2343"/>
      <c r="F431" s="2343"/>
      <c r="G431" s="2343"/>
      <c r="H431" s="2343"/>
      <c r="I431" s="2343"/>
      <c r="J431" s="2343"/>
      <c r="K431" s="2343"/>
      <c r="L431" s="2343"/>
      <c r="N431" s="2343"/>
      <c r="O431" s="2348"/>
    </row>
    <row r="432" spans="1:15" ht="12" thickBot="1">
      <c r="A432" s="2354"/>
      <c r="E432" s="547"/>
      <c r="O432" s="2348"/>
    </row>
    <row r="433" spans="1:15" ht="12" thickBot="1">
      <c r="A433" s="2354"/>
      <c r="E433" s="547"/>
      <c r="O433" s="2348"/>
    </row>
    <row r="434" spans="1:15" ht="12" thickBot="1">
      <c r="A434" s="2354"/>
      <c r="E434" s="547"/>
      <c r="O434" s="2348"/>
    </row>
    <row r="435" spans="1:15" ht="12" thickBot="1">
      <c r="A435" s="2354"/>
      <c r="E435" s="547"/>
      <c r="O435" s="2348"/>
    </row>
    <row r="436" spans="1:15" ht="12" thickBot="1">
      <c r="A436" s="2354"/>
      <c r="E436" s="547"/>
      <c r="O436" s="2349"/>
    </row>
    <row r="437" spans="1:15" ht="12" thickBot="1">
      <c r="A437" s="2354"/>
      <c r="E437" s="547"/>
      <c r="O437" s="629"/>
    </row>
    <row r="438" spans="1:15" ht="12" thickBot="1">
      <c r="A438" s="2354"/>
      <c r="E438" s="547"/>
      <c r="O438" s="629"/>
    </row>
    <row r="439" spans="1:15">
      <c r="A439" s="2355"/>
      <c r="E439" s="547"/>
      <c r="O439" s="629"/>
    </row>
    <row r="440" spans="1:15">
      <c r="E440" s="547"/>
      <c r="O440" s="629"/>
    </row>
    <row r="441" spans="1:15">
      <c r="E441" s="547"/>
      <c r="O441" s="629"/>
    </row>
    <row r="442" spans="1:15">
      <c r="E442" s="547"/>
      <c r="O442" s="629"/>
    </row>
    <row r="443" spans="1:15">
      <c r="E443" s="547"/>
      <c r="O443" s="629"/>
    </row>
    <row r="444" spans="1:15">
      <c r="E444" s="547"/>
      <c r="O444" s="629"/>
    </row>
    <row r="445" spans="1:15">
      <c r="E445" s="547"/>
      <c r="O445" s="629"/>
    </row>
    <row r="446" spans="1:15">
      <c r="E446" s="547"/>
      <c r="O446" s="629"/>
    </row>
    <row r="447" spans="1:15">
      <c r="E447" s="547"/>
      <c r="O447" s="629"/>
    </row>
    <row r="448" spans="1:15">
      <c r="E448" s="547"/>
      <c r="O448" s="629"/>
    </row>
    <row r="449" spans="5:15">
      <c r="E449" s="547"/>
      <c r="O449" s="629"/>
    </row>
    <row r="450" spans="5:15">
      <c r="E450" s="547"/>
      <c r="O450" s="629"/>
    </row>
    <row r="451" spans="5:15">
      <c r="E451" s="547"/>
      <c r="O451" s="629"/>
    </row>
    <row r="452" spans="5:15">
      <c r="E452" s="547"/>
      <c r="O452" s="629"/>
    </row>
    <row r="453" spans="5:15">
      <c r="E453" s="547"/>
      <c r="O453" s="629"/>
    </row>
    <row r="454" spans="5:15">
      <c r="E454" s="547"/>
      <c r="O454" s="629"/>
    </row>
    <row r="455" spans="5:15">
      <c r="E455" s="547"/>
      <c r="O455" s="629"/>
    </row>
    <row r="456" spans="5:15">
      <c r="E456" s="547"/>
      <c r="O456" s="629"/>
    </row>
    <row r="457" spans="5:15">
      <c r="E457" s="547"/>
      <c r="O457" s="629"/>
    </row>
    <row r="458" spans="5:15">
      <c r="E458" s="547"/>
      <c r="O458" s="629"/>
    </row>
    <row r="459" spans="5:15">
      <c r="E459" s="547"/>
      <c r="O459" s="629"/>
    </row>
    <row r="460" spans="5:15">
      <c r="E460" s="547"/>
      <c r="O460" s="629"/>
    </row>
    <row r="461" spans="5:15">
      <c r="E461" s="547"/>
      <c r="O461" s="629"/>
    </row>
    <row r="462" spans="5:15">
      <c r="E462" s="547"/>
      <c r="O462" s="629"/>
    </row>
    <row r="463" spans="5:15">
      <c r="E463" s="547"/>
      <c r="O463" s="629"/>
    </row>
    <row r="464" spans="5:15">
      <c r="E464" s="547"/>
      <c r="O464" s="629"/>
    </row>
    <row r="465" spans="5:15">
      <c r="E465" s="547"/>
      <c r="O465" s="629"/>
    </row>
    <row r="466" spans="5:15">
      <c r="E466" s="547"/>
      <c r="O466" s="629"/>
    </row>
    <row r="467" spans="5:15">
      <c r="E467" s="547"/>
      <c r="O467" s="629"/>
    </row>
    <row r="468" spans="5:15">
      <c r="E468" s="547"/>
      <c r="O468" s="629"/>
    </row>
    <row r="469" spans="5:15">
      <c r="E469" s="547"/>
      <c r="O469" s="629"/>
    </row>
    <row r="470" spans="5:15">
      <c r="E470" s="547"/>
      <c r="O470" s="629"/>
    </row>
    <row r="471" spans="5:15">
      <c r="E471" s="547"/>
      <c r="O471" s="629"/>
    </row>
    <row r="472" spans="5:15">
      <c r="E472" s="547"/>
      <c r="O472" s="629"/>
    </row>
    <row r="473" spans="5:15">
      <c r="E473" s="547"/>
      <c r="O473" s="629"/>
    </row>
    <row r="474" spans="5:15">
      <c r="E474" s="547"/>
      <c r="O474" s="629"/>
    </row>
    <row r="475" spans="5:15">
      <c r="E475" s="547"/>
      <c r="O475" s="629"/>
    </row>
    <row r="476" spans="5:15">
      <c r="E476" s="547"/>
      <c r="O476" s="629"/>
    </row>
    <row r="477" spans="5:15">
      <c r="E477" s="547"/>
      <c r="O477" s="629"/>
    </row>
    <row r="478" spans="5:15">
      <c r="E478" s="547"/>
      <c r="O478" s="629"/>
    </row>
    <row r="479" spans="5:15">
      <c r="E479" s="547"/>
      <c r="O479" s="629"/>
    </row>
    <row r="480" spans="5:15">
      <c r="E480" s="547"/>
      <c r="O480" s="629"/>
    </row>
    <row r="481" spans="5:15">
      <c r="E481" s="547"/>
      <c r="O481" s="629"/>
    </row>
    <row r="482" spans="5:15">
      <c r="E482" s="547"/>
      <c r="O482" s="629"/>
    </row>
    <row r="483" spans="5:15">
      <c r="E483" s="547"/>
      <c r="O483" s="629"/>
    </row>
    <row r="484" spans="5:15">
      <c r="E484" s="547"/>
      <c r="O484" s="629"/>
    </row>
    <row r="485" spans="5:15">
      <c r="E485" s="547"/>
      <c r="O485" s="629"/>
    </row>
    <row r="486" spans="5:15">
      <c r="E486" s="547"/>
      <c r="O486" s="629"/>
    </row>
    <row r="487" spans="5:15">
      <c r="E487" s="547"/>
      <c r="O487" s="629"/>
    </row>
    <row r="488" spans="5:15">
      <c r="E488" s="547"/>
      <c r="O488" s="629"/>
    </row>
    <row r="489" spans="5:15">
      <c r="E489" s="547"/>
      <c r="O489" s="629"/>
    </row>
    <row r="490" spans="5:15">
      <c r="E490" s="547"/>
      <c r="O490" s="629"/>
    </row>
    <row r="491" spans="5:15">
      <c r="E491" s="547"/>
      <c r="O491" s="629"/>
    </row>
    <row r="492" spans="5:15">
      <c r="E492" s="547"/>
      <c r="O492" s="629"/>
    </row>
    <row r="493" spans="5:15">
      <c r="E493" s="547"/>
      <c r="O493" s="629"/>
    </row>
    <row r="494" spans="5:15">
      <c r="E494" s="547"/>
      <c r="O494" s="629"/>
    </row>
    <row r="495" spans="5:15">
      <c r="E495" s="547"/>
      <c r="O495" s="629"/>
    </row>
    <row r="496" spans="5:15">
      <c r="E496" s="547"/>
      <c r="O496" s="629"/>
    </row>
    <row r="497" spans="5:15">
      <c r="E497" s="547"/>
      <c r="O497" s="629"/>
    </row>
    <row r="498" spans="5:15">
      <c r="E498" s="547"/>
      <c r="O498" s="629"/>
    </row>
    <row r="499" spans="5:15">
      <c r="E499" s="547"/>
      <c r="O499" s="629"/>
    </row>
    <row r="500" spans="5:15">
      <c r="E500" s="547"/>
      <c r="O500" s="629"/>
    </row>
    <row r="501" spans="5:15">
      <c r="E501" s="547"/>
      <c r="O501" s="629"/>
    </row>
    <row r="502" spans="5:15">
      <c r="E502" s="547"/>
      <c r="O502" s="629"/>
    </row>
    <row r="503" spans="5:15">
      <c r="E503" s="547"/>
      <c r="O503" s="629"/>
    </row>
    <row r="504" spans="5:15">
      <c r="E504" s="547"/>
      <c r="O504" s="629"/>
    </row>
    <row r="505" spans="5:15">
      <c r="E505" s="547"/>
      <c r="O505" s="629"/>
    </row>
    <row r="506" spans="5:15">
      <c r="E506" s="547"/>
      <c r="O506" s="629"/>
    </row>
    <row r="507" spans="5:15">
      <c r="E507" s="547"/>
      <c r="O507" s="629"/>
    </row>
    <row r="508" spans="5:15">
      <c r="E508" s="547"/>
      <c r="O508" s="629"/>
    </row>
    <row r="509" spans="5:15">
      <c r="E509" s="547"/>
      <c r="O509" s="629"/>
    </row>
    <row r="510" spans="5:15">
      <c r="E510" s="547"/>
      <c r="O510" s="629"/>
    </row>
    <row r="511" spans="5:15">
      <c r="E511" s="547"/>
      <c r="O511" s="629"/>
    </row>
    <row r="512" spans="5:15">
      <c r="E512" s="547"/>
      <c r="O512" s="629"/>
    </row>
    <row r="513" spans="5:15">
      <c r="E513" s="547"/>
      <c r="O513" s="629"/>
    </row>
    <row r="514" spans="5:15">
      <c r="E514" s="547"/>
      <c r="O514" s="629"/>
    </row>
    <row r="515" spans="5:15">
      <c r="E515" s="547"/>
      <c r="O515" s="629"/>
    </row>
    <row r="516" spans="5:15">
      <c r="E516" s="547"/>
      <c r="O516" s="629"/>
    </row>
    <row r="517" spans="5:15">
      <c r="E517" s="547"/>
      <c r="O517" s="629"/>
    </row>
    <row r="518" spans="5:15">
      <c r="E518" s="547"/>
      <c r="O518" s="629"/>
    </row>
    <row r="519" spans="5:15">
      <c r="E519" s="547"/>
      <c r="O519" s="629"/>
    </row>
    <row r="520" spans="5:15">
      <c r="E520" s="547"/>
      <c r="O520" s="629"/>
    </row>
    <row r="521" spans="5:15">
      <c r="E521" s="547"/>
      <c r="O521" s="629"/>
    </row>
    <row r="522" spans="5:15">
      <c r="E522" s="547"/>
      <c r="O522" s="629"/>
    </row>
    <row r="523" spans="5:15">
      <c r="E523" s="547"/>
      <c r="O523" s="629"/>
    </row>
    <row r="524" spans="5:15">
      <c r="E524" s="547"/>
      <c r="O524" s="629"/>
    </row>
    <row r="525" spans="5:15">
      <c r="E525" s="547"/>
      <c r="O525" s="629"/>
    </row>
    <row r="526" spans="5:15">
      <c r="E526" s="547"/>
      <c r="O526" s="629"/>
    </row>
    <row r="527" spans="5:15">
      <c r="E527" s="547"/>
      <c r="O527" s="629"/>
    </row>
    <row r="528" spans="5:15">
      <c r="E528" s="547"/>
      <c r="O528" s="629"/>
    </row>
    <row r="529" spans="5:15">
      <c r="E529" s="547"/>
      <c r="O529" s="629"/>
    </row>
    <row r="530" spans="5:15">
      <c r="E530" s="547"/>
      <c r="O530" s="629"/>
    </row>
    <row r="531" spans="5:15">
      <c r="E531" s="547"/>
      <c r="O531" s="629"/>
    </row>
    <row r="532" spans="5:15">
      <c r="E532" s="547"/>
      <c r="O532" s="629"/>
    </row>
    <row r="533" spans="5:15">
      <c r="E533" s="547"/>
      <c r="O533" s="629"/>
    </row>
    <row r="534" spans="5:15">
      <c r="E534" s="547"/>
      <c r="O534" s="629"/>
    </row>
    <row r="535" spans="5:15">
      <c r="E535" s="547"/>
      <c r="O535" s="629"/>
    </row>
    <row r="536" spans="5:15">
      <c r="E536" s="547"/>
      <c r="O536" s="629"/>
    </row>
    <row r="537" spans="5:15" ht="12" thickBot="1">
      <c r="E537" s="547"/>
      <c r="O537" s="2347"/>
    </row>
    <row r="538" spans="5:15" ht="12" thickBot="1">
      <c r="E538" s="547"/>
      <c r="O538" s="2348"/>
    </row>
    <row r="539" spans="5:15" ht="12" thickBot="1">
      <c r="E539" s="547"/>
      <c r="O539" s="2348"/>
    </row>
    <row r="540" spans="5:15" ht="12" thickBot="1">
      <c r="E540" s="547"/>
      <c r="O540" s="2348"/>
    </row>
    <row r="541" spans="5:15" ht="12" thickBot="1">
      <c r="E541" s="547"/>
      <c r="N541" s="2341"/>
      <c r="O541" s="2348"/>
    </row>
    <row r="542" spans="5:15" ht="12" thickBot="1">
      <c r="E542" s="547"/>
      <c r="N542" s="2342"/>
      <c r="O542" s="2348"/>
    </row>
    <row r="543" spans="5:15" ht="12" thickBot="1">
      <c r="E543" s="547"/>
      <c r="N543" s="2342"/>
      <c r="O543" s="2348"/>
    </row>
    <row r="544" spans="5:15" ht="12" thickBot="1">
      <c r="E544" s="547"/>
      <c r="N544" s="2342"/>
      <c r="O544" s="2348"/>
    </row>
    <row r="545" spans="1:15" ht="12" thickBot="1">
      <c r="E545" s="547"/>
      <c r="N545" s="2342"/>
      <c r="O545" s="2348"/>
    </row>
    <row r="546" spans="1:15" ht="12" thickBot="1">
      <c r="A546" s="2353"/>
      <c r="B546" s="2341"/>
      <c r="C546" s="2341"/>
      <c r="D546" s="2341"/>
      <c r="E546" s="2341"/>
      <c r="F546" s="2341"/>
      <c r="G546" s="2341"/>
      <c r="H546" s="2341"/>
      <c r="I546" s="2341"/>
      <c r="J546" s="2341"/>
      <c r="K546" s="2341"/>
      <c r="L546" s="2341"/>
      <c r="N546" s="2342"/>
      <c r="O546" s="2348"/>
    </row>
    <row r="547" spans="1:15" ht="12" thickBot="1">
      <c r="A547" s="2354"/>
      <c r="B547" s="2343"/>
      <c r="C547" s="2343"/>
      <c r="D547" s="2343"/>
      <c r="E547" s="2343"/>
      <c r="F547" s="2343"/>
      <c r="G547" s="2343"/>
      <c r="H547" s="2343"/>
      <c r="I547" s="2343"/>
      <c r="J547" s="2343"/>
      <c r="K547" s="2343"/>
      <c r="L547" s="2343"/>
      <c r="N547" s="2343"/>
      <c r="O547" s="2348"/>
    </row>
    <row r="548" spans="1:15" ht="12" thickBot="1">
      <c r="A548" s="2354"/>
      <c r="E548" s="547"/>
      <c r="O548" s="2348"/>
    </row>
    <row r="549" spans="1:15" ht="12" thickBot="1">
      <c r="A549" s="2354"/>
      <c r="E549" s="547"/>
      <c r="O549" s="2348"/>
    </row>
    <row r="550" spans="1:15" ht="12" thickBot="1">
      <c r="A550" s="2354"/>
      <c r="E550" s="547"/>
      <c r="O550" s="2348"/>
    </row>
    <row r="551" spans="1:15" ht="12" thickBot="1">
      <c r="A551" s="2354"/>
      <c r="E551" s="547"/>
      <c r="O551" s="2348"/>
    </row>
    <row r="552" spans="1:15" ht="12" thickBot="1">
      <c r="A552" s="2354"/>
      <c r="E552" s="547"/>
      <c r="O552" s="2348"/>
    </row>
    <row r="553" spans="1:15" ht="12" thickBot="1">
      <c r="A553" s="2354"/>
      <c r="E553" s="547"/>
      <c r="O553" s="2348"/>
    </row>
    <row r="554" spans="1:15">
      <c r="A554" s="2355"/>
      <c r="E554" s="547"/>
      <c r="O554" s="2349"/>
    </row>
    <row r="555" spans="1:15">
      <c r="E555" s="547"/>
      <c r="O555" s="629"/>
    </row>
    <row r="556" spans="1:15">
      <c r="E556" s="547"/>
      <c r="O556" s="629"/>
    </row>
    <row r="557" spans="1:15">
      <c r="E557" s="547"/>
      <c r="O557" s="629"/>
    </row>
    <row r="558" spans="1:15">
      <c r="E558" s="547"/>
      <c r="O558" s="629"/>
    </row>
    <row r="559" spans="1:15">
      <c r="E559" s="547"/>
      <c r="O559" s="629"/>
    </row>
    <row r="560" spans="1:15">
      <c r="E560" s="547"/>
      <c r="O560" s="629"/>
    </row>
    <row r="561" spans="5:15">
      <c r="E561" s="547"/>
      <c r="O561" s="629"/>
    </row>
    <row r="562" spans="5:15">
      <c r="E562" s="547"/>
      <c r="O562" s="629"/>
    </row>
    <row r="563" spans="5:15">
      <c r="E563" s="547"/>
      <c r="O563" s="629"/>
    </row>
    <row r="564" spans="5:15">
      <c r="E564" s="547"/>
      <c r="O564" s="629"/>
    </row>
    <row r="565" spans="5:15">
      <c r="E565" s="547"/>
      <c r="O565" s="629"/>
    </row>
    <row r="566" spans="5:15">
      <c r="E566" s="547"/>
      <c r="O566" s="629"/>
    </row>
    <row r="567" spans="5:15">
      <c r="E567" s="547"/>
      <c r="O567" s="629"/>
    </row>
    <row r="568" spans="5:15">
      <c r="E568" s="547"/>
      <c r="O568" s="629"/>
    </row>
    <row r="569" spans="5:15">
      <c r="E569" s="547"/>
      <c r="O569" s="629"/>
    </row>
    <row r="570" spans="5:15">
      <c r="E570" s="547"/>
      <c r="O570" s="629"/>
    </row>
    <row r="571" spans="5:15">
      <c r="E571" s="547"/>
      <c r="O571" s="629"/>
    </row>
    <row r="572" spans="5:15">
      <c r="E572" s="547"/>
      <c r="O572" s="629"/>
    </row>
    <row r="573" spans="5:15">
      <c r="E573" s="547"/>
      <c r="O573" s="629"/>
    </row>
    <row r="574" spans="5:15">
      <c r="E574" s="547"/>
      <c r="O574" s="629"/>
    </row>
    <row r="575" spans="5:15">
      <c r="E575" s="547"/>
      <c r="O575" s="629"/>
    </row>
    <row r="576" spans="5:15">
      <c r="E576" s="547"/>
      <c r="O576" s="629"/>
    </row>
    <row r="577" spans="5:15">
      <c r="E577" s="547"/>
      <c r="O577" s="629"/>
    </row>
    <row r="578" spans="5:15">
      <c r="E578" s="547"/>
      <c r="O578" s="629"/>
    </row>
    <row r="579" spans="5:15">
      <c r="E579" s="547"/>
      <c r="O579" s="629"/>
    </row>
    <row r="580" spans="5:15">
      <c r="E580" s="547"/>
      <c r="O580" s="629"/>
    </row>
    <row r="581" spans="5:15">
      <c r="E581" s="547"/>
      <c r="O581" s="629"/>
    </row>
    <row r="582" spans="5:15">
      <c r="E582" s="547"/>
      <c r="O582" s="629"/>
    </row>
    <row r="583" spans="5:15">
      <c r="E583" s="547"/>
      <c r="O583" s="629"/>
    </row>
    <row r="584" spans="5:15">
      <c r="E584" s="547"/>
      <c r="O584" s="629"/>
    </row>
    <row r="585" spans="5:15">
      <c r="E585" s="547"/>
      <c r="O585" s="629"/>
    </row>
    <row r="586" spans="5:15">
      <c r="E586" s="547"/>
      <c r="O586" s="629"/>
    </row>
    <row r="587" spans="5:15">
      <c r="E587" s="547"/>
      <c r="O587" s="629"/>
    </row>
    <row r="588" spans="5:15">
      <c r="E588" s="547"/>
      <c r="O588" s="629"/>
    </row>
    <row r="589" spans="5:15">
      <c r="E589" s="547"/>
      <c r="O589" s="629"/>
    </row>
    <row r="590" spans="5:15">
      <c r="E590" s="547"/>
      <c r="O590" s="629"/>
    </row>
    <row r="591" spans="5:15">
      <c r="E591" s="547"/>
      <c r="O591" s="629"/>
    </row>
    <row r="592" spans="5:15">
      <c r="E592" s="547"/>
      <c r="O592" s="629"/>
    </row>
    <row r="593" spans="5:15">
      <c r="E593" s="547"/>
      <c r="O593" s="629"/>
    </row>
    <row r="594" spans="5:15">
      <c r="E594" s="547"/>
      <c r="O594" s="629"/>
    </row>
    <row r="595" spans="5:15">
      <c r="E595" s="547"/>
      <c r="O595" s="629"/>
    </row>
    <row r="596" spans="5:15">
      <c r="E596" s="547"/>
      <c r="O596" s="629"/>
    </row>
    <row r="597" spans="5:15">
      <c r="E597" s="547"/>
      <c r="O597" s="629"/>
    </row>
    <row r="598" spans="5:15">
      <c r="E598" s="547"/>
      <c r="O598" s="629"/>
    </row>
    <row r="599" spans="5:15">
      <c r="E599" s="547"/>
      <c r="O599" s="629"/>
    </row>
    <row r="600" spans="5:15">
      <c r="E600" s="547"/>
      <c r="O600" s="629"/>
    </row>
    <row r="601" spans="5:15">
      <c r="E601" s="547"/>
      <c r="O601" s="629"/>
    </row>
    <row r="602" spans="5:15">
      <c r="E602" s="547"/>
      <c r="O602" s="629"/>
    </row>
    <row r="603" spans="5:15">
      <c r="E603" s="547"/>
      <c r="O603" s="629"/>
    </row>
    <row r="604" spans="5:15">
      <c r="E604" s="547"/>
      <c r="O604" s="629"/>
    </row>
    <row r="605" spans="5:15">
      <c r="E605" s="547"/>
      <c r="O605" s="629"/>
    </row>
    <row r="606" spans="5:15">
      <c r="E606" s="547"/>
      <c r="O606" s="629"/>
    </row>
    <row r="607" spans="5:15">
      <c r="E607" s="547"/>
      <c r="O607" s="629"/>
    </row>
    <row r="608" spans="5:15">
      <c r="E608" s="547"/>
      <c r="O608" s="629"/>
    </row>
    <row r="609" spans="5:15">
      <c r="E609" s="547"/>
      <c r="O609" s="629"/>
    </row>
    <row r="610" spans="5:15">
      <c r="E610" s="547"/>
      <c r="O610" s="629"/>
    </row>
    <row r="611" spans="5:15">
      <c r="E611" s="547"/>
      <c r="O611" s="629"/>
    </row>
    <row r="612" spans="5:15">
      <c r="E612" s="547"/>
      <c r="O612" s="629"/>
    </row>
    <row r="613" spans="5:15">
      <c r="E613" s="547"/>
      <c r="O613" s="629"/>
    </row>
    <row r="614" spans="5:15">
      <c r="E614" s="547"/>
      <c r="O614" s="629"/>
    </row>
    <row r="615" spans="5:15">
      <c r="E615" s="547"/>
      <c r="O615" s="629"/>
    </row>
    <row r="616" spans="5:15">
      <c r="E616" s="547"/>
      <c r="O616" s="629"/>
    </row>
    <row r="617" spans="5:15">
      <c r="E617" s="547"/>
      <c r="O617" s="629"/>
    </row>
    <row r="618" spans="5:15">
      <c r="E618" s="547"/>
      <c r="O618" s="629"/>
    </row>
    <row r="619" spans="5:15">
      <c r="E619" s="547"/>
      <c r="O619" s="629"/>
    </row>
    <row r="620" spans="5:15">
      <c r="E620" s="547"/>
      <c r="O620" s="629"/>
    </row>
    <row r="621" spans="5:15">
      <c r="E621" s="547"/>
      <c r="O621" s="629"/>
    </row>
    <row r="622" spans="5:15">
      <c r="E622" s="547"/>
      <c r="O622" s="629"/>
    </row>
    <row r="623" spans="5:15">
      <c r="E623" s="547"/>
      <c r="O623" s="629"/>
    </row>
    <row r="624" spans="5:15">
      <c r="E624" s="547"/>
      <c r="O624" s="629"/>
    </row>
    <row r="625" spans="5:15">
      <c r="E625" s="547"/>
      <c r="O625" s="629"/>
    </row>
    <row r="626" spans="5:15">
      <c r="E626" s="547"/>
      <c r="O626" s="629"/>
    </row>
    <row r="627" spans="5:15">
      <c r="E627" s="547"/>
      <c r="O627" s="629"/>
    </row>
    <row r="628" spans="5:15">
      <c r="E628" s="547"/>
      <c r="O628" s="629"/>
    </row>
    <row r="629" spans="5:15">
      <c r="E629" s="547"/>
      <c r="O629" s="629"/>
    </row>
    <row r="630" spans="5:15">
      <c r="E630" s="547"/>
      <c r="O630" s="629"/>
    </row>
    <row r="631" spans="5:15">
      <c r="E631" s="547"/>
      <c r="O631" s="629"/>
    </row>
    <row r="632" spans="5:15">
      <c r="E632" s="547"/>
      <c r="O632" s="629"/>
    </row>
    <row r="633" spans="5:15">
      <c r="E633" s="547"/>
      <c r="O633" s="629"/>
    </row>
    <row r="634" spans="5:15">
      <c r="E634" s="547"/>
      <c r="O634" s="629"/>
    </row>
    <row r="635" spans="5:15">
      <c r="E635" s="547"/>
      <c r="O635" s="629"/>
    </row>
    <row r="636" spans="5:15">
      <c r="E636" s="547"/>
      <c r="O636" s="629"/>
    </row>
    <row r="637" spans="5:15">
      <c r="E637" s="547"/>
      <c r="O637" s="629"/>
    </row>
    <row r="638" spans="5:15">
      <c r="E638" s="547"/>
      <c r="O638" s="629"/>
    </row>
    <row r="639" spans="5:15">
      <c r="E639" s="547"/>
      <c r="O639" s="629"/>
    </row>
    <row r="640" spans="5:15">
      <c r="E640" s="547"/>
      <c r="O640" s="629"/>
    </row>
    <row r="641" spans="5:15">
      <c r="E641" s="547"/>
      <c r="O641" s="629"/>
    </row>
    <row r="642" spans="5:15">
      <c r="E642" s="547"/>
      <c r="O642" s="629"/>
    </row>
    <row r="643" spans="5:15">
      <c r="E643" s="547"/>
      <c r="O643" s="629"/>
    </row>
    <row r="644" spans="5:15">
      <c r="E644" s="547"/>
      <c r="O644" s="629"/>
    </row>
    <row r="645" spans="5:15">
      <c r="E645" s="547"/>
      <c r="O645" s="629"/>
    </row>
    <row r="646" spans="5:15">
      <c r="E646" s="547"/>
      <c r="O646" s="629"/>
    </row>
    <row r="647" spans="5:15">
      <c r="E647" s="547"/>
      <c r="O647" s="629"/>
    </row>
    <row r="648" spans="5:15">
      <c r="E648" s="547"/>
      <c r="O648" s="629"/>
    </row>
    <row r="649" spans="5:15">
      <c r="E649" s="547"/>
      <c r="O649" s="629"/>
    </row>
    <row r="650" spans="5:15">
      <c r="E650" s="547"/>
      <c r="O650" s="629"/>
    </row>
    <row r="651" spans="5:15">
      <c r="E651" s="547"/>
      <c r="O651" s="629"/>
    </row>
    <row r="652" spans="5:15">
      <c r="E652" s="547"/>
      <c r="O652" s="629"/>
    </row>
    <row r="653" spans="5:15">
      <c r="E653" s="547"/>
      <c r="O653" s="629"/>
    </row>
    <row r="654" spans="5:15">
      <c r="E654" s="547"/>
      <c r="O654" s="629"/>
    </row>
    <row r="655" spans="5:15">
      <c r="E655" s="547"/>
      <c r="O655" s="629"/>
    </row>
    <row r="656" spans="5:15">
      <c r="E656" s="547"/>
      <c r="O656" s="629"/>
    </row>
    <row r="657" spans="5:15">
      <c r="E657" s="547"/>
      <c r="O657" s="629"/>
    </row>
    <row r="658" spans="5:15">
      <c r="E658" s="547"/>
      <c r="O658" s="629"/>
    </row>
    <row r="659" spans="5:15">
      <c r="E659" s="547"/>
      <c r="O659" s="629"/>
    </row>
    <row r="660" spans="5:15">
      <c r="E660" s="547"/>
      <c r="O660" s="629"/>
    </row>
    <row r="661" spans="5:15">
      <c r="E661" s="547"/>
      <c r="O661" s="629"/>
    </row>
    <row r="662" spans="5:15">
      <c r="E662" s="547"/>
      <c r="O662" s="629"/>
    </row>
    <row r="663" spans="5:15">
      <c r="E663" s="547"/>
      <c r="O663" s="629"/>
    </row>
    <row r="664" spans="5:15">
      <c r="E664" s="547"/>
      <c r="O664" s="629"/>
    </row>
    <row r="665" spans="5:15">
      <c r="E665" s="547"/>
      <c r="O665" s="629"/>
    </row>
    <row r="666" spans="5:15">
      <c r="E666" s="547"/>
      <c r="O666" s="629"/>
    </row>
    <row r="667" spans="5:15">
      <c r="E667" s="547"/>
      <c r="O667" s="629"/>
    </row>
    <row r="668" spans="5:15">
      <c r="E668" s="547"/>
      <c r="O668" s="629"/>
    </row>
    <row r="669" spans="5:15">
      <c r="E669" s="547"/>
      <c r="O669" s="629"/>
    </row>
    <row r="670" spans="5:15">
      <c r="E670" s="547"/>
      <c r="O670" s="629"/>
    </row>
    <row r="671" spans="5:15">
      <c r="E671" s="547"/>
      <c r="O671" s="629"/>
    </row>
    <row r="672" spans="5:15">
      <c r="E672" s="547"/>
      <c r="O672" s="629"/>
    </row>
    <row r="673" spans="5:15">
      <c r="E673" s="547"/>
      <c r="O673" s="629"/>
    </row>
    <row r="674" spans="5:15">
      <c r="E674" s="547"/>
      <c r="O674" s="629"/>
    </row>
    <row r="675" spans="5:15">
      <c r="E675" s="547"/>
      <c r="O675" s="629"/>
    </row>
    <row r="676" spans="5:15">
      <c r="E676" s="547"/>
      <c r="O676" s="629"/>
    </row>
    <row r="677" spans="5:15">
      <c r="E677" s="547"/>
      <c r="O677" s="629"/>
    </row>
    <row r="678" spans="5:15">
      <c r="E678" s="547"/>
      <c r="O678" s="629"/>
    </row>
    <row r="679" spans="5:15">
      <c r="E679" s="547"/>
      <c r="O679" s="629"/>
    </row>
  </sheetData>
  <mergeCells count="184">
    <mergeCell ref="O37:O43"/>
    <mergeCell ref="O44:O48"/>
    <mergeCell ref="C47:C48"/>
    <mergeCell ref="N44:N48"/>
    <mergeCell ref="O123:O125"/>
    <mergeCell ref="O117:O122"/>
    <mergeCell ref="O126:O132"/>
    <mergeCell ref="O133:O137"/>
    <mergeCell ref="N157:N159"/>
    <mergeCell ref="C158:C159"/>
    <mergeCell ref="O138:O150"/>
    <mergeCell ref="O151:O159"/>
    <mergeCell ref="M123:M125"/>
    <mergeCell ref="M133:M137"/>
    <mergeCell ref="M148:M150"/>
    <mergeCell ref="M157:M159"/>
    <mergeCell ref="O61:O67"/>
    <mergeCell ref="N68:N72"/>
    <mergeCell ref="N133:N137"/>
    <mergeCell ref="O49:O55"/>
    <mergeCell ref="N56:N60"/>
    <mergeCell ref="O56:O60"/>
    <mergeCell ref="C134:C135"/>
    <mergeCell ref="C136:C137"/>
    <mergeCell ref="A138:A150"/>
    <mergeCell ref="N148:N150"/>
    <mergeCell ref="C149:C150"/>
    <mergeCell ref="N105:N107"/>
    <mergeCell ref="O68:O72"/>
    <mergeCell ref="C69:C70"/>
    <mergeCell ref="C71:C72"/>
    <mergeCell ref="N170:N172"/>
    <mergeCell ref="C171:C172"/>
    <mergeCell ref="M170:M172"/>
    <mergeCell ref="A151:A159"/>
    <mergeCell ref="C153:C156"/>
    <mergeCell ref="A126:A137"/>
    <mergeCell ref="C128:C132"/>
    <mergeCell ref="A160:A172"/>
    <mergeCell ref="O160:O172"/>
    <mergeCell ref="C162:C167"/>
    <mergeCell ref="C140:C147"/>
    <mergeCell ref="N92:N94"/>
    <mergeCell ref="O83:O89"/>
    <mergeCell ref="O73:O78"/>
    <mergeCell ref="N79:N81"/>
    <mergeCell ref="O79:O81"/>
    <mergeCell ref="M32:M36"/>
    <mergeCell ref="M44:M48"/>
    <mergeCell ref="C45:C46"/>
    <mergeCell ref="C33:C34"/>
    <mergeCell ref="C57:C58"/>
    <mergeCell ref="A95:A107"/>
    <mergeCell ref="C97:C102"/>
    <mergeCell ref="C106:C107"/>
    <mergeCell ref="M105:M107"/>
    <mergeCell ref="A61:A72"/>
    <mergeCell ref="C63:C67"/>
    <mergeCell ref="M68:M72"/>
    <mergeCell ref="C39:C43"/>
    <mergeCell ref="C93:C94"/>
    <mergeCell ref="A49:A60"/>
    <mergeCell ref="C51:C55"/>
    <mergeCell ref="C59:C60"/>
    <mergeCell ref="M56:M60"/>
    <mergeCell ref="M79:M81"/>
    <mergeCell ref="M92:M94"/>
    <mergeCell ref="A73:A81"/>
    <mergeCell ref="C75:C78"/>
    <mergeCell ref="C80:C81"/>
    <mergeCell ref="C84:C89"/>
    <mergeCell ref="A3:O3"/>
    <mergeCell ref="B4:B5"/>
    <mergeCell ref="C4:C5"/>
    <mergeCell ref="D4:D5"/>
    <mergeCell ref="O4:O5"/>
    <mergeCell ref="N4:N5"/>
    <mergeCell ref="F4:F5"/>
    <mergeCell ref="G4:L4"/>
    <mergeCell ref="M4:M5"/>
    <mergeCell ref="M18:M24"/>
    <mergeCell ref="A117:A125"/>
    <mergeCell ref="C119:C122"/>
    <mergeCell ref="N123:N125"/>
    <mergeCell ref="C124:C125"/>
    <mergeCell ref="O25:O31"/>
    <mergeCell ref="O32:O36"/>
    <mergeCell ref="A82:A94"/>
    <mergeCell ref="N18:N24"/>
    <mergeCell ref="A25:A36"/>
    <mergeCell ref="C35:C36"/>
    <mergeCell ref="C27:C31"/>
    <mergeCell ref="N32:N36"/>
    <mergeCell ref="A37:A48"/>
    <mergeCell ref="O92:O94"/>
    <mergeCell ref="A108:A116"/>
    <mergeCell ref="C110:C113"/>
    <mergeCell ref="M114:M116"/>
    <mergeCell ref="N114:N116"/>
    <mergeCell ref="C115:C116"/>
    <mergeCell ref="O105:O107"/>
    <mergeCell ref="O95:O102"/>
    <mergeCell ref="O114:O116"/>
    <mergeCell ref="O108:O113"/>
    <mergeCell ref="A296:O297"/>
    <mergeCell ref="A288:A294"/>
    <mergeCell ref="O288:O294"/>
    <mergeCell ref="C290:C291"/>
    <mergeCell ref="C293:C294"/>
    <mergeCell ref="N292:N294"/>
    <mergeCell ref="A280:A283"/>
    <mergeCell ref="A213:A225"/>
    <mergeCell ref="O213:O222"/>
    <mergeCell ref="C215:C222"/>
    <mergeCell ref="N223:N225"/>
    <mergeCell ref="O223:O225"/>
    <mergeCell ref="C224:C225"/>
    <mergeCell ref="A284:A287"/>
    <mergeCell ref="O284:O287"/>
    <mergeCell ref="C286:C287"/>
    <mergeCell ref="O280:O283"/>
    <mergeCell ref="C282:C283"/>
    <mergeCell ref="C273:C276"/>
    <mergeCell ref="O269:O279"/>
    <mergeCell ref="N277:N279"/>
    <mergeCell ref="M223:M225"/>
    <mergeCell ref="M277:M279"/>
    <mergeCell ref="M292:M294"/>
    <mergeCell ref="A173:A181"/>
    <mergeCell ref="C175:C178"/>
    <mergeCell ref="N179:N181"/>
    <mergeCell ref="C180:C181"/>
    <mergeCell ref="A182:A190"/>
    <mergeCell ref="C184:C187"/>
    <mergeCell ref="N188:N190"/>
    <mergeCell ref="C189:C190"/>
    <mergeCell ref="O173:O178"/>
    <mergeCell ref="O179:O181"/>
    <mergeCell ref="O182:O187"/>
    <mergeCell ref="O188:O190"/>
    <mergeCell ref="M179:M181"/>
    <mergeCell ref="M188:M190"/>
    <mergeCell ref="A226:A234"/>
    <mergeCell ref="O226:O231"/>
    <mergeCell ref="C228:C231"/>
    <mergeCell ref="M232:M234"/>
    <mergeCell ref="N232:N234"/>
    <mergeCell ref="O232:O234"/>
    <mergeCell ref="C233:C234"/>
    <mergeCell ref="A235:A246"/>
    <mergeCell ref="O235:O241"/>
    <mergeCell ref="C237:C241"/>
    <mergeCell ref="M242:M246"/>
    <mergeCell ref="N242:N246"/>
    <mergeCell ref="O242:O246"/>
    <mergeCell ref="C243:C246"/>
    <mergeCell ref="O201:O203"/>
    <mergeCell ref="C202:C203"/>
    <mergeCell ref="A204:A212"/>
    <mergeCell ref="O204:O209"/>
    <mergeCell ref="C206:C209"/>
    <mergeCell ref="N210:N212"/>
    <mergeCell ref="O210:O212"/>
    <mergeCell ref="C211:C212"/>
    <mergeCell ref="A191:A203"/>
    <mergeCell ref="O191:O200"/>
    <mergeCell ref="C193:C200"/>
    <mergeCell ref="N201:N203"/>
    <mergeCell ref="M201:M203"/>
    <mergeCell ref="M210:M212"/>
    <mergeCell ref="A256:A267"/>
    <mergeCell ref="A247:A255"/>
    <mergeCell ref="O247:O252"/>
    <mergeCell ref="C249:C252"/>
    <mergeCell ref="M253:M255"/>
    <mergeCell ref="N253:N255"/>
    <mergeCell ref="O253:O255"/>
    <mergeCell ref="C254:C255"/>
    <mergeCell ref="O256:O262"/>
    <mergeCell ref="C258:C262"/>
    <mergeCell ref="M263:M267"/>
    <mergeCell ref="N263:N267"/>
    <mergeCell ref="O263:O267"/>
    <mergeCell ref="C264:C267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4" firstPageNumber="54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</oddHeader>
    <oddFooter>&amp;C&amp;9&amp;P</oddFooter>
  </headerFooter>
  <rowBreaks count="5" manualBreakCount="5">
    <brk id="48" max="14" man="1"/>
    <brk id="94" max="14" man="1"/>
    <brk id="137" max="14" man="1"/>
    <brk id="225" max="14" man="1"/>
    <brk id="26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21</vt:i4>
      </vt:variant>
    </vt:vector>
  </HeadingPairs>
  <TitlesOfParts>
    <vt:vector size="35" baseType="lpstr">
      <vt:lpstr>PROJEKTY WYŁ i NOWE</vt:lpstr>
      <vt:lpstr>Tabela nr 6</vt:lpstr>
      <vt:lpstr>Tab. 6A -Drogi</vt:lpstr>
      <vt:lpstr>Tab. 6B Polit społ i rozwój prz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Tab. 6C - Ochrona zdrowia</vt:lpstr>
      <vt:lpstr>projekty UE</vt:lpstr>
      <vt:lpstr>Dane do WPF</vt:lpstr>
      <vt:lpstr>Arkusz1</vt:lpstr>
      <vt:lpstr>'Dane do WPF'!Obszar_wydruku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'Dane do WPF'!Tytuły_wydruku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mtomaszewska</cp:lastModifiedBy>
  <cp:lastPrinted>2018-12-06T11:06:06Z</cp:lastPrinted>
  <dcterms:created xsi:type="dcterms:W3CDTF">2015-01-20T07:24:04Z</dcterms:created>
  <dcterms:modified xsi:type="dcterms:W3CDTF">2018-12-18T07:32:24Z</dcterms:modified>
</cp:coreProperties>
</file>