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55" yWindow="420" windowWidth="20370" windowHeight="5520" tabRatio="975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</externalReferences>
  <definedNames>
    <definedName name="_xlnm._FilterDatabase" localSheetId="1" hidden="1">'Tab. 6A -Drogi'!$A$11:$EA$503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-Drogi'!$A$1:$O$630</definedName>
    <definedName name="_xlnm.Print_Area" localSheetId="2">'Tab. 6B Polit społ i rozwój prz'!$A$1:$O$142</definedName>
    <definedName name="_xlnm.Print_Area" localSheetId="3">'Tab. 6C - Ochrona zdrowia'!$A$1:$O$60</definedName>
    <definedName name="_xlnm.Print_Area" localSheetId="4">'Tab. 6D - Oświata'!$A$1:$O$70</definedName>
    <definedName name="_xlnm.Print_Area" localSheetId="5">'Tab. 6E - Administracja'!$A$1:$O$266</definedName>
    <definedName name="_xlnm.Print_Area" localSheetId="6">'Tab. 6F - Kultura'!$A$1:$O$162</definedName>
    <definedName name="_xlnm.Print_Area" localSheetId="7">'Tab. 6G - Roln i ochrona środ.'!$A$1:$O$111</definedName>
    <definedName name="_xlnm.Print_Area" localSheetId="8">'Tab. 6H - Kultura fiz. i turyst'!$A$1:$O$227</definedName>
    <definedName name="_xlnm.Print_Area" localSheetId="9">'Tab.6I - Planow. przestrz.'!$A$1:$O$101</definedName>
    <definedName name="_xlnm.Print_Area" localSheetId="0">'Tabela nr 6'!$A$1:$K$93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45621"/>
</workbook>
</file>

<file path=xl/calcChain.xml><?xml version="1.0" encoding="utf-8"?>
<calcChain xmlns="http://schemas.openxmlformats.org/spreadsheetml/2006/main">
  <c r="M230" i="2" l="1"/>
  <c r="M219" i="9" l="1"/>
  <c r="M255" i="6"/>
  <c r="L93" i="6"/>
  <c r="G212" i="6"/>
  <c r="F212" i="6"/>
  <c r="P142" i="3" l="1"/>
  <c r="P132" i="3"/>
  <c r="M170" i="2" l="1"/>
  <c r="M174" i="2"/>
  <c r="M172" i="2"/>
  <c r="M171" i="2"/>
  <c r="M127" i="6"/>
  <c r="M199" i="6"/>
  <c r="M15" i="6"/>
  <c r="P15" i="6" s="1"/>
  <c r="M84" i="8"/>
  <c r="M49" i="8"/>
  <c r="M47" i="8"/>
  <c r="M35" i="8"/>
  <c r="M14" i="8"/>
  <c r="M13" i="8"/>
  <c r="M129" i="7"/>
  <c r="M105" i="7"/>
  <c r="M45" i="7"/>
  <c r="M13" i="7"/>
  <c r="M106" i="6"/>
  <c r="M96" i="6"/>
  <c r="L15" i="4"/>
  <c r="M56" i="4"/>
  <c r="M51" i="4"/>
  <c r="M15" i="4" s="1"/>
  <c r="M46" i="4"/>
  <c r="M34" i="4"/>
  <c r="M99" i="3"/>
  <c r="M90" i="3"/>
  <c r="M87" i="3"/>
  <c r="M66" i="3"/>
  <c r="M63" i="3"/>
  <c r="M51" i="3"/>
  <c r="M32" i="3"/>
  <c r="M26" i="3"/>
  <c r="M16" i="3"/>
  <c r="M15" i="3"/>
  <c r="M12" i="3"/>
  <c r="M42" i="2"/>
  <c r="M37" i="2"/>
  <c r="M20" i="2"/>
  <c r="M19" i="2"/>
  <c r="M15" i="2"/>
  <c r="M13" i="2"/>
  <c r="M251" i="6"/>
  <c r="M243" i="6"/>
  <c r="M219" i="6"/>
  <c r="M216" i="6"/>
  <c r="M215" i="6"/>
  <c r="M17" i="6"/>
  <c r="M132" i="6"/>
  <c r="M130" i="6"/>
  <c r="M128" i="6"/>
  <c r="M155" i="7"/>
  <c r="M143" i="7"/>
  <c r="K60" i="1"/>
  <c r="E30" i="7" l="1"/>
  <c r="E29" i="7"/>
  <c r="F19" i="7"/>
  <c r="D47" i="6" l="1"/>
  <c r="D48" i="6"/>
  <c r="D403" i="2" l="1"/>
  <c r="D404" i="2"/>
  <c r="D398" i="2"/>
  <c r="D399" i="2"/>
  <c r="M8" i="7" l="1"/>
  <c r="E8" i="7"/>
  <c r="F8" i="7"/>
  <c r="G8" i="7"/>
  <c r="H8" i="7"/>
  <c r="I8" i="7"/>
  <c r="J8" i="7"/>
  <c r="K8" i="7"/>
  <c r="L8" i="7"/>
  <c r="D8" i="7"/>
  <c r="D9" i="7"/>
  <c r="D171" i="7"/>
  <c r="D12" i="7"/>
  <c r="E12" i="7"/>
  <c r="G12" i="7"/>
  <c r="H12" i="7"/>
  <c r="I12" i="7"/>
  <c r="J12" i="7"/>
  <c r="K12" i="7"/>
  <c r="L12" i="7"/>
  <c r="F12" i="7"/>
  <c r="F11" i="7" s="1"/>
  <c r="G103" i="7"/>
  <c r="G168" i="7"/>
  <c r="G152" i="7"/>
  <c r="G11" i="7"/>
  <c r="G13" i="7"/>
  <c r="N2" i="7"/>
  <c r="E9" i="7"/>
  <c r="F9" i="7"/>
  <c r="G9" i="7"/>
  <c r="H9" i="7"/>
  <c r="I9" i="7"/>
  <c r="J9" i="7"/>
  <c r="K9" i="7"/>
  <c r="L9" i="7"/>
  <c r="M9" i="7"/>
  <c r="M7" i="7" s="1"/>
  <c r="E22" i="7"/>
  <c r="F22" i="7"/>
  <c r="G22" i="7"/>
  <c r="H22" i="7"/>
  <c r="I22" i="7"/>
  <c r="J22" i="7"/>
  <c r="K22" i="7"/>
  <c r="L22" i="7"/>
  <c r="D22" i="7"/>
  <c r="D20" i="7"/>
  <c r="D17" i="7"/>
  <c r="C68" i="1"/>
  <c r="D68" i="1"/>
  <c r="E68" i="1"/>
  <c r="F68" i="1"/>
  <c r="G68" i="1"/>
  <c r="H68" i="1"/>
  <c r="I68" i="1"/>
  <c r="B68" i="1"/>
  <c r="E13" i="8"/>
  <c r="F13" i="8"/>
  <c r="G13" i="8"/>
  <c r="H13" i="8"/>
  <c r="I13" i="8"/>
  <c r="J13" i="8"/>
  <c r="K13" i="8"/>
  <c r="L13" i="8"/>
  <c r="F108" i="6" l="1"/>
  <c r="F110" i="6"/>
  <c r="F100" i="6"/>
  <c r="F98" i="6"/>
  <c r="M34" i="6" l="1"/>
  <c r="M33" i="6"/>
  <c r="D33" i="6"/>
  <c r="D52" i="6"/>
  <c r="D136" i="6" l="1"/>
  <c r="H136" i="6"/>
  <c r="F136" i="6"/>
  <c r="H127" i="6"/>
  <c r="F127" i="6"/>
  <c r="D117" i="6" l="1"/>
  <c r="I117" i="6"/>
  <c r="H117" i="6"/>
  <c r="F117" i="6"/>
  <c r="I113" i="6"/>
  <c r="H113" i="6"/>
  <c r="F113" i="6"/>
  <c r="H112" i="6"/>
  <c r="F112" i="6"/>
  <c r="F111" i="6"/>
  <c r="I109" i="6"/>
  <c r="F109" i="6"/>
  <c r="I108" i="6"/>
  <c r="H108" i="6"/>
  <c r="I103" i="6"/>
  <c r="H103" i="6"/>
  <c r="F103" i="6"/>
  <c r="D34" i="6" l="1"/>
  <c r="E31" i="6"/>
  <c r="E641" i="2" l="1"/>
  <c r="F641" i="2"/>
  <c r="G641" i="2"/>
  <c r="H641" i="2"/>
  <c r="I641" i="2"/>
  <c r="J641" i="2"/>
  <c r="K641" i="2"/>
  <c r="L641" i="2"/>
  <c r="D641" i="2"/>
  <c r="J640" i="2"/>
  <c r="G102" i="1" s="1"/>
  <c r="K640" i="2"/>
  <c r="H102" i="1" s="1"/>
  <c r="L640" i="2"/>
  <c r="I102" i="1" s="1"/>
  <c r="D19" i="7"/>
  <c r="D116" i="5"/>
  <c r="I19" i="7"/>
  <c r="D9" i="9"/>
  <c r="H11" i="5"/>
  <c r="H10" i="5" s="1"/>
  <c r="I11" i="5"/>
  <c r="I10" i="5" s="1"/>
  <c r="J11" i="5"/>
  <c r="J10" i="5" s="1"/>
  <c r="K11" i="5"/>
  <c r="K10" i="5" s="1"/>
  <c r="L11" i="5"/>
  <c r="L10" i="5" s="1"/>
  <c r="G11" i="5"/>
  <c r="G10" i="5" s="1"/>
  <c r="H42" i="2"/>
  <c r="M190" i="9"/>
  <c r="M192" i="9"/>
  <c r="G189" i="9"/>
  <c r="D189" i="9"/>
  <c r="K642" i="2" l="1"/>
  <c r="L642" i="2"/>
  <c r="J642" i="2"/>
  <c r="G69" i="9" l="1"/>
  <c r="F69" i="9"/>
  <c r="G66" i="9"/>
  <c r="F66" i="9"/>
  <c r="G64" i="9"/>
  <c r="F64" i="9"/>
  <c r="G40" i="8"/>
  <c r="F40" i="8"/>
  <c r="H37" i="8"/>
  <c r="G37" i="8"/>
  <c r="F37" i="8"/>
  <c r="H35" i="8"/>
  <c r="G35" i="8"/>
  <c r="F35" i="8"/>
  <c r="E19" i="7" l="1"/>
  <c r="G19" i="7"/>
  <c r="H19" i="7"/>
  <c r="J19" i="7"/>
  <c r="K19" i="7"/>
  <c r="L19" i="7"/>
  <c r="E16" i="7"/>
  <c r="F16" i="7"/>
  <c r="G16" i="7"/>
  <c r="H16" i="7"/>
  <c r="I16" i="7"/>
  <c r="J16" i="7"/>
  <c r="K16" i="7"/>
  <c r="L16" i="7"/>
  <c r="D16" i="7"/>
  <c r="E13" i="7"/>
  <c r="F13" i="7"/>
  <c r="H13" i="7"/>
  <c r="I13" i="7"/>
  <c r="J13" i="7"/>
  <c r="K13" i="7"/>
  <c r="L13" i="7"/>
  <c r="D13" i="7"/>
  <c r="E142" i="7"/>
  <c r="E141" i="7" s="1"/>
  <c r="E140" i="7" s="1"/>
  <c r="D162" i="7"/>
  <c r="K161" i="7"/>
  <c r="J161" i="7"/>
  <c r="I161" i="7"/>
  <c r="H161" i="7"/>
  <c r="G161" i="7"/>
  <c r="F161" i="7"/>
  <c r="E161" i="7"/>
  <c r="D161" i="7"/>
  <c r="D160" i="7"/>
  <c r="D159" i="7" s="1"/>
  <c r="K159" i="7"/>
  <c r="J159" i="7"/>
  <c r="J158" i="7" s="1"/>
  <c r="I159" i="7"/>
  <c r="H159" i="7"/>
  <c r="G159" i="7"/>
  <c r="F159" i="7"/>
  <c r="F158" i="7" s="1"/>
  <c r="E159" i="7"/>
  <c r="K158" i="7"/>
  <c r="I158" i="7"/>
  <c r="G158" i="7"/>
  <c r="E158" i="7"/>
  <c r="D157" i="7"/>
  <c r="N156" i="7"/>
  <c r="M156" i="7"/>
  <c r="K156" i="7"/>
  <c r="J156" i="7"/>
  <c r="I156" i="7"/>
  <c r="H156" i="7"/>
  <c r="G156" i="7"/>
  <c r="F156" i="7"/>
  <c r="E156" i="7"/>
  <c r="D156" i="7"/>
  <c r="N155" i="7"/>
  <c r="N153" i="7" s="1"/>
  <c r="N152" i="7" s="1"/>
  <c r="M153" i="7"/>
  <c r="M152" i="7" s="1"/>
  <c r="D154" i="7"/>
  <c r="K153" i="7"/>
  <c r="J153" i="7"/>
  <c r="I153" i="7"/>
  <c r="H153" i="7"/>
  <c r="G153" i="7"/>
  <c r="F153" i="7"/>
  <c r="E153" i="7"/>
  <c r="K152" i="7"/>
  <c r="J152" i="7"/>
  <c r="I152" i="7"/>
  <c r="H152" i="7"/>
  <c r="F152" i="7"/>
  <c r="E152" i="7"/>
  <c r="D150" i="7"/>
  <c r="K149" i="7"/>
  <c r="J149" i="7"/>
  <c r="I149" i="7"/>
  <c r="H149" i="7"/>
  <c r="H146" i="7" s="1"/>
  <c r="G149" i="7"/>
  <c r="F149" i="7"/>
  <c r="E149" i="7"/>
  <c r="D149" i="7"/>
  <c r="D148" i="7"/>
  <c r="D147" i="7" s="1"/>
  <c r="K147" i="7"/>
  <c r="J147" i="7"/>
  <c r="J146" i="7" s="1"/>
  <c r="I147" i="7"/>
  <c r="H147" i="7"/>
  <c r="G147" i="7"/>
  <c r="F147" i="7"/>
  <c r="E147" i="7"/>
  <c r="K146" i="7"/>
  <c r="I146" i="7"/>
  <c r="G146" i="7"/>
  <c r="F146" i="7"/>
  <c r="E146" i="7"/>
  <c r="D145" i="7"/>
  <c r="N144" i="7"/>
  <c r="M144" i="7"/>
  <c r="K144" i="7"/>
  <c r="J144" i="7"/>
  <c r="I144" i="7"/>
  <c r="H144" i="7"/>
  <c r="H140" i="7" s="1"/>
  <c r="G144" i="7"/>
  <c r="F144" i="7"/>
  <c r="E144" i="7"/>
  <c r="D144" i="7"/>
  <c r="N143" i="7"/>
  <c r="N141" i="7" s="1"/>
  <c r="N140" i="7" s="1"/>
  <c r="M141" i="7"/>
  <c r="M140" i="7" s="1"/>
  <c r="D142" i="7"/>
  <c r="K141" i="7"/>
  <c r="J141" i="7"/>
  <c r="I141" i="7"/>
  <c r="H141" i="7"/>
  <c r="G141" i="7"/>
  <c r="F141" i="7"/>
  <c r="F140" i="7" s="1"/>
  <c r="K140" i="7"/>
  <c r="J140" i="7"/>
  <c r="I140" i="7"/>
  <c r="G140" i="7"/>
  <c r="G50" i="7"/>
  <c r="F50" i="7"/>
  <c r="G45" i="7"/>
  <c r="F45" i="7"/>
  <c r="H158" i="7" l="1"/>
  <c r="D158" i="7"/>
  <c r="D146" i="7"/>
  <c r="D155" i="7"/>
  <c r="D153" i="7" s="1"/>
  <c r="D152" i="7" s="1"/>
  <c r="D143" i="7"/>
  <c r="D141" i="7" s="1"/>
  <c r="D140" i="7" s="1"/>
  <c r="G172" i="6"/>
  <c r="F172" i="6"/>
  <c r="H176" i="6"/>
  <c r="F176" i="6"/>
  <c r="H183" i="6"/>
  <c r="F183" i="6"/>
  <c r="H184" i="6"/>
  <c r="G184" i="6"/>
  <c r="H177" i="6"/>
  <c r="G177" i="6"/>
  <c r="H199" i="6"/>
  <c r="I199" i="6"/>
  <c r="G199" i="6"/>
  <c r="I204" i="6"/>
  <c r="H204" i="6"/>
  <c r="I211" i="6"/>
  <c r="H211" i="6"/>
  <c r="F251" i="6"/>
  <c r="G250" i="6"/>
  <c r="G249" i="6" s="1"/>
  <c r="I43" i="6"/>
  <c r="H43" i="6"/>
  <c r="G43" i="6"/>
  <c r="F43" i="6"/>
  <c r="E43" i="6"/>
  <c r="I44" i="6"/>
  <c r="H44" i="6"/>
  <c r="G44" i="6"/>
  <c r="F44" i="6"/>
  <c r="E41" i="6"/>
  <c r="I47" i="6"/>
  <c r="H47" i="6"/>
  <c r="G47" i="6"/>
  <c r="F47" i="6"/>
  <c r="E47" i="6"/>
  <c r="E45" i="6" s="1"/>
  <c r="I48" i="6"/>
  <c r="H48" i="6"/>
  <c r="G48" i="6"/>
  <c r="F48" i="6"/>
  <c r="I53" i="6"/>
  <c r="I52" i="6"/>
  <c r="H52" i="6"/>
  <c r="G52" i="6"/>
  <c r="F52" i="6"/>
  <c r="E52" i="6"/>
  <c r="H53" i="6"/>
  <c r="G53" i="6"/>
  <c r="F53" i="6"/>
  <c r="E50" i="6"/>
  <c r="G58" i="6"/>
  <c r="G56" i="6"/>
  <c r="F58" i="6"/>
  <c r="K33" i="6"/>
  <c r="F33" i="6"/>
  <c r="G37" i="6"/>
  <c r="F37" i="6"/>
  <c r="G65" i="5" l="1"/>
  <c r="G66" i="5"/>
  <c r="F67" i="5"/>
  <c r="G68" i="5"/>
  <c r="G69" i="5"/>
  <c r="F70" i="5"/>
  <c r="I28" i="3"/>
  <c r="D28" i="3" s="1"/>
  <c r="H28" i="3"/>
  <c r="G28" i="3"/>
  <c r="F28" i="3"/>
  <c r="I29" i="3"/>
  <c r="H29" i="3"/>
  <c r="G29" i="3"/>
  <c r="F29" i="3"/>
  <c r="E29" i="3"/>
  <c r="D35" i="3"/>
  <c r="D34" i="3"/>
  <c r="E32" i="3"/>
  <c r="E26" i="3"/>
  <c r="I34" i="3"/>
  <c r="H34" i="3"/>
  <c r="G34" i="3"/>
  <c r="F34" i="3"/>
  <c r="I35" i="3"/>
  <c r="H35" i="3"/>
  <c r="G35" i="3"/>
  <c r="F35" i="3"/>
  <c r="E35" i="3"/>
  <c r="J41" i="3"/>
  <c r="I41" i="3"/>
  <c r="H41" i="3"/>
  <c r="G41" i="3"/>
  <c r="F41" i="3"/>
  <c r="I413" i="2"/>
  <c r="H413" i="2"/>
  <c r="G413" i="2"/>
  <c r="F413" i="2"/>
  <c r="I414" i="2"/>
  <c r="H414" i="2"/>
  <c r="G414" i="2"/>
  <c r="F414" i="2"/>
  <c r="G418" i="2"/>
  <c r="I418" i="2"/>
  <c r="H418" i="2"/>
  <c r="F418" i="2"/>
  <c r="I419" i="2"/>
  <c r="H419" i="2"/>
  <c r="G419" i="2"/>
  <c r="F419" i="2"/>
  <c r="G422" i="2"/>
  <c r="I407" i="2"/>
  <c r="H407" i="2"/>
  <c r="G407" i="2"/>
  <c r="F407" i="2"/>
  <c r="G398" i="2"/>
  <c r="F398" i="2"/>
  <c r="H399" i="2"/>
  <c r="G399" i="2"/>
  <c r="F399" i="2"/>
  <c r="E396" i="2"/>
  <c r="E399" i="2"/>
  <c r="G403" i="2"/>
  <c r="F403" i="2"/>
  <c r="H404" i="2"/>
  <c r="G404" i="2"/>
  <c r="F404" i="2"/>
  <c r="E401" i="2"/>
  <c r="E404" i="2"/>
  <c r="D29" i="3" l="1"/>
  <c r="H99" i="8"/>
  <c r="H95" i="8"/>
  <c r="F95" i="8"/>
  <c r="F99" i="8"/>
  <c r="H29" i="8" l="1"/>
  <c r="I29" i="8"/>
  <c r="L29" i="8"/>
  <c r="E29" i="8"/>
  <c r="G62" i="8"/>
  <c r="F62" i="8"/>
  <c r="G60" i="8"/>
  <c r="F60" i="8"/>
  <c r="E37" i="1"/>
  <c r="F37" i="1"/>
  <c r="G37" i="1"/>
  <c r="H37" i="1"/>
  <c r="D37" i="1"/>
  <c r="B37" i="1"/>
  <c r="C37" i="1"/>
  <c r="I21" i="1"/>
  <c r="D21" i="1"/>
  <c r="E21" i="1"/>
  <c r="F21" i="1"/>
  <c r="G21" i="1"/>
  <c r="H21" i="1"/>
  <c r="C21" i="1"/>
  <c r="B21" i="1"/>
  <c r="M14" i="9"/>
  <c r="E19" i="9"/>
  <c r="F19" i="9"/>
  <c r="G19" i="9"/>
  <c r="H19" i="9"/>
  <c r="I19" i="9"/>
  <c r="J19" i="9"/>
  <c r="K19" i="9"/>
  <c r="L19" i="9"/>
  <c r="D19" i="9"/>
  <c r="E21" i="9"/>
  <c r="F21" i="9"/>
  <c r="G21" i="9"/>
  <c r="H21" i="9"/>
  <c r="I21" i="9"/>
  <c r="J21" i="9"/>
  <c r="K21" i="9"/>
  <c r="L21" i="9"/>
  <c r="D21" i="9"/>
  <c r="E14" i="9"/>
  <c r="F14" i="9"/>
  <c r="G14" i="9"/>
  <c r="H14" i="9"/>
  <c r="I14" i="9"/>
  <c r="J14" i="9"/>
  <c r="K14" i="9"/>
  <c r="L14" i="9"/>
  <c r="D14" i="9"/>
  <c r="E23" i="9"/>
  <c r="F23" i="9"/>
  <c r="G23" i="9"/>
  <c r="H23" i="9"/>
  <c r="I23" i="9"/>
  <c r="J23" i="9"/>
  <c r="K23" i="9"/>
  <c r="L23" i="9"/>
  <c r="E16" i="9"/>
  <c r="F16" i="9"/>
  <c r="G16" i="9"/>
  <c r="H16" i="9"/>
  <c r="I16" i="9"/>
  <c r="J16" i="9"/>
  <c r="K16" i="9"/>
  <c r="L16" i="9"/>
  <c r="E12" i="9"/>
  <c r="E11" i="9" s="1"/>
  <c r="F12" i="9"/>
  <c r="F11" i="9" s="1"/>
  <c r="G12" i="9"/>
  <c r="G11" i="9" s="1"/>
  <c r="H12" i="9"/>
  <c r="H11" i="9" s="1"/>
  <c r="I12" i="9"/>
  <c r="I11" i="9" s="1"/>
  <c r="J12" i="9"/>
  <c r="J11" i="9" s="1"/>
  <c r="K12" i="9"/>
  <c r="K11" i="9" s="1"/>
  <c r="L12" i="9"/>
  <c r="L11" i="9" s="1"/>
  <c r="J232" i="9"/>
  <c r="K232" i="9"/>
  <c r="L232" i="9"/>
  <c r="D197" i="9"/>
  <c r="D196" i="9" s="1"/>
  <c r="L196" i="9"/>
  <c r="K196" i="9"/>
  <c r="J196" i="9"/>
  <c r="I196" i="9"/>
  <c r="H196" i="9"/>
  <c r="G196" i="9"/>
  <c r="F196" i="9"/>
  <c r="F195" i="9" s="1"/>
  <c r="E196" i="9"/>
  <c r="E190" i="9"/>
  <c r="F190" i="9"/>
  <c r="G190" i="9"/>
  <c r="H190" i="9"/>
  <c r="H189" i="9" s="1"/>
  <c r="I190" i="9"/>
  <c r="D190" i="9"/>
  <c r="H193" i="9"/>
  <c r="I193" i="9"/>
  <c r="I189" i="9" s="1"/>
  <c r="J193" i="9"/>
  <c r="K193" i="9"/>
  <c r="L193" i="9"/>
  <c r="E185" i="9"/>
  <c r="E186" i="9"/>
  <c r="F189" i="9"/>
  <c r="J190" i="9"/>
  <c r="K190" i="9"/>
  <c r="L190" i="9"/>
  <c r="D192" i="9"/>
  <c r="J189" i="9"/>
  <c r="J9" i="9" s="1"/>
  <c r="K189" i="9"/>
  <c r="K9" i="9" s="1"/>
  <c r="L189" i="9"/>
  <c r="L9" i="9" s="1"/>
  <c r="J186" i="9"/>
  <c r="J185" i="9" s="1"/>
  <c r="I180" i="9"/>
  <c r="I183" i="9"/>
  <c r="I181" i="9"/>
  <c r="J181" i="9"/>
  <c r="J180" i="9" s="1"/>
  <c r="K181" i="9"/>
  <c r="L181" i="9"/>
  <c r="H181" i="9"/>
  <c r="D199" i="9"/>
  <c r="D198" i="9" s="1"/>
  <c r="L198" i="9"/>
  <c r="K198" i="9"/>
  <c r="J198" i="9"/>
  <c r="J195" i="9" s="1"/>
  <c r="I198" i="9"/>
  <c r="I195" i="9" s="1"/>
  <c r="H198" i="9"/>
  <c r="H195" i="9" s="1"/>
  <c r="G198" i="9"/>
  <c r="G195" i="9" s="1"/>
  <c r="F198" i="9"/>
  <c r="E198" i="9"/>
  <c r="N194" i="9"/>
  <c r="N193" i="9" s="1"/>
  <c r="M194" i="9"/>
  <c r="D194" i="9"/>
  <c r="D193" i="9" s="1"/>
  <c r="M193" i="9"/>
  <c r="G193" i="9"/>
  <c r="E193" i="9"/>
  <c r="N191" i="9"/>
  <c r="N190" i="9" s="1"/>
  <c r="M191" i="9"/>
  <c r="D191" i="9"/>
  <c r="E189" i="9"/>
  <c r="D187" i="9"/>
  <c r="D186" i="9" s="1"/>
  <c r="D185" i="9" s="1"/>
  <c r="L186" i="9"/>
  <c r="L185" i="9" s="1"/>
  <c r="L180" i="9" s="1"/>
  <c r="K186" i="9"/>
  <c r="K185" i="9" s="1"/>
  <c r="K180" i="9" s="1"/>
  <c r="I186" i="9"/>
  <c r="I185" i="9" s="1"/>
  <c r="H186" i="9"/>
  <c r="H185" i="9" s="1"/>
  <c r="H180" i="9" s="1"/>
  <c r="G186" i="9"/>
  <c r="G185" i="9" s="1"/>
  <c r="F186" i="9"/>
  <c r="F185" i="9" s="1"/>
  <c r="N184" i="9"/>
  <c r="N183" i="9" s="1"/>
  <c r="M184" i="9"/>
  <c r="D184" i="9"/>
  <c r="D183" i="9" s="1"/>
  <c r="M183" i="9"/>
  <c r="G183" i="9"/>
  <c r="E183" i="9"/>
  <c r="N182" i="9"/>
  <c r="N181" i="9" s="1"/>
  <c r="M182" i="9"/>
  <c r="D182" i="9"/>
  <c r="D181" i="9" s="1"/>
  <c r="M181" i="9"/>
  <c r="M180" i="9" s="1"/>
  <c r="G181" i="9"/>
  <c r="F181" i="9"/>
  <c r="E181" i="9"/>
  <c r="F180" i="9"/>
  <c r="E180" i="9"/>
  <c r="L195" i="9" l="1"/>
  <c r="K195" i="9"/>
  <c r="E195" i="9"/>
  <c r="D195" i="9"/>
  <c r="M189" i="9"/>
  <c r="N189" i="9"/>
  <c r="D180" i="9"/>
  <c r="G180" i="9"/>
  <c r="N180" i="9"/>
  <c r="F82" i="9"/>
  <c r="G90" i="9"/>
  <c r="F90" i="9"/>
  <c r="G85" i="9" l="1"/>
  <c r="F85" i="9"/>
  <c r="G82" i="9"/>
  <c r="I41" i="13" l="1"/>
  <c r="G38" i="13"/>
  <c r="G27" i="13" l="1"/>
  <c r="F36" i="13"/>
  <c r="I32" i="13"/>
  <c r="F38" i="13"/>
  <c r="F27" i="13"/>
  <c r="F29" i="13"/>
  <c r="G36" i="13"/>
  <c r="G29" i="13"/>
  <c r="G125" i="9" l="1"/>
  <c r="F125" i="9"/>
  <c r="G122" i="9" l="1"/>
  <c r="F122" i="9"/>
  <c r="G118" i="9"/>
  <c r="F118" i="9"/>
  <c r="E20" i="7" l="1"/>
  <c r="F20" i="7"/>
  <c r="G20" i="7"/>
  <c r="H20" i="7"/>
  <c r="I20" i="7"/>
  <c r="J20" i="7"/>
  <c r="K20" i="7"/>
  <c r="L20" i="7"/>
  <c r="E14" i="7"/>
  <c r="F14" i="7"/>
  <c r="G14" i="7"/>
  <c r="H14" i="7"/>
  <c r="I14" i="7"/>
  <c r="J14" i="7"/>
  <c r="K14" i="7"/>
  <c r="L14" i="7"/>
  <c r="E18" i="7"/>
  <c r="F18" i="7"/>
  <c r="H18" i="7"/>
  <c r="I18" i="7"/>
  <c r="J18" i="7"/>
  <c r="K18" i="7"/>
  <c r="L18" i="7"/>
  <c r="E11" i="7"/>
  <c r="H11" i="7"/>
  <c r="I11" i="7"/>
  <c r="J11" i="7"/>
  <c r="L11" i="7"/>
  <c r="D136" i="7"/>
  <c r="E134" i="7"/>
  <c r="F134" i="7"/>
  <c r="G134" i="7"/>
  <c r="H134" i="7"/>
  <c r="I134" i="7"/>
  <c r="J134" i="7"/>
  <c r="K134" i="7"/>
  <c r="E127" i="7"/>
  <c r="F127" i="7"/>
  <c r="G127" i="7"/>
  <c r="H127" i="7"/>
  <c r="I127" i="7"/>
  <c r="J127" i="7"/>
  <c r="K127" i="7"/>
  <c r="L127" i="7"/>
  <c r="D130" i="7"/>
  <c r="D14" i="7" s="1"/>
  <c r="D138" i="7"/>
  <c r="K137" i="7"/>
  <c r="K133" i="7" s="1"/>
  <c r="J137" i="7"/>
  <c r="I137" i="7"/>
  <c r="H137" i="7"/>
  <c r="G137" i="7"/>
  <c r="G133" i="7" s="1"/>
  <c r="F137" i="7"/>
  <c r="E137" i="7"/>
  <c r="D137" i="7"/>
  <c r="D135" i="7"/>
  <c r="D134" i="7" s="1"/>
  <c r="I133" i="7"/>
  <c r="E133" i="7"/>
  <c r="D132" i="7"/>
  <c r="N131" i="7"/>
  <c r="M131" i="7"/>
  <c r="K131" i="7"/>
  <c r="J131" i="7"/>
  <c r="I131" i="7"/>
  <c r="H131" i="7"/>
  <c r="H126" i="7" s="1"/>
  <c r="G131" i="7"/>
  <c r="G126" i="7" s="1"/>
  <c r="F131" i="7"/>
  <c r="F126" i="7" s="1"/>
  <c r="E131" i="7"/>
  <c r="D131" i="7"/>
  <c r="M127" i="7"/>
  <c r="M126" i="7" s="1"/>
  <c r="D129" i="7"/>
  <c r="D128" i="7"/>
  <c r="K126" i="7"/>
  <c r="J126" i="7"/>
  <c r="I126" i="7"/>
  <c r="E126" i="7"/>
  <c r="J10" i="2"/>
  <c r="K10" i="2"/>
  <c r="L10" i="2"/>
  <c r="E7" i="7"/>
  <c r="H7" i="7"/>
  <c r="I7" i="7"/>
  <c r="J7" i="7"/>
  <c r="L7" i="7"/>
  <c r="F39" i="7"/>
  <c r="F38" i="7" s="1"/>
  <c r="D40" i="7"/>
  <c r="G39" i="7"/>
  <c r="D39" i="7"/>
  <c r="G38" i="7"/>
  <c r="D38" i="7"/>
  <c r="D37" i="7"/>
  <c r="D36" i="7" s="1"/>
  <c r="G34" i="7"/>
  <c r="G33" i="7" s="1"/>
  <c r="M35" i="7"/>
  <c r="M34" i="7" s="1"/>
  <c r="M33" i="7" s="1"/>
  <c r="D35" i="7"/>
  <c r="D34" i="7" s="1"/>
  <c r="I34" i="7"/>
  <c r="H34" i="7"/>
  <c r="F34" i="7"/>
  <c r="F33" i="7" s="1"/>
  <c r="E34" i="7"/>
  <c r="I33" i="7"/>
  <c r="H33" i="7"/>
  <c r="E33" i="7"/>
  <c r="L95" i="3"/>
  <c r="L90" i="3"/>
  <c r="L87" i="3"/>
  <c r="G95" i="3"/>
  <c r="G90" i="3"/>
  <c r="G87" i="3"/>
  <c r="G71" i="3"/>
  <c r="G66" i="3"/>
  <c r="G63" i="3"/>
  <c r="F71" i="3"/>
  <c r="F66" i="3"/>
  <c r="F63" i="3"/>
  <c r="E45" i="2"/>
  <c r="F45" i="2"/>
  <c r="G45" i="2"/>
  <c r="H45" i="2"/>
  <c r="I45" i="2"/>
  <c r="J45" i="2"/>
  <c r="K45" i="2"/>
  <c r="L45" i="2"/>
  <c r="D45" i="2"/>
  <c r="E38" i="2"/>
  <c r="F38" i="2"/>
  <c r="G38" i="2"/>
  <c r="H38" i="2"/>
  <c r="I38" i="2"/>
  <c r="J38" i="2"/>
  <c r="K38" i="2"/>
  <c r="L38" i="2"/>
  <c r="D38" i="2"/>
  <c r="G239" i="2"/>
  <c r="G51" i="2" s="1"/>
  <c r="G234" i="2"/>
  <c r="G231" i="2"/>
  <c r="F239" i="2"/>
  <c r="F234" i="2"/>
  <c r="F231" i="2"/>
  <c r="G215" i="2"/>
  <c r="G213" i="2"/>
  <c r="G210" i="2"/>
  <c r="G208" i="2"/>
  <c r="F213" i="2"/>
  <c r="F208" i="2"/>
  <c r="G251" i="2"/>
  <c r="G246" i="2"/>
  <c r="G243" i="2"/>
  <c r="F251" i="2"/>
  <c r="F246" i="2"/>
  <c r="F42" i="2" s="1"/>
  <c r="F243" i="2"/>
  <c r="G174" i="2"/>
  <c r="G171" i="2"/>
  <c r="G37" i="2" s="1"/>
  <c r="G176" i="2"/>
  <c r="G179" i="2"/>
  <c r="F176" i="2"/>
  <c r="F179" i="2"/>
  <c r="F174" i="2"/>
  <c r="F171" i="2"/>
  <c r="E51" i="2"/>
  <c r="F51" i="2"/>
  <c r="H51" i="2"/>
  <c r="I51" i="2"/>
  <c r="J51" i="2"/>
  <c r="K51" i="2"/>
  <c r="L51" i="2"/>
  <c r="E42" i="2"/>
  <c r="G42" i="2"/>
  <c r="I42" i="2"/>
  <c r="J42" i="2"/>
  <c r="K42" i="2"/>
  <c r="L42" i="2"/>
  <c r="E37" i="2"/>
  <c r="F37" i="2"/>
  <c r="H37" i="2"/>
  <c r="I37" i="2"/>
  <c r="J37" i="2"/>
  <c r="K37" i="2"/>
  <c r="L37" i="2"/>
  <c r="F267" i="2"/>
  <c r="H259" i="2"/>
  <c r="H262" i="2"/>
  <c r="H253" i="2"/>
  <c r="H257" i="2"/>
  <c r="H254" i="2"/>
  <c r="D263" i="2"/>
  <c r="D262" i="2" s="1"/>
  <c r="G262" i="2"/>
  <c r="E262" i="2"/>
  <c r="D261" i="2"/>
  <c r="G260" i="2"/>
  <c r="F260" i="2"/>
  <c r="E260" i="2"/>
  <c r="D260" i="2"/>
  <c r="N258" i="2"/>
  <c r="N257" i="2" s="1"/>
  <c r="D258" i="2"/>
  <c r="D257" i="2" s="1"/>
  <c r="G257" i="2"/>
  <c r="E257" i="2"/>
  <c r="N256" i="2"/>
  <c r="M256" i="2"/>
  <c r="D256" i="2"/>
  <c r="N255" i="2"/>
  <c r="N254" i="2" s="1"/>
  <c r="D255" i="2"/>
  <c r="D254" i="2" s="1"/>
  <c r="G254" i="2"/>
  <c r="G253" i="2" s="1"/>
  <c r="E254" i="2"/>
  <c r="E253" i="2"/>
  <c r="G537" i="2"/>
  <c r="G538" i="2"/>
  <c r="F539" i="2"/>
  <c r="G360" i="2"/>
  <c r="F360" i="2"/>
  <c r="G351" i="2"/>
  <c r="G348" i="2"/>
  <c r="G18" i="7" l="1"/>
  <c r="J133" i="7"/>
  <c r="H133" i="7"/>
  <c r="F133" i="7"/>
  <c r="D133" i="7"/>
  <c r="D127" i="7"/>
  <c r="D126" i="7" s="1"/>
  <c r="N129" i="7"/>
  <c r="N127" i="7" s="1"/>
  <c r="N126" i="7" s="1"/>
  <c r="D33" i="7"/>
  <c r="N35" i="7"/>
  <c r="N34" i="7" s="1"/>
  <c r="N33" i="7" s="1"/>
  <c r="D253" i="2"/>
  <c r="G259" i="2"/>
  <c r="E259" i="2"/>
  <c r="D259" i="2"/>
  <c r="N253" i="2"/>
  <c r="M255" i="2"/>
  <c r="M254" i="2" s="1"/>
  <c r="M258" i="2"/>
  <c r="M257" i="2" s="1"/>
  <c r="F254" i="2"/>
  <c r="F257" i="2"/>
  <c r="F262" i="2"/>
  <c r="F259" i="2" s="1"/>
  <c r="G337" i="2"/>
  <c r="G338" i="2"/>
  <c r="G340" i="2"/>
  <c r="F341" i="2"/>
  <c r="F339" i="2"/>
  <c r="G48" i="9"/>
  <c r="G46" i="9"/>
  <c r="F48" i="9"/>
  <c r="F46" i="9"/>
  <c r="F253" i="2" l="1"/>
  <c r="M253" i="2"/>
  <c r="G100" i="13" l="1"/>
  <c r="F100" i="13"/>
  <c r="G224" i="6" l="1"/>
  <c r="F224" i="6"/>
  <c r="G222" i="6"/>
  <c r="F222" i="6"/>
  <c r="G217" i="6"/>
  <c r="F217" i="6"/>
  <c r="G215" i="6"/>
  <c r="F215" i="6"/>
  <c r="G219" i="6" l="1"/>
  <c r="F219" i="6"/>
  <c r="G216" i="6"/>
  <c r="F216" i="6"/>
  <c r="I142" i="3" l="1"/>
  <c r="H142" i="3"/>
  <c r="G142" i="3"/>
  <c r="F142" i="3"/>
  <c r="D139" i="3"/>
  <c r="D138" i="3"/>
  <c r="D137" i="3"/>
  <c r="G139" i="3"/>
  <c r="F139" i="3"/>
  <c r="F138" i="3"/>
  <c r="I137" i="3"/>
  <c r="H137" i="3"/>
  <c r="G137" i="3"/>
  <c r="F137" i="3"/>
  <c r="I132" i="3"/>
  <c r="H132" i="3"/>
  <c r="G132" i="3"/>
  <c r="F132" i="3"/>
  <c r="D125" i="3"/>
  <c r="D126" i="3"/>
  <c r="D127" i="3"/>
  <c r="D128" i="3"/>
  <c r="D129" i="3"/>
  <c r="I129" i="3"/>
  <c r="H129" i="3"/>
  <c r="G129" i="3"/>
  <c r="F129" i="3"/>
  <c r="H128" i="3"/>
  <c r="G128" i="3"/>
  <c r="F128" i="3"/>
  <c r="H127" i="3"/>
  <c r="G127" i="3"/>
  <c r="F127" i="3"/>
  <c r="H126" i="3"/>
  <c r="G126" i="3"/>
  <c r="F126" i="3"/>
  <c r="I125" i="3"/>
  <c r="H125" i="3"/>
  <c r="G125" i="3"/>
  <c r="F125" i="3"/>
  <c r="L18" i="8" l="1"/>
  <c r="E18" i="8"/>
  <c r="H18" i="8"/>
  <c r="I18" i="8"/>
  <c r="D74" i="8"/>
  <c r="H73" i="8"/>
  <c r="G73" i="8"/>
  <c r="F73" i="8"/>
  <c r="E73" i="8"/>
  <c r="D73" i="8"/>
  <c r="H72" i="8"/>
  <c r="G72" i="8"/>
  <c r="F72" i="8"/>
  <c r="E72" i="8"/>
  <c r="D72" i="8"/>
  <c r="N71" i="8"/>
  <c r="M71" i="8"/>
  <c r="D71" i="8"/>
  <c r="N70" i="8"/>
  <c r="M70" i="8"/>
  <c r="H70" i="8"/>
  <c r="G70" i="8"/>
  <c r="F70" i="8"/>
  <c r="E70" i="8"/>
  <c r="D70" i="8"/>
  <c r="N69" i="8"/>
  <c r="N68" i="8" s="1"/>
  <c r="N67" i="8" s="1"/>
  <c r="M69" i="8"/>
  <c r="D69" i="8"/>
  <c r="M68" i="8"/>
  <c r="H68" i="8"/>
  <c r="G68" i="8"/>
  <c r="F68" i="8"/>
  <c r="E68" i="8"/>
  <c r="D68" i="8"/>
  <c r="M67" i="8"/>
  <c r="H67" i="8"/>
  <c r="G67" i="8"/>
  <c r="F67" i="8"/>
  <c r="E67" i="8"/>
  <c r="D67" i="8"/>
  <c r="J116" i="8"/>
  <c r="K116" i="8"/>
  <c r="L116" i="8"/>
  <c r="J10" i="8"/>
  <c r="K10" i="8"/>
  <c r="L10" i="8"/>
  <c r="F20" i="8"/>
  <c r="G20" i="8"/>
  <c r="H20" i="8"/>
  <c r="I20" i="8"/>
  <c r="J20" i="8"/>
  <c r="K20" i="8"/>
  <c r="L20" i="8"/>
  <c r="D65" i="8"/>
  <c r="I64" i="8"/>
  <c r="H64" i="8"/>
  <c r="G64" i="8"/>
  <c r="F64" i="8"/>
  <c r="E64" i="8"/>
  <c r="D64" i="8"/>
  <c r="I63" i="8"/>
  <c r="I116" i="8" s="1"/>
  <c r="H63" i="8"/>
  <c r="G63" i="8"/>
  <c r="F63" i="8"/>
  <c r="E63" i="8"/>
  <c r="D63" i="8"/>
  <c r="N62" i="8"/>
  <c r="M62" i="8"/>
  <c r="D62" i="8"/>
  <c r="N61" i="8"/>
  <c r="M61" i="8"/>
  <c r="I61" i="8"/>
  <c r="H61" i="8"/>
  <c r="G61" i="8"/>
  <c r="F61" i="8"/>
  <c r="E61" i="8"/>
  <c r="D61" i="8"/>
  <c r="N60" i="8"/>
  <c r="N59" i="8" s="1"/>
  <c r="N58" i="8" s="1"/>
  <c r="M60" i="8"/>
  <c r="D60" i="8"/>
  <c r="I59" i="8"/>
  <c r="H59" i="8"/>
  <c r="G59" i="8"/>
  <c r="F59" i="8"/>
  <c r="E59" i="8"/>
  <c r="I58" i="8"/>
  <c r="H58" i="8"/>
  <c r="G58" i="8"/>
  <c r="F58" i="8"/>
  <c r="E58" i="8"/>
  <c r="D77" i="8"/>
  <c r="E77" i="8"/>
  <c r="F77" i="8"/>
  <c r="G77" i="8"/>
  <c r="H77" i="8"/>
  <c r="I77" i="8"/>
  <c r="J77" i="8"/>
  <c r="I10" i="8" l="1"/>
  <c r="M59" i="8"/>
  <c r="M58" i="8" s="1"/>
  <c r="D59" i="8"/>
  <c r="D58" i="8" s="1"/>
  <c r="K55" i="8"/>
  <c r="K29" i="8" s="1"/>
  <c r="K52" i="8"/>
  <c r="K49" i="8"/>
  <c r="K18" i="8" s="1"/>
  <c r="K47" i="8"/>
  <c r="J55" i="8"/>
  <c r="J29" i="8" s="1"/>
  <c r="J52" i="8"/>
  <c r="J49" i="8"/>
  <c r="J18" i="8" s="1"/>
  <c r="J47" i="8"/>
  <c r="G55" i="8"/>
  <c r="G29" i="8" s="1"/>
  <c r="G52" i="8"/>
  <c r="G49" i="8"/>
  <c r="G18" i="8" s="1"/>
  <c r="G47" i="8"/>
  <c r="G42" i="5" l="1"/>
  <c r="M86" i="1"/>
  <c r="F542" i="2"/>
  <c r="E539" i="2"/>
  <c r="E519" i="2"/>
  <c r="E516" i="2"/>
  <c r="F515" i="2"/>
  <c r="E515" i="2"/>
  <c r="F259" i="6"/>
  <c r="E251" i="6"/>
  <c r="K71" i="1"/>
  <c r="M46" i="5"/>
  <c r="M26" i="5"/>
  <c r="M24" i="5"/>
  <c r="M13" i="9"/>
  <c r="E13" i="9"/>
  <c r="F13" i="9"/>
  <c r="G13" i="9"/>
  <c r="H13" i="9"/>
  <c r="I13" i="9"/>
  <c r="J13" i="9"/>
  <c r="K13" i="9"/>
  <c r="L13" i="9"/>
  <c r="E15" i="9"/>
  <c r="E20" i="9"/>
  <c r="F20" i="9"/>
  <c r="G20" i="9"/>
  <c r="H20" i="9"/>
  <c r="I20" i="9"/>
  <c r="J20" i="9"/>
  <c r="K20" i="9"/>
  <c r="L20" i="9"/>
  <c r="E22" i="9"/>
  <c r="E18" i="9" s="1"/>
  <c r="F22" i="9"/>
  <c r="F18" i="9" s="1"/>
  <c r="G22" i="9"/>
  <c r="G18" i="9" s="1"/>
  <c r="H22" i="9"/>
  <c r="H18" i="9" s="1"/>
  <c r="I22" i="9"/>
  <c r="I18" i="9" s="1"/>
  <c r="J22" i="9"/>
  <c r="J18" i="9" s="1"/>
  <c r="K22" i="9"/>
  <c r="K18" i="9" s="1"/>
  <c r="L22" i="9"/>
  <c r="L18" i="9" s="1"/>
  <c r="E14" i="8"/>
  <c r="G14" i="8"/>
  <c r="H14" i="8"/>
  <c r="I14" i="8"/>
  <c r="J14" i="8"/>
  <c r="K14" i="8"/>
  <c r="L14" i="8"/>
  <c r="E15" i="8"/>
  <c r="F15" i="8"/>
  <c r="G15" i="8"/>
  <c r="H15" i="8"/>
  <c r="I15" i="8"/>
  <c r="J15" i="8"/>
  <c r="K15" i="8"/>
  <c r="L15" i="8"/>
  <c r="G16" i="8"/>
  <c r="H16" i="8"/>
  <c r="I16" i="8"/>
  <c r="J16" i="8"/>
  <c r="K16" i="8"/>
  <c r="L16" i="8"/>
  <c r="E20" i="8"/>
  <c r="E16" i="8" s="1"/>
  <c r="E23" i="8"/>
  <c r="G23" i="8"/>
  <c r="H23" i="8"/>
  <c r="I23" i="8"/>
  <c r="J23" i="8"/>
  <c r="K23" i="8"/>
  <c r="L23" i="8"/>
  <c r="E25" i="8"/>
  <c r="F25" i="8"/>
  <c r="G25" i="8"/>
  <c r="H25" i="8"/>
  <c r="I25" i="8"/>
  <c r="J25" i="8"/>
  <c r="K25" i="8"/>
  <c r="L25" i="8"/>
  <c r="E31" i="8"/>
  <c r="E28" i="8" s="1"/>
  <c r="F31" i="8"/>
  <c r="H31" i="8"/>
  <c r="H28" i="8" s="1"/>
  <c r="I31" i="8"/>
  <c r="I28" i="8" s="1"/>
  <c r="J31" i="8"/>
  <c r="J28" i="8" s="1"/>
  <c r="K31" i="8"/>
  <c r="K28" i="8" s="1"/>
  <c r="L31" i="8"/>
  <c r="L28" i="8" s="1"/>
  <c r="G54" i="8"/>
  <c r="G51" i="8"/>
  <c r="G48" i="8"/>
  <c r="G46" i="8"/>
  <c r="G45" i="8" s="1"/>
  <c r="G44" i="8" s="1"/>
  <c r="V66" i="4"/>
  <c r="L64" i="4"/>
  <c r="G64" i="4"/>
  <c r="H64" i="4"/>
  <c r="I64" i="4"/>
  <c r="J64" i="4"/>
  <c r="K64" i="4"/>
  <c r="F64" i="4"/>
  <c r="V65" i="4" s="1"/>
  <c r="M18" i="4"/>
  <c r="E15" i="4"/>
  <c r="F15" i="4"/>
  <c r="G15" i="4"/>
  <c r="H15" i="4"/>
  <c r="I15" i="4"/>
  <c r="J15" i="4"/>
  <c r="K15" i="4"/>
  <c r="E16" i="4"/>
  <c r="F16" i="4"/>
  <c r="G16" i="4"/>
  <c r="D67" i="1" s="1"/>
  <c r="H16" i="4"/>
  <c r="E67" i="1" s="1"/>
  <c r="I16" i="4"/>
  <c r="F67" i="1" s="1"/>
  <c r="J16" i="4"/>
  <c r="G67" i="1" s="1"/>
  <c r="K16" i="4"/>
  <c r="H67" i="1" s="1"/>
  <c r="L16" i="4"/>
  <c r="I67" i="1" s="1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5" i="4"/>
  <c r="E24" i="4" s="1"/>
  <c r="F25" i="4"/>
  <c r="F24" i="4" s="1"/>
  <c r="G25" i="4"/>
  <c r="G24" i="4" s="1"/>
  <c r="H25" i="4"/>
  <c r="H24" i="4" s="1"/>
  <c r="I25" i="4"/>
  <c r="I24" i="4" s="1"/>
  <c r="J25" i="4"/>
  <c r="J24" i="4" s="1"/>
  <c r="K25" i="4"/>
  <c r="K24" i="4" s="1"/>
  <c r="L25" i="4"/>
  <c r="L24" i="4" s="1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D25" i="4"/>
  <c r="D18" i="4"/>
  <c r="D17" i="4"/>
  <c r="M12" i="4"/>
  <c r="M11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D12" i="4"/>
  <c r="E34" i="4"/>
  <c r="E33" i="4"/>
  <c r="E32" i="4"/>
  <c r="E35" i="4"/>
  <c r="E40" i="4"/>
  <c r="E41" i="4"/>
  <c r="F40" i="4"/>
  <c r="F34" i="4"/>
  <c r="F32" i="4"/>
  <c r="V67" i="4" l="1"/>
  <c r="L14" i="4"/>
  <c r="L13" i="4" s="1"/>
  <c r="J14" i="4"/>
  <c r="H14" i="4"/>
  <c r="H13" i="4" s="1"/>
  <c r="K14" i="4"/>
  <c r="I14" i="4"/>
  <c r="G14" i="4"/>
  <c r="E14" i="4"/>
  <c r="G9" i="8"/>
  <c r="K22" i="8"/>
  <c r="I22" i="8"/>
  <c r="E22" i="8"/>
  <c r="I12" i="8"/>
  <c r="E12" i="8"/>
  <c r="L22" i="8"/>
  <c r="J22" i="8"/>
  <c r="H22" i="8"/>
  <c r="L12" i="8"/>
  <c r="G22" i="8"/>
  <c r="H12" i="8"/>
  <c r="H11" i="8" s="1"/>
  <c r="F14" i="4"/>
  <c r="K12" i="8"/>
  <c r="K11" i="8" s="1"/>
  <c r="J12" i="8"/>
  <c r="G50" i="8"/>
  <c r="G12" i="8"/>
  <c r="G11" i="8" s="1"/>
  <c r="E10" i="9"/>
  <c r="L21" i="8"/>
  <c r="J21" i="8"/>
  <c r="H21" i="8"/>
  <c r="L11" i="8"/>
  <c r="J11" i="8"/>
  <c r="K21" i="8"/>
  <c r="I21" i="8"/>
  <c r="E21" i="8"/>
  <c r="I11" i="8"/>
  <c r="E11" i="8"/>
  <c r="L23" i="4"/>
  <c r="J23" i="4"/>
  <c r="H23" i="4"/>
  <c r="F23" i="4"/>
  <c r="K23" i="4"/>
  <c r="I23" i="4"/>
  <c r="G23" i="4"/>
  <c r="E23" i="4"/>
  <c r="K13" i="4"/>
  <c r="I13" i="4"/>
  <c r="G13" i="4"/>
  <c r="E13" i="4"/>
  <c r="J13" i="4"/>
  <c r="F13" i="4"/>
  <c r="G115" i="8" l="1"/>
  <c r="F58" i="3"/>
  <c r="E58" i="3"/>
  <c r="E46" i="3"/>
  <c r="E51" i="3"/>
  <c r="F53" i="3"/>
  <c r="F52" i="3"/>
  <c r="F47" i="3"/>
  <c r="F48" i="3"/>
  <c r="E339" i="2"/>
  <c r="G344" i="2"/>
  <c r="E36" i="2"/>
  <c r="F36" i="2"/>
  <c r="G36" i="2"/>
  <c r="H36" i="2"/>
  <c r="I36" i="2"/>
  <c r="J36" i="2"/>
  <c r="K36" i="2"/>
  <c r="L36" i="2"/>
  <c r="E39" i="2"/>
  <c r="F39" i="2"/>
  <c r="G39" i="2"/>
  <c r="H39" i="2"/>
  <c r="I39" i="2"/>
  <c r="J39" i="2"/>
  <c r="K39" i="2"/>
  <c r="L39" i="2"/>
  <c r="E40" i="2"/>
  <c r="F40" i="2"/>
  <c r="G40" i="2"/>
  <c r="H40" i="2"/>
  <c r="I40" i="2"/>
  <c r="J40" i="2"/>
  <c r="K40" i="2"/>
  <c r="L40" i="2"/>
  <c r="E41" i="2"/>
  <c r="F41" i="2"/>
  <c r="G41" i="2"/>
  <c r="H41" i="2"/>
  <c r="I41" i="2"/>
  <c r="J41" i="2"/>
  <c r="K41" i="2"/>
  <c r="L41" i="2"/>
  <c r="E44" i="2"/>
  <c r="F44" i="2"/>
  <c r="G44" i="2"/>
  <c r="H44" i="2"/>
  <c r="I44" i="2"/>
  <c r="J44" i="2"/>
  <c r="K44" i="2"/>
  <c r="L44" i="2"/>
  <c r="E46" i="2"/>
  <c r="F46" i="2"/>
  <c r="G46" i="2"/>
  <c r="H46" i="2"/>
  <c r="I46" i="2"/>
  <c r="J46" i="2"/>
  <c r="K46" i="2"/>
  <c r="L46" i="2"/>
  <c r="E48" i="2"/>
  <c r="F48" i="2"/>
  <c r="G48" i="2"/>
  <c r="H48" i="2"/>
  <c r="I48" i="2"/>
  <c r="J48" i="2"/>
  <c r="K48" i="2"/>
  <c r="L48" i="2"/>
  <c r="E50" i="2"/>
  <c r="E49" i="2" s="1"/>
  <c r="F50" i="2"/>
  <c r="F49" i="2" s="1"/>
  <c r="G50" i="2"/>
  <c r="G49" i="2" s="1"/>
  <c r="H50" i="2"/>
  <c r="H49" i="2" s="1"/>
  <c r="I50" i="2"/>
  <c r="I49" i="2" s="1"/>
  <c r="J50" i="2"/>
  <c r="J49" i="2" s="1"/>
  <c r="K50" i="2"/>
  <c r="K49" i="2" s="1"/>
  <c r="L50" i="2"/>
  <c r="L49" i="2" s="1"/>
  <c r="F203" i="2"/>
  <c r="G203" i="2"/>
  <c r="E198" i="2"/>
  <c r="F198" i="2"/>
  <c r="E195" i="2"/>
  <c r="F195" i="2"/>
  <c r="F155" i="2"/>
  <c r="E155" i="2"/>
  <c r="E150" i="2"/>
  <c r="F150" i="2"/>
  <c r="F147" i="2"/>
  <c r="E147" i="2"/>
  <c r="G138" i="2"/>
  <c r="G143" i="2"/>
  <c r="E143" i="2"/>
  <c r="F143" i="2"/>
  <c r="E140" i="2"/>
  <c r="F140" i="2"/>
  <c r="F136" i="2"/>
  <c r="E136" i="2"/>
  <c r="E133" i="2"/>
  <c r="F133" i="2"/>
  <c r="E131" i="2"/>
  <c r="F127" i="2"/>
  <c r="E127" i="2"/>
  <c r="E120" i="2"/>
  <c r="E116" i="2"/>
  <c r="F116" i="2"/>
  <c r="F131" i="2"/>
  <c r="E111" i="2"/>
  <c r="E108" i="2"/>
  <c r="F106" i="2"/>
  <c r="E106" i="2"/>
  <c r="E102" i="2"/>
  <c r="E100" i="2"/>
  <c r="E97" i="2"/>
  <c r="E95" i="2"/>
  <c r="E94" i="2"/>
  <c r="F94" i="2"/>
  <c r="E90" i="2"/>
  <c r="E88" i="2"/>
  <c r="E85" i="2"/>
  <c r="E83" i="2"/>
  <c r="F82" i="2"/>
  <c r="E82" i="2"/>
  <c r="E78" i="2"/>
  <c r="E76" i="2"/>
  <c r="E73" i="2"/>
  <c r="E71" i="2"/>
  <c r="E70" i="2"/>
  <c r="F70" i="2"/>
  <c r="E66" i="2"/>
  <c r="E63" i="2"/>
  <c r="E60" i="2"/>
  <c r="E57" i="2"/>
  <c r="E56" i="2"/>
  <c r="F56" i="2"/>
  <c r="L43" i="2" l="1"/>
  <c r="J43" i="2"/>
  <c r="H43" i="2"/>
  <c r="F43" i="2"/>
  <c r="L35" i="2"/>
  <c r="J35" i="2"/>
  <c r="H35" i="2"/>
  <c r="F35" i="2"/>
  <c r="K43" i="2"/>
  <c r="I43" i="2"/>
  <c r="G43" i="2"/>
  <c r="E43" i="2"/>
  <c r="K35" i="2"/>
  <c r="I35" i="2"/>
  <c r="G35" i="2"/>
  <c r="E35" i="2"/>
  <c r="M100" i="13" l="1"/>
  <c r="M99" i="13" s="1"/>
  <c r="M98" i="13" s="1"/>
  <c r="M96" i="13"/>
  <c r="M95" i="13"/>
  <c r="M94" i="13" s="1"/>
  <c r="M85" i="13"/>
  <c r="M76" i="13"/>
  <c r="M75" i="13" s="1"/>
  <c r="M74" i="13"/>
  <c r="M73" i="13" s="1"/>
  <c r="M65" i="13"/>
  <c r="M64" i="13"/>
  <c r="M60" i="13"/>
  <c r="M59" i="13"/>
  <c r="M58" i="13"/>
  <c r="M47" i="13"/>
  <c r="M46" i="13" s="1"/>
  <c r="M44" i="13"/>
  <c r="M43" i="13" s="1"/>
  <c r="M38" i="13"/>
  <c r="M37" i="13" s="1"/>
  <c r="M36" i="13"/>
  <c r="M35" i="13" s="1"/>
  <c r="M29" i="13"/>
  <c r="M28" i="13" s="1"/>
  <c r="M27" i="13"/>
  <c r="M26" i="13" s="1"/>
  <c r="M16" i="13"/>
  <c r="M222" i="9"/>
  <c r="M221" i="9" s="1"/>
  <c r="M218" i="9"/>
  <c r="M217" i="9" s="1"/>
  <c r="M215" i="9"/>
  <c r="M214" i="9" s="1"/>
  <c r="M213" i="9" s="1"/>
  <c r="M175" i="9"/>
  <c r="M174" i="9"/>
  <c r="M173" i="9"/>
  <c r="M172" i="9" s="1"/>
  <c r="M171" i="9"/>
  <c r="M170" i="9"/>
  <c r="M169" i="9" s="1"/>
  <c r="M168" i="9" s="1"/>
  <c r="M167" i="9" s="1"/>
  <c r="M162" i="9"/>
  <c r="M161" i="9" s="1"/>
  <c r="M160" i="9"/>
  <c r="M159" i="9" s="1"/>
  <c r="M153" i="9"/>
  <c r="M152" i="9"/>
  <c r="M149" i="9"/>
  <c r="M148" i="9"/>
  <c r="M147" i="9" s="1"/>
  <c r="M146" i="9" s="1"/>
  <c r="M140" i="9"/>
  <c r="M139" i="9" s="1"/>
  <c r="M138" i="9"/>
  <c r="M137" i="9" s="1"/>
  <c r="M131" i="9"/>
  <c r="M130" i="9" s="1"/>
  <c r="M129" i="9"/>
  <c r="M128" i="9" s="1"/>
  <c r="M120" i="9"/>
  <c r="M119" i="9" s="1"/>
  <c r="M116" i="9"/>
  <c r="M115" i="9" s="1"/>
  <c r="M109" i="9"/>
  <c r="M108" i="9" s="1"/>
  <c r="M107" i="9"/>
  <c r="M106" i="9" s="1"/>
  <c r="M83" i="9"/>
  <c r="M75" i="9"/>
  <c r="M74" i="9" s="1"/>
  <c r="M73" i="9"/>
  <c r="M72" i="9" s="1"/>
  <c r="M104" i="8"/>
  <c r="M103" i="8" s="1"/>
  <c r="M102" i="8" s="1"/>
  <c r="M96" i="8"/>
  <c r="M95" i="8"/>
  <c r="M94" i="8" s="1"/>
  <c r="M93" i="8" s="1"/>
  <c r="M118" i="7"/>
  <c r="M117" i="7"/>
  <c r="M115" i="7"/>
  <c r="M114" i="7" s="1"/>
  <c r="M106" i="7"/>
  <c r="M94" i="7"/>
  <c r="M93" i="7"/>
  <c r="M91" i="7" s="1"/>
  <c r="M90" i="7" s="1"/>
  <c r="M82" i="7"/>
  <c r="M81" i="7"/>
  <c r="M79" i="7" s="1"/>
  <c r="M78" i="7" s="1"/>
  <c r="M70" i="7"/>
  <c r="M68" i="7"/>
  <c r="M67" i="7"/>
  <c r="M66" i="7" s="1"/>
  <c r="M58" i="7"/>
  <c r="M56" i="7"/>
  <c r="M55" i="7" s="1"/>
  <c r="M54" i="7" s="1"/>
  <c r="M46" i="7"/>
  <c r="M15" i="7"/>
  <c r="M260" i="6"/>
  <c r="M259" i="6"/>
  <c r="M258" i="6" s="1"/>
  <c r="M257" i="6" s="1"/>
  <c r="M254" i="6"/>
  <c r="M253" i="6" s="1"/>
  <c r="M250" i="6"/>
  <c r="M249" i="6" s="1"/>
  <c r="M230" i="6"/>
  <c r="M229" i="6" s="1"/>
  <c r="M226" i="6" s="1"/>
  <c r="M228" i="6"/>
  <c r="M227" i="6"/>
  <c r="M218" i="6"/>
  <c r="M214" i="6"/>
  <c r="M204" i="6"/>
  <c r="M203" i="6"/>
  <c r="M200" i="6"/>
  <c r="M177" i="6"/>
  <c r="M176" i="6"/>
  <c r="M173" i="6"/>
  <c r="M172" i="6"/>
  <c r="M133" i="6"/>
  <c r="M131" i="6"/>
  <c r="M129" i="6"/>
  <c r="M120" i="6"/>
  <c r="M114" i="6"/>
  <c r="M113" i="6"/>
  <c r="M112" i="6"/>
  <c r="M111" i="6"/>
  <c r="M110" i="6"/>
  <c r="M109" i="6"/>
  <c r="M108" i="6"/>
  <c r="M102" i="6"/>
  <c r="M101" i="6"/>
  <c r="M100" i="6"/>
  <c r="M99" i="6"/>
  <c r="M98" i="6"/>
  <c r="M87" i="6"/>
  <c r="M86" i="6"/>
  <c r="M85" i="6"/>
  <c r="M84" i="6"/>
  <c r="M83" i="6" s="1"/>
  <c r="M76" i="6"/>
  <c r="M75" i="6" s="1"/>
  <c r="M74" i="6"/>
  <c r="M73" i="6" s="1"/>
  <c r="M72" i="6" s="1"/>
  <c r="M65" i="6"/>
  <c r="M64" i="6"/>
  <c r="M63" i="6"/>
  <c r="M62" i="6"/>
  <c r="M61" i="6" s="1"/>
  <c r="M60" i="6" s="1"/>
  <c r="M53" i="6"/>
  <c r="M52" i="6"/>
  <c r="M48" i="6"/>
  <c r="M47" i="6"/>
  <c r="M44" i="6"/>
  <c r="M43" i="6"/>
  <c r="M29" i="6"/>
  <c r="M28" i="6" s="1"/>
  <c r="M64" i="4"/>
  <c r="M55" i="4"/>
  <c r="M54" i="4" s="1"/>
  <c r="M53" i="4" s="1"/>
  <c r="M50" i="4"/>
  <c r="M49" i="4"/>
  <c r="M48" i="4" s="1"/>
  <c r="M45" i="4"/>
  <c r="M44" i="4"/>
  <c r="M43" i="4" s="1"/>
  <c r="M35" i="4"/>
  <c r="M33" i="4"/>
  <c r="M31" i="4"/>
  <c r="M30" i="4" s="1"/>
  <c r="M20" i="4"/>
  <c r="M102" i="3"/>
  <c r="M101" i="3" s="1"/>
  <c r="M100" i="3"/>
  <c r="M89" i="3"/>
  <c r="M88" i="3"/>
  <c r="M78" i="3"/>
  <c r="M77" i="3"/>
  <c r="M76" i="3"/>
  <c r="M75" i="3"/>
  <c r="M65" i="3"/>
  <c r="M64" i="3"/>
  <c r="M62" i="3"/>
  <c r="M61" i="3" s="1"/>
  <c r="M49" i="3"/>
  <c r="M36" i="3"/>
  <c r="M35" i="3"/>
  <c r="M34" i="3"/>
  <c r="M30" i="3"/>
  <c r="M29" i="3"/>
  <c r="M28" i="3"/>
  <c r="M630" i="2"/>
  <c r="M629" i="2" s="1"/>
  <c r="M628" i="2" s="1"/>
  <c r="M626" i="2"/>
  <c r="M625" i="2" s="1"/>
  <c r="M624" i="2" s="1"/>
  <c r="M618" i="2"/>
  <c r="M598" i="2"/>
  <c r="M597" i="2" s="1"/>
  <c r="M596" i="2" s="1"/>
  <c r="M594" i="2"/>
  <c r="M593" i="2" s="1"/>
  <c r="M592" i="2" s="1"/>
  <c r="M587" i="2"/>
  <c r="M586" i="2"/>
  <c r="M579" i="2"/>
  <c r="M578" i="2"/>
  <c r="M554" i="2"/>
  <c r="M553" i="2" s="1"/>
  <c r="M552" i="2" s="1"/>
  <c r="M547" i="2"/>
  <c r="M546" i="2"/>
  <c r="M545" i="2" s="1"/>
  <c r="M544" i="2" s="1"/>
  <c r="M532" i="2"/>
  <c r="M531" i="2"/>
  <c r="M530" i="2" s="1"/>
  <c r="M529" i="2" s="1"/>
  <c r="M527" i="2"/>
  <c r="M526" i="2"/>
  <c r="M525" i="2" s="1"/>
  <c r="M516" i="2"/>
  <c r="M480" i="2"/>
  <c r="M479" i="2" s="1"/>
  <c r="M478" i="2"/>
  <c r="M477" i="2" s="1"/>
  <c r="M462" i="2"/>
  <c r="M461" i="2" s="1"/>
  <c r="M460" i="2"/>
  <c r="M459" i="2"/>
  <c r="M447" i="2"/>
  <c r="M446" i="2"/>
  <c r="M445" i="2" s="1"/>
  <c r="M444" i="2"/>
  <c r="M443" i="2"/>
  <c r="M442" i="2"/>
  <c r="M441" i="2"/>
  <c r="M419" i="2"/>
  <c r="M418" i="2"/>
  <c r="M414" i="2"/>
  <c r="M413" i="2"/>
  <c r="M389" i="2"/>
  <c r="M388" i="2" s="1"/>
  <c r="M387" i="2"/>
  <c r="M386" i="2" s="1"/>
  <c r="M385" i="2" s="1"/>
  <c r="M380" i="2"/>
  <c r="M379" i="2" s="1"/>
  <c r="M378" i="2"/>
  <c r="M377" i="2" s="1"/>
  <c r="M376" i="2" s="1"/>
  <c r="M349" i="2"/>
  <c r="M331" i="2"/>
  <c r="M330" i="2" s="1"/>
  <c r="M329" i="2"/>
  <c r="M328" i="2" s="1"/>
  <c r="M303" i="2"/>
  <c r="M282" i="2"/>
  <c r="M281" i="2"/>
  <c r="M280" i="2"/>
  <c r="M279" i="2"/>
  <c r="M278" i="2" s="1"/>
  <c r="M277" i="2" s="1"/>
  <c r="M244" i="2"/>
  <c r="M232" i="2"/>
  <c r="M220" i="2"/>
  <c r="M120" i="2"/>
  <c r="M119" i="2" s="1"/>
  <c r="M108" i="2"/>
  <c r="M107" i="2" s="1"/>
  <c r="M97" i="2"/>
  <c r="M96" i="2" s="1"/>
  <c r="M95" i="2"/>
  <c r="M85" i="2"/>
  <c r="M84" i="2" s="1"/>
  <c r="M83" i="2"/>
  <c r="M73" i="2"/>
  <c r="M72" i="2" s="1"/>
  <c r="M71" i="2"/>
  <c r="M60" i="2"/>
  <c r="M58" i="2" s="1"/>
  <c r="M57" i="2"/>
  <c r="K164" i="1"/>
  <c r="K165" i="1" s="1"/>
  <c r="K152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48" i="1" s="1"/>
  <c r="M171" i="6" l="1"/>
  <c r="M175" i="6"/>
  <c r="M174" i="6" s="1"/>
  <c r="M170" i="6" s="1"/>
  <c r="M34" i="13"/>
  <c r="M25" i="13"/>
  <c r="M213" i="6"/>
  <c r="M136" i="9"/>
  <c r="M127" i="9"/>
  <c r="M72" i="13"/>
  <c r="M105" i="9"/>
  <c r="M71" i="9"/>
  <c r="M114" i="9"/>
  <c r="M158" i="9"/>
  <c r="M14" i="4"/>
  <c r="M13" i="4" s="1"/>
  <c r="M10" i="4"/>
  <c r="M74" i="3"/>
  <c r="M73" i="3" s="1"/>
  <c r="M86" i="3"/>
  <c r="M85" i="3" s="1"/>
  <c r="M98" i="3"/>
  <c r="M97" i="3" s="1"/>
  <c r="M577" i="2"/>
  <c r="M576" i="2" s="1"/>
  <c r="M585" i="2"/>
  <c r="M584" i="2" s="1"/>
  <c r="M458" i="2"/>
  <c r="M476" i="2"/>
  <c r="M327" i="2"/>
  <c r="M440" i="2"/>
  <c r="M112" i="5"/>
  <c r="M111" i="5" s="1"/>
  <c r="M102" i="5"/>
  <c r="M99" i="5"/>
  <c r="M98" i="5"/>
  <c r="M92" i="5"/>
  <c r="M91" i="5"/>
  <c r="M90" i="5" s="1"/>
  <c r="M80" i="5"/>
  <c r="M79" i="5"/>
  <c r="M77" i="5"/>
  <c r="M76" i="5" s="1"/>
  <c r="M75" i="5"/>
  <c r="M74" i="5"/>
  <c r="M73" i="5"/>
  <c r="M67" i="5"/>
  <c r="M66" i="5" s="1"/>
  <c r="M65" i="5" s="1"/>
  <c r="M60" i="5"/>
  <c r="M59" i="5" s="1"/>
  <c r="M58" i="5" s="1"/>
  <c r="M53" i="5"/>
  <c r="M52" i="5"/>
  <c r="M51" i="5" s="1"/>
  <c r="M45" i="5"/>
  <c r="M44" i="5" s="1"/>
  <c r="M37" i="5"/>
  <c r="M36" i="5"/>
  <c r="M35" i="5"/>
  <c r="M34" i="5"/>
  <c r="M33" i="5" s="1"/>
  <c r="M25" i="5"/>
  <c r="M23" i="5"/>
  <c r="M12" i="5"/>
  <c r="E70" i="5"/>
  <c r="E67" i="5"/>
  <c r="F56" i="5"/>
  <c r="F53" i="5"/>
  <c r="E56" i="5"/>
  <c r="E53" i="5"/>
  <c r="F42" i="5"/>
  <c r="E42" i="5"/>
  <c r="F37" i="5"/>
  <c r="E37" i="5"/>
  <c r="F35" i="5"/>
  <c r="E35" i="5"/>
  <c r="M22" i="5" l="1"/>
  <c r="E321" i="2"/>
  <c r="E325" i="2" l="1"/>
  <c r="E323" i="2"/>
  <c r="E320" i="2"/>
  <c r="E319" i="2" s="1"/>
  <c r="E318" i="2"/>
  <c r="M341" i="2" l="1"/>
  <c r="M340" i="2" s="1"/>
  <c r="M339" i="2"/>
  <c r="M338" i="2" s="1"/>
  <c r="M515" i="2"/>
  <c r="M514" i="2" s="1"/>
  <c r="M513" i="2" s="1"/>
  <c r="M539" i="2"/>
  <c r="M538" i="2" s="1"/>
  <c r="M537" i="2" s="1"/>
  <c r="M198" i="2"/>
  <c r="M197" i="2" s="1"/>
  <c r="M195" i="2"/>
  <c r="M194" i="2" s="1"/>
  <c r="M150" i="2"/>
  <c r="M149" i="2" s="1"/>
  <c r="E141" i="2"/>
  <c r="E138" i="2"/>
  <c r="M136" i="2"/>
  <c r="M134" i="2" s="1"/>
  <c r="M131" i="2"/>
  <c r="M116" i="2"/>
  <c r="M115" i="2" s="1"/>
  <c r="M114" i="2" s="1"/>
  <c r="M106" i="2"/>
  <c r="M105" i="2" s="1"/>
  <c r="M104" i="2" s="1"/>
  <c r="M94" i="2"/>
  <c r="M93" i="2" s="1"/>
  <c r="M92" i="2" s="1"/>
  <c r="M82" i="2"/>
  <c r="M81" i="2" s="1"/>
  <c r="M80" i="2" s="1"/>
  <c r="M70" i="2"/>
  <c r="M69" i="2" s="1"/>
  <c r="M68" i="2" s="1"/>
  <c r="M56" i="2"/>
  <c r="M55" i="2" s="1"/>
  <c r="M54" i="2" s="1"/>
  <c r="M193" i="2" l="1"/>
  <c r="E137" i="2"/>
  <c r="M337" i="2"/>
  <c r="M133" i="2"/>
  <c r="M130" i="2" s="1"/>
  <c r="M129" i="2" s="1"/>
  <c r="M147" i="2"/>
  <c r="M146" i="2" s="1"/>
  <c r="M145" i="2" s="1"/>
  <c r="E149" i="2"/>
  <c r="E146" i="2"/>
  <c r="E154" i="2"/>
  <c r="E151" i="2" s="1"/>
  <c r="E145" i="2"/>
  <c r="Q51" i="4"/>
  <c r="N51" i="4"/>
  <c r="H157" i="6"/>
  <c r="I157" i="6"/>
  <c r="J157" i="6"/>
  <c r="K157" i="6"/>
  <c r="L157" i="6"/>
  <c r="F158" i="6"/>
  <c r="F157" i="6" s="1"/>
  <c r="G158" i="6"/>
  <c r="G157" i="6" s="1"/>
  <c r="N158" i="6"/>
  <c r="D159" i="6"/>
  <c r="M159" i="6" s="1"/>
  <c r="N159" i="6"/>
  <c r="H161" i="6"/>
  <c r="H160" i="6" s="1"/>
  <c r="I161" i="6"/>
  <c r="I160" i="6" s="1"/>
  <c r="J161" i="6"/>
  <c r="J160" i="6" s="1"/>
  <c r="K161" i="6"/>
  <c r="K160" i="6" s="1"/>
  <c r="L161" i="6"/>
  <c r="L160" i="6" s="1"/>
  <c r="F162" i="6"/>
  <c r="F161" i="6" s="1"/>
  <c r="G162" i="6"/>
  <c r="G161" i="6" s="1"/>
  <c r="G160" i="6" s="1"/>
  <c r="N162" i="6"/>
  <c r="F164" i="6"/>
  <c r="G164" i="6"/>
  <c r="H164" i="6"/>
  <c r="I164" i="6"/>
  <c r="J164" i="6"/>
  <c r="K164" i="6"/>
  <c r="L164" i="6"/>
  <c r="D165" i="6"/>
  <c r="H167" i="6"/>
  <c r="H166" i="6" s="1"/>
  <c r="I167" i="6"/>
  <c r="I166" i="6" s="1"/>
  <c r="J167" i="6"/>
  <c r="J166" i="6" s="1"/>
  <c r="K167" i="6"/>
  <c r="K166" i="6" s="1"/>
  <c r="L167" i="6"/>
  <c r="L166" i="6" s="1"/>
  <c r="F168" i="6"/>
  <c r="F167" i="6" s="1"/>
  <c r="G168" i="6"/>
  <c r="G167" i="6" s="1"/>
  <c r="G166" i="6" s="1"/>
  <c r="N173" i="6"/>
  <c r="N53" i="6"/>
  <c r="N52" i="6"/>
  <c r="N47" i="6"/>
  <c r="N48" i="6"/>
  <c r="N44" i="6"/>
  <c r="N43" i="6"/>
  <c r="N85" i="13"/>
  <c r="N100" i="13"/>
  <c r="N96" i="13"/>
  <c r="N74" i="13"/>
  <c r="N73" i="13" s="1"/>
  <c r="N72" i="13" s="1"/>
  <c r="N76" i="13"/>
  <c r="N75" i="13" s="1"/>
  <c r="N60" i="13"/>
  <c r="N38" i="13"/>
  <c r="N36" i="13"/>
  <c r="N29" i="13"/>
  <c r="N27" i="13"/>
  <c r="D164" i="6" l="1"/>
  <c r="L163" i="6"/>
  <c r="F166" i="6"/>
  <c r="D166" i="6" s="1"/>
  <c r="D167" i="6"/>
  <c r="K163" i="6"/>
  <c r="I163" i="6"/>
  <c r="G163" i="6"/>
  <c r="F160" i="6"/>
  <c r="F156" i="6" s="1"/>
  <c r="D161" i="6"/>
  <c r="M161" i="6" s="1"/>
  <c r="N161" i="6"/>
  <c r="D157" i="6"/>
  <c r="M157" i="6" s="1"/>
  <c r="N157" i="6"/>
  <c r="K156" i="6"/>
  <c r="I156" i="6"/>
  <c r="J163" i="6"/>
  <c r="H163" i="6"/>
  <c r="G156" i="6"/>
  <c r="L156" i="6"/>
  <c r="J156" i="6"/>
  <c r="H156" i="6"/>
  <c r="D168" i="6"/>
  <c r="F163" i="6"/>
  <c r="D162" i="6"/>
  <c r="M162" i="6" s="1"/>
  <c r="D158" i="6"/>
  <c r="M158" i="6" s="1"/>
  <c r="D207" i="9"/>
  <c r="N219" i="9"/>
  <c r="N215" i="9"/>
  <c r="N175" i="9"/>
  <c r="N174" i="9"/>
  <c r="N173" i="9" s="1"/>
  <c r="N172" i="9" s="1"/>
  <c r="N171" i="9"/>
  <c r="N170" i="9"/>
  <c r="N169" i="9" s="1"/>
  <c r="N168" i="9" s="1"/>
  <c r="N167" i="9" s="1"/>
  <c r="N162" i="9"/>
  <c r="N160" i="9"/>
  <c r="N149" i="9"/>
  <c r="N148" i="9"/>
  <c r="N147" i="9" s="1"/>
  <c r="N140" i="9"/>
  <c r="N138" i="9"/>
  <c r="N131" i="9"/>
  <c r="N129" i="9"/>
  <c r="N120" i="9"/>
  <c r="N116" i="9"/>
  <c r="N109" i="9"/>
  <c r="N107" i="9"/>
  <c r="N83" i="9"/>
  <c r="N75" i="9"/>
  <c r="N73" i="9"/>
  <c r="N95" i="8"/>
  <c r="N49" i="8"/>
  <c r="N47" i="8"/>
  <c r="N35" i="8"/>
  <c r="D163" i="6" l="1"/>
  <c r="D156" i="6"/>
  <c r="M156" i="6" s="1"/>
  <c r="N156" i="6"/>
  <c r="D160" i="6"/>
  <c r="M160" i="6" s="1"/>
  <c r="N160" i="6"/>
  <c r="N117" i="7" l="1"/>
  <c r="N99" i="6"/>
  <c r="N101" i="6"/>
  <c r="N131" i="6"/>
  <c r="N130" i="6"/>
  <c r="N129" i="6"/>
  <c r="E15" i="6"/>
  <c r="J15" i="6"/>
  <c r="K15" i="6"/>
  <c r="L15" i="6"/>
  <c r="E16" i="6"/>
  <c r="E22" i="6"/>
  <c r="H22" i="6"/>
  <c r="I22" i="6"/>
  <c r="J22" i="6"/>
  <c r="K22" i="6"/>
  <c r="L22" i="6"/>
  <c r="I37" i="1" s="1"/>
  <c r="N259" i="6"/>
  <c r="N251" i="6"/>
  <c r="N230" i="6"/>
  <c r="N228" i="6"/>
  <c r="N87" i="6"/>
  <c r="N85" i="6"/>
  <c r="N76" i="6"/>
  <c r="N74" i="6"/>
  <c r="N65" i="6"/>
  <c r="N63" i="6"/>
  <c r="N62" i="6"/>
  <c r="N35" i="5"/>
  <c r="N37" i="5"/>
  <c r="N67" i="5"/>
  <c r="N53" i="5"/>
  <c r="N56" i="4"/>
  <c r="N55" i="4"/>
  <c r="N50" i="4"/>
  <c r="N45" i="4"/>
  <c r="N46" i="4"/>
  <c r="N35" i="4"/>
  <c r="N34" i="4"/>
  <c r="N33" i="4"/>
  <c r="E21" i="3"/>
  <c r="F21" i="3"/>
  <c r="G21" i="3"/>
  <c r="H21" i="3"/>
  <c r="I21" i="3"/>
  <c r="J21" i="3"/>
  <c r="K21" i="3"/>
  <c r="L21" i="3"/>
  <c r="E22" i="3"/>
  <c r="F22" i="3"/>
  <c r="G22" i="3"/>
  <c r="H22" i="3"/>
  <c r="I22" i="3"/>
  <c r="J22" i="3"/>
  <c r="K22" i="3"/>
  <c r="L22" i="3"/>
  <c r="E19" i="3"/>
  <c r="F19" i="3"/>
  <c r="G19" i="3"/>
  <c r="H19" i="3"/>
  <c r="I19" i="3"/>
  <c r="J19" i="3"/>
  <c r="K19" i="3"/>
  <c r="L19" i="3"/>
  <c r="E16" i="3"/>
  <c r="E15" i="3"/>
  <c r="J15" i="3"/>
  <c r="K15" i="3"/>
  <c r="L15" i="3"/>
  <c r="E13" i="3"/>
  <c r="F13" i="3"/>
  <c r="G13" i="3"/>
  <c r="H13" i="3"/>
  <c r="I13" i="3"/>
  <c r="J13" i="3"/>
  <c r="K13" i="3"/>
  <c r="L13" i="3"/>
  <c r="E12" i="3"/>
  <c r="N102" i="3"/>
  <c r="N100" i="3"/>
  <c r="N99" i="3"/>
  <c r="N88" i="3"/>
  <c r="N78" i="3"/>
  <c r="N76" i="3"/>
  <c r="N75" i="3"/>
  <c r="N64" i="3"/>
  <c r="N630" i="2"/>
  <c r="N626" i="2"/>
  <c r="N619" i="2"/>
  <c r="N618" i="2"/>
  <c r="N611" i="2"/>
  <c r="N610" i="2"/>
  <c r="N606" i="2"/>
  <c r="N566" i="2"/>
  <c r="N539" i="2"/>
  <c r="N527" i="2"/>
  <c r="N516" i="2"/>
  <c r="N515" i="2"/>
  <c r="N389" i="2"/>
  <c r="N387" i="2"/>
  <c r="N380" i="2"/>
  <c r="N378" i="2"/>
  <c r="N371" i="2"/>
  <c r="N369" i="2"/>
  <c r="N362" i="2"/>
  <c r="N360" i="2"/>
  <c r="N351" i="2"/>
  <c r="N349" i="2"/>
  <c r="N348" i="2"/>
  <c r="N341" i="2"/>
  <c r="N339" i="2"/>
  <c r="N303" i="2"/>
  <c r="N270" i="2"/>
  <c r="N222" i="2"/>
  <c r="N220" i="2"/>
  <c r="N207" i="2"/>
  <c r="N198" i="2"/>
  <c r="N195" i="2"/>
  <c r="N150" i="2"/>
  <c r="N147" i="2"/>
  <c r="N136" i="2"/>
  <c r="N133" i="2"/>
  <c r="N131" i="2"/>
  <c r="N120" i="2"/>
  <c r="N116" i="2"/>
  <c r="N108" i="2"/>
  <c r="N106" i="2"/>
  <c r="N97" i="2"/>
  <c r="N95" i="2"/>
  <c r="N94" i="2"/>
  <c r="N85" i="2"/>
  <c r="N83" i="2"/>
  <c r="N82" i="2"/>
  <c r="N73" i="2"/>
  <c r="N71" i="2"/>
  <c r="N70" i="2"/>
  <c r="N60" i="2"/>
  <c r="N57" i="2"/>
  <c r="N56" i="2"/>
  <c r="M13" i="3" l="1"/>
  <c r="N13" i="3"/>
  <c r="F619" i="2" l="1"/>
  <c r="M619" i="2" s="1"/>
  <c r="M617" i="2" s="1"/>
  <c r="M616" i="2" s="1"/>
  <c r="F622" i="2"/>
  <c r="F606" i="2" l="1"/>
  <c r="M606" i="2" s="1"/>
  <c r="M605" i="2" s="1"/>
  <c r="M604" i="2" s="1"/>
  <c r="G51" i="9" l="1"/>
  <c r="F51" i="9"/>
  <c r="N48" i="9"/>
  <c r="M48" i="9"/>
  <c r="M47" i="9" s="1"/>
  <c r="N46" i="9"/>
  <c r="M46" i="9"/>
  <c r="M45" i="9" s="1"/>
  <c r="M44" i="9" s="1"/>
  <c r="G42" i="9"/>
  <c r="F42" i="9"/>
  <c r="G39" i="9"/>
  <c r="N39" i="9" s="1"/>
  <c r="F39" i="9"/>
  <c r="M39" i="9" s="1"/>
  <c r="M38" i="9" s="1"/>
  <c r="G37" i="9"/>
  <c r="N37" i="9" s="1"/>
  <c r="F37" i="9"/>
  <c r="M37" i="9" s="1"/>
  <c r="M36" i="9" s="1"/>
  <c r="M35" i="9" s="1"/>
  <c r="G33" i="9"/>
  <c r="G30" i="9"/>
  <c r="N30" i="9" s="1"/>
  <c r="G28" i="9"/>
  <c r="N28" i="9" s="1"/>
  <c r="F33" i="9"/>
  <c r="F30" i="9"/>
  <c r="F28" i="9"/>
  <c r="M28" i="9" s="1"/>
  <c r="M27" i="9" s="1"/>
  <c r="M30" i="9" l="1"/>
  <c r="M29" i="9" s="1"/>
  <c r="M26" i="9" s="1"/>
  <c r="G267" i="2"/>
  <c r="H224" i="2"/>
  <c r="H226" i="2"/>
  <c r="G227" i="2"/>
  <c r="F227" i="2"/>
  <c r="H221" i="2"/>
  <c r="H218" i="2"/>
  <c r="H217" i="2" s="1"/>
  <c r="F222" i="2"/>
  <c r="M222" i="2" s="1"/>
  <c r="M221" i="2" s="1"/>
  <c r="F219" i="2"/>
  <c r="M219" i="2" s="1"/>
  <c r="M218" i="2" s="1"/>
  <c r="M217" i="2" s="1"/>
  <c r="G219" i="2"/>
  <c r="N219" i="2" s="1"/>
  <c r="F215" i="2"/>
  <c r="N210" i="2"/>
  <c r="F210" i="2"/>
  <c r="M210" i="2" s="1"/>
  <c r="M209" i="2" s="1"/>
  <c r="F207" i="2"/>
  <c r="M207" i="2" s="1"/>
  <c r="G141" i="2"/>
  <c r="G137" i="2" s="1"/>
  <c r="N174" i="2"/>
  <c r="N171" i="2"/>
  <c r="G191" i="2"/>
  <c r="F191" i="2"/>
  <c r="G186" i="2"/>
  <c r="N186" i="2" s="1"/>
  <c r="F186" i="2"/>
  <c r="G183" i="2"/>
  <c r="N183" i="2" s="1"/>
  <c r="F183" i="2"/>
  <c r="M267" i="2" l="1"/>
  <c r="M266" i="2" s="1"/>
  <c r="M208" i="2"/>
  <c r="M206" i="2" s="1"/>
  <c r="M205" i="2" s="1"/>
  <c r="N208" i="2"/>
  <c r="N267" i="2"/>
  <c r="M183" i="2"/>
  <c r="M182" i="2" s="1"/>
  <c r="M186" i="2"/>
  <c r="M185" i="2" s="1"/>
  <c r="M173" i="2"/>
  <c r="H223" i="2"/>
  <c r="M169" i="2" l="1"/>
  <c r="M181" i="2"/>
  <c r="D53" i="6"/>
  <c r="J602" i="2" l="1"/>
  <c r="J601" i="2"/>
  <c r="I602" i="2"/>
  <c r="G602" i="2"/>
  <c r="H602" i="2"/>
  <c r="F602" i="2"/>
  <c r="M602" i="2" s="1"/>
  <c r="M601" i="2" s="1"/>
  <c r="M600" i="2" s="1"/>
  <c r="J561" i="2"/>
  <c r="J560" i="2" s="1"/>
  <c r="J559" i="2" s="1"/>
  <c r="I561" i="2"/>
  <c r="I560" i="2" s="1"/>
  <c r="I559" i="2" s="1"/>
  <c r="H561" i="2"/>
  <c r="G561" i="2"/>
  <c r="N561" i="2" s="1"/>
  <c r="F561" i="2"/>
  <c r="M561" i="2" l="1"/>
  <c r="M560" i="2" s="1"/>
  <c r="M559" i="2" s="1"/>
  <c r="N602" i="2"/>
  <c r="J600" i="2"/>
  <c r="G136" i="3"/>
  <c r="H136" i="3"/>
  <c r="I136" i="3"/>
  <c r="J136" i="3"/>
  <c r="K136" i="3"/>
  <c r="F136" i="3"/>
  <c r="M136" i="3" l="1"/>
  <c r="M135" i="3" s="1"/>
  <c r="M134" i="3" s="1"/>
  <c r="M9" i="3" s="1"/>
  <c r="N609" i="2"/>
  <c r="F130" i="6" l="1"/>
  <c r="L117" i="6"/>
  <c r="L108" i="6"/>
  <c r="L100" i="6"/>
  <c r="L96" i="6" s="1"/>
  <c r="F114" i="6"/>
  <c r="F104" i="6"/>
  <c r="E125" i="6"/>
  <c r="E121" i="6"/>
  <c r="E102" i="6"/>
  <c r="F96" i="6"/>
  <c r="D130" i="6"/>
  <c r="D129" i="6"/>
  <c r="E108" i="6"/>
  <c r="E109" i="6"/>
  <c r="E110" i="6"/>
  <c r="E100" i="6"/>
  <c r="E96" i="6" s="1"/>
  <c r="E14" i="6" s="1"/>
  <c r="E106" i="6" l="1"/>
  <c r="E17" i="6"/>
  <c r="N16" i="13" l="1"/>
  <c r="F20" i="13"/>
  <c r="D210" i="9"/>
  <c r="D209" i="9" s="1"/>
  <c r="D56" i="8"/>
  <c r="D110" i="7"/>
  <c r="D117" i="7"/>
  <c r="D44" i="7"/>
  <c r="D28" i="7"/>
  <c r="D116" i="7"/>
  <c r="D263" i="6"/>
  <c r="D260" i="6"/>
  <c r="D40" i="5"/>
  <c r="D39" i="5" s="1"/>
  <c r="D105" i="3"/>
  <c r="D100" i="3"/>
  <c r="D93" i="3"/>
  <c r="D88" i="3"/>
  <c r="D42" i="3"/>
  <c r="D39" i="3"/>
  <c r="D36" i="3"/>
  <c r="D30" i="3"/>
  <c r="D483" i="2"/>
  <c r="D480" i="2"/>
  <c r="D478" i="2"/>
  <c r="D465" i="2"/>
  <c r="D462" i="2"/>
  <c r="D460" i="2"/>
  <c r="D456" i="2"/>
  <c r="D455" i="2"/>
  <c r="D454" i="2"/>
  <c r="D452" i="2"/>
  <c r="D451" i="2"/>
  <c r="D450" i="2"/>
  <c r="D447" i="2"/>
  <c r="D446" i="2"/>
  <c r="D444" i="2"/>
  <c r="D443" i="2"/>
  <c r="D442" i="2"/>
  <c r="D419" i="2"/>
  <c r="D418" i="2"/>
  <c r="D550" i="2"/>
  <c r="D547" i="2"/>
  <c r="D546" i="2"/>
  <c r="D535" i="2"/>
  <c r="D532" i="2"/>
  <c r="D531" i="2"/>
  <c r="D334" i="2"/>
  <c r="D331" i="2"/>
  <c r="D329" i="2"/>
  <c r="D297" i="2"/>
  <c r="D287" i="2"/>
  <c r="D285" i="2"/>
  <c r="D282" i="2"/>
  <c r="D280" i="2"/>
  <c r="D279" i="2"/>
  <c r="D273" i="2"/>
  <c r="D268" i="2"/>
  <c r="D249" i="2"/>
  <c r="D244" i="2"/>
  <c r="D237" i="2"/>
  <c r="D232" i="2"/>
  <c r="D126" i="2"/>
  <c r="D124" i="2"/>
  <c r="D123" i="2"/>
  <c r="D102" i="2"/>
  <c r="D65" i="2"/>
  <c r="D59" i="2"/>
  <c r="D57" i="2"/>
  <c r="J42" i="1"/>
  <c r="E182" i="6"/>
  <c r="E181" i="6" s="1"/>
  <c r="E179" i="6"/>
  <c r="E171" i="6"/>
  <c r="E175" i="6"/>
  <c r="E174" i="6" s="1"/>
  <c r="E144" i="6"/>
  <c r="E143" i="6" s="1"/>
  <c r="E19" i="6" s="1"/>
  <c r="E151" i="6"/>
  <c r="E152" i="6"/>
  <c r="E23" i="6"/>
  <c r="E21" i="6" s="1"/>
  <c r="N15" i="1"/>
  <c r="E150" i="6" l="1"/>
  <c r="E25" i="6"/>
  <c r="E24" i="6" s="1"/>
  <c r="E20" i="6" s="1"/>
  <c r="E13" i="6"/>
  <c r="E170" i="6"/>
  <c r="E178" i="6"/>
  <c r="E142" i="6"/>
  <c r="E18" i="6"/>
  <c r="E12" i="6" l="1"/>
  <c r="E255" i="6"/>
  <c r="E23" i="13"/>
  <c r="E21" i="13" s="1"/>
  <c r="E18" i="13" s="1"/>
  <c r="E20" i="13"/>
  <c r="E19" i="13" s="1"/>
  <c r="E17" i="13"/>
  <c r="E14" i="13"/>
  <c r="E13" i="13"/>
  <c r="E21" i="7"/>
  <c r="E17" i="7" s="1"/>
  <c r="E15" i="7"/>
  <c r="E243" i="6"/>
  <c r="E242" i="6" s="1"/>
  <c r="E241" i="6" s="1"/>
  <c r="E20" i="5"/>
  <c r="E19" i="5" s="1"/>
  <c r="E18" i="5" s="1"/>
  <c r="E17" i="5"/>
  <c r="E16" i="5" s="1"/>
  <c r="E15" i="5"/>
  <c r="E14" i="5" s="1"/>
  <c r="E20" i="3"/>
  <c r="E18" i="3"/>
  <c r="E14" i="3"/>
  <c r="E499" i="2"/>
  <c r="E498" i="2"/>
  <c r="E497" i="2"/>
  <c r="E496" i="2"/>
  <c r="E493" i="2"/>
  <c r="E492" i="2"/>
  <c r="E491" i="2"/>
  <c r="E490" i="2"/>
  <c r="E28" i="2"/>
  <c r="E15" i="2"/>
  <c r="E99" i="13"/>
  <c r="E98" i="13" s="1"/>
  <c r="E95" i="13"/>
  <c r="E94" i="13" s="1"/>
  <c r="E80" i="13"/>
  <c r="E78" i="13"/>
  <c r="E75" i="13"/>
  <c r="E73" i="13"/>
  <c r="E69" i="13"/>
  <c r="E67" i="13"/>
  <c r="E61" i="13"/>
  <c r="E55" i="13"/>
  <c r="E37" i="13"/>
  <c r="E35" i="13"/>
  <c r="E28" i="13"/>
  <c r="E26" i="13"/>
  <c r="D100" i="13"/>
  <c r="D60" i="13"/>
  <c r="D96" i="13"/>
  <c r="D81" i="13"/>
  <c r="D80" i="13" s="1"/>
  <c r="D79" i="13"/>
  <c r="D78" i="13" s="1"/>
  <c r="D76" i="13"/>
  <c r="D75" i="13" s="1"/>
  <c r="D74" i="13"/>
  <c r="D73" i="13" s="1"/>
  <c r="D57" i="13"/>
  <c r="D29" i="13"/>
  <c r="D27" i="13"/>
  <c r="E218" i="9"/>
  <c r="E217" i="9" s="1"/>
  <c r="E214" i="9"/>
  <c r="E213" i="9" s="1"/>
  <c r="E177" i="9"/>
  <c r="E176" i="9" s="1"/>
  <c r="E172" i="9"/>
  <c r="E168" i="9"/>
  <c r="E164" i="9"/>
  <c r="E163" i="9" s="1"/>
  <c r="E161" i="9"/>
  <c r="E159" i="9"/>
  <c r="E158" i="9" s="1"/>
  <c r="E155" i="9"/>
  <c r="E154" i="9" s="1"/>
  <c r="E150" i="9"/>
  <c r="E146" i="9"/>
  <c r="E142" i="9"/>
  <c r="E139" i="9"/>
  <c r="E137" i="9"/>
  <c r="E133" i="9"/>
  <c r="E130" i="9"/>
  <c r="E128" i="9"/>
  <c r="E124" i="9"/>
  <c r="E123" i="9" s="1"/>
  <c r="E119" i="9"/>
  <c r="E115" i="9"/>
  <c r="E111" i="9"/>
  <c r="E110" i="9" s="1"/>
  <c r="E108" i="9"/>
  <c r="E106" i="9"/>
  <c r="E102" i="9"/>
  <c r="E101" i="9" s="1"/>
  <c r="E97" i="9"/>
  <c r="E93" i="9"/>
  <c r="E87" i="9"/>
  <c r="E89" i="9"/>
  <c r="E84" i="9"/>
  <c r="E81" i="9"/>
  <c r="E77" i="9"/>
  <c r="E76" i="9" s="1"/>
  <c r="E74" i="9"/>
  <c r="E72" i="9"/>
  <c r="E68" i="9"/>
  <c r="E67" i="9" s="1"/>
  <c r="E65" i="9"/>
  <c r="E63" i="9"/>
  <c r="E59" i="9"/>
  <c r="E58" i="9" s="1"/>
  <c r="E56" i="9"/>
  <c r="E54" i="9"/>
  <c r="E53" i="9" s="1"/>
  <c r="E50" i="9"/>
  <c r="E49" i="9" s="1"/>
  <c r="E47" i="9"/>
  <c r="E45" i="9"/>
  <c r="E41" i="9"/>
  <c r="E40" i="9" s="1"/>
  <c r="E38" i="9"/>
  <c r="E36" i="9"/>
  <c r="E35" i="9" s="1"/>
  <c r="E32" i="9"/>
  <c r="E31" i="9" s="1"/>
  <c r="E29" i="9"/>
  <c r="E26" i="9" s="1"/>
  <c r="E27" i="9"/>
  <c r="D219" i="9"/>
  <c r="D215" i="9"/>
  <c r="D178" i="9"/>
  <c r="D165" i="9"/>
  <c r="D162" i="9"/>
  <c r="D160" i="9"/>
  <c r="D156" i="9"/>
  <c r="D134" i="9"/>
  <c r="D125" i="9"/>
  <c r="D124" i="9" s="1"/>
  <c r="D123" i="9" s="1"/>
  <c r="D120" i="9"/>
  <c r="D116" i="9"/>
  <c r="D112" i="9"/>
  <c r="D111" i="9" s="1"/>
  <c r="D110" i="9" s="1"/>
  <c r="D109" i="9"/>
  <c r="D107" i="9"/>
  <c r="D103" i="9"/>
  <c r="D102" i="9" s="1"/>
  <c r="D101" i="9" s="1"/>
  <c r="D231" i="9" s="1"/>
  <c r="D88" i="9"/>
  <c r="D83" i="9"/>
  <c r="D78" i="9"/>
  <c r="D77" i="9" s="1"/>
  <c r="D76" i="9" s="1"/>
  <c r="D75" i="9"/>
  <c r="D73" i="9"/>
  <c r="D60" i="9"/>
  <c r="E54" i="8"/>
  <c r="E51" i="8"/>
  <c r="E48" i="8"/>
  <c r="E45" i="8"/>
  <c r="E44" i="8" s="1"/>
  <c r="E9" i="8" s="1"/>
  <c r="E41" i="8"/>
  <c r="E39" i="8"/>
  <c r="E38" i="8" s="1"/>
  <c r="E36" i="8"/>
  <c r="E34" i="8"/>
  <c r="E33" i="8" s="1"/>
  <c r="E94" i="8"/>
  <c r="E93" i="8" s="1"/>
  <c r="E78" i="8" s="1"/>
  <c r="E76" i="8" s="1"/>
  <c r="D99" i="8"/>
  <c r="D95" i="8"/>
  <c r="D53" i="8"/>
  <c r="E115" i="7"/>
  <c r="E109" i="7"/>
  <c r="E111" i="7"/>
  <c r="E106" i="7"/>
  <c r="E103" i="7"/>
  <c r="E102" i="7" s="1"/>
  <c r="E51" i="7"/>
  <c r="E49" i="7"/>
  <c r="E48" i="7" s="1"/>
  <c r="E46" i="7"/>
  <c r="E43" i="7"/>
  <c r="E42" i="7" s="1"/>
  <c r="E25" i="7"/>
  <c r="E24" i="7" s="1"/>
  <c r="D104" i="7"/>
  <c r="D107" i="7"/>
  <c r="D50" i="7"/>
  <c r="D47" i="7"/>
  <c r="D112" i="7"/>
  <c r="D52" i="7"/>
  <c r="D31" i="7"/>
  <c r="E258" i="6"/>
  <c r="E257" i="6" s="1"/>
  <c r="E254" i="6"/>
  <c r="E253" i="6" s="1"/>
  <c r="E250" i="6"/>
  <c r="E249" i="6" s="1"/>
  <c r="E234" i="6"/>
  <c r="E232" i="6"/>
  <c r="E231" i="6" s="1"/>
  <c r="E229" i="6"/>
  <c r="E227" i="6"/>
  <c r="E223" i="6"/>
  <c r="E221" i="6"/>
  <c r="E218" i="6"/>
  <c r="E214" i="6"/>
  <c r="E213" i="6" s="1"/>
  <c r="E148" i="6"/>
  <c r="E147" i="6" s="1"/>
  <c r="E139" i="6"/>
  <c r="E138" i="6" s="1"/>
  <c r="E135" i="6"/>
  <c r="E134" i="6" s="1"/>
  <c r="E124" i="6"/>
  <c r="E120" i="6"/>
  <c r="E116" i="6"/>
  <c r="E115" i="6" s="1"/>
  <c r="E105" i="6"/>
  <c r="E95" i="6"/>
  <c r="E91" i="6"/>
  <c r="E89" i="6"/>
  <c r="E86" i="6"/>
  <c r="E84" i="6"/>
  <c r="E83" i="6" s="1"/>
  <c r="E80" i="6"/>
  <c r="E78" i="6"/>
  <c r="E77" i="6" s="1"/>
  <c r="E75" i="6"/>
  <c r="E73" i="6"/>
  <c r="E72" i="6" s="1"/>
  <c r="E69" i="6"/>
  <c r="E67" i="6"/>
  <c r="E64" i="6"/>
  <c r="E61" i="6"/>
  <c r="E57" i="6"/>
  <c r="E55" i="6"/>
  <c r="E54" i="6" s="1"/>
  <c r="E49" i="6"/>
  <c r="E40" i="6"/>
  <c r="E36" i="6"/>
  <c r="E35" i="6" s="1"/>
  <c r="E30" i="6"/>
  <c r="E28" i="6"/>
  <c r="D87" i="6"/>
  <c r="D70" i="6"/>
  <c r="D69" i="6" s="1"/>
  <c r="D37" i="6"/>
  <c r="D259" i="6"/>
  <c r="D251" i="6"/>
  <c r="D235" i="6"/>
  <c r="D233" i="6"/>
  <c r="D230" i="6"/>
  <c r="D228" i="6"/>
  <c r="D101" i="6"/>
  <c r="D99" i="6"/>
  <c r="D97" i="6"/>
  <c r="D92" i="6"/>
  <c r="D90" i="6"/>
  <c r="D85" i="6"/>
  <c r="D68" i="6"/>
  <c r="D65" i="6"/>
  <c r="D64" i="6" s="1"/>
  <c r="D63" i="6"/>
  <c r="D62" i="6"/>
  <c r="D58" i="6"/>
  <c r="D56" i="6"/>
  <c r="D44" i="6"/>
  <c r="D43" i="6"/>
  <c r="E69" i="5"/>
  <c r="E68" i="5" s="1"/>
  <c r="E66" i="5"/>
  <c r="E65" i="5" s="1"/>
  <c r="E55" i="5"/>
  <c r="E54" i="5" s="1"/>
  <c r="E52" i="5"/>
  <c r="E51" i="5" s="1"/>
  <c r="E39" i="5"/>
  <c r="E41" i="5"/>
  <c r="E36" i="5"/>
  <c r="E34" i="5"/>
  <c r="D56" i="5"/>
  <c r="D53" i="5"/>
  <c r="D56" i="4"/>
  <c r="D51" i="4"/>
  <c r="E54" i="4"/>
  <c r="E53" i="4" s="1"/>
  <c r="E49" i="4"/>
  <c r="E48" i="4" s="1"/>
  <c r="E44" i="4"/>
  <c r="E43" i="4" s="1"/>
  <c r="E31" i="4"/>
  <c r="E30" i="4" s="1"/>
  <c r="E39" i="4"/>
  <c r="E38" i="4"/>
  <c r="D55" i="4"/>
  <c r="D50" i="4"/>
  <c r="D46" i="4"/>
  <c r="D45" i="4"/>
  <c r="D41" i="4"/>
  <c r="D40" i="4"/>
  <c r="D35" i="4"/>
  <c r="D34" i="4"/>
  <c r="D33" i="4"/>
  <c r="D32" i="4"/>
  <c r="E141" i="3"/>
  <c r="E140" i="3" s="1"/>
  <c r="E135" i="3"/>
  <c r="E134" i="3" s="1"/>
  <c r="E131" i="3"/>
  <c r="E130" i="3" s="1"/>
  <c r="E123" i="3"/>
  <c r="E122" i="3" s="1"/>
  <c r="E119" i="3"/>
  <c r="E118" i="3" s="1"/>
  <c r="E114" i="3"/>
  <c r="E110" i="3"/>
  <c r="E104" i="3"/>
  <c r="E106" i="3"/>
  <c r="E101" i="3"/>
  <c r="E98" i="3"/>
  <c r="E92" i="3"/>
  <c r="E94" i="3"/>
  <c r="E89" i="3"/>
  <c r="E86" i="3"/>
  <c r="E80" i="3"/>
  <c r="E82" i="3"/>
  <c r="E77" i="3"/>
  <c r="E74" i="3"/>
  <c r="E68" i="3"/>
  <c r="E70" i="3"/>
  <c r="E65" i="3"/>
  <c r="E62" i="3"/>
  <c r="E55" i="3"/>
  <c r="E57" i="3"/>
  <c r="E50" i="3"/>
  <c r="E45" i="3"/>
  <c r="E31" i="3"/>
  <c r="E25" i="3"/>
  <c r="D75" i="3"/>
  <c r="E10" i="8" l="1"/>
  <c r="E136" i="9"/>
  <c r="E9" i="9" s="1"/>
  <c r="D18" i="7"/>
  <c r="E132" i="9"/>
  <c r="E231" i="9" s="1"/>
  <c r="D15" i="4"/>
  <c r="D11" i="4"/>
  <c r="E50" i="8"/>
  <c r="E8" i="8"/>
  <c r="E12" i="13"/>
  <c r="E15" i="13"/>
  <c r="E71" i="9"/>
  <c r="E86" i="9"/>
  <c r="E145" i="9"/>
  <c r="E127" i="9"/>
  <c r="E141" i="9"/>
  <c r="E232" i="9" s="1"/>
  <c r="E489" i="2"/>
  <c r="E488" i="2" s="1"/>
  <c r="E38" i="5"/>
  <c r="E13" i="5"/>
  <c r="D67" i="6"/>
  <c r="E167" i="9"/>
  <c r="E226" i="6"/>
  <c r="E27" i="6"/>
  <c r="E39" i="6"/>
  <c r="E24" i="3"/>
  <c r="E44" i="3"/>
  <c r="E61" i="3"/>
  <c r="E73" i="3"/>
  <c r="E85" i="3"/>
  <c r="E97" i="3"/>
  <c r="E109" i="3"/>
  <c r="E94" i="6"/>
  <c r="E10" i="6" s="1"/>
  <c r="E119" i="6"/>
  <c r="E25" i="13"/>
  <c r="E34" i="13"/>
  <c r="E54" i="13"/>
  <c r="E66" i="13"/>
  <c r="E72" i="13"/>
  <c r="E10" i="13" s="1"/>
  <c r="D61" i="6"/>
  <c r="E88" i="6"/>
  <c r="D72" i="13"/>
  <c r="D77" i="13"/>
  <c r="E77" i="13"/>
  <c r="E44" i="9"/>
  <c r="E114" i="9"/>
  <c r="E62" i="9"/>
  <c r="E80" i="9"/>
  <c r="E92" i="9"/>
  <c r="E105" i="9"/>
  <c r="E108" i="7"/>
  <c r="E10" i="7"/>
  <c r="E60" i="6"/>
  <c r="E66" i="6"/>
  <c r="E220" i="6"/>
  <c r="E33" i="5"/>
  <c r="E10" i="4"/>
  <c r="E11" i="3"/>
  <c r="E10" i="3" s="1"/>
  <c r="E54" i="3"/>
  <c r="E67" i="3"/>
  <c r="P67" i="3" s="1"/>
  <c r="E79" i="3"/>
  <c r="E91" i="3"/>
  <c r="E103" i="3"/>
  <c r="E17" i="3"/>
  <c r="E495" i="2"/>
  <c r="E494" i="2" s="1"/>
  <c r="E11" i="13"/>
  <c r="E98" i="8"/>
  <c r="E97" i="8" s="1"/>
  <c r="B103" i="1" s="1"/>
  <c r="D83" i="3"/>
  <c r="D78" i="3"/>
  <c r="D142" i="3"/>
  <c r="D132" i="3"/>
  <c r="D120" i="3"/>
  <c r="E538" i="2"/>
  <c r="E537" i="2" s="1"/>
  <c r="E629" i="2"/>
  <c r="E628" i="2" s="1"/>
  <c r="E625" i="2"/>
  <c r="E624" i="2" s="1"/>
  <c r="E621" i="2"/>
  <c r="E620" i="2" s="1"/>
  <c r="E617" i="2"/>
  <c r="E616" i="2" s="1"/>
  <c r="E613" i="2"/>
  <c r="E612" i="2" s="1"/>
  <c r="E609" i="2"/>
  <c r="E608" i="2" s="1"/>
  <c r="E601" i="2"/>
  <c r="E600" i="2" s="1"/>
  <c r="E568" i="2"/>
  <c r="E567" i="2" s="1"/>
  <c r="E640" i="2" s="1"/>
  <c r="E564" i="2"/>
  <c r="E563" i="2" s="1"/>
  <c r="E560" i="2"/>
  <c r="E559" i="2" s="1"/>
  <c r="E526" i="2"/>
  <c r="E525" i="2" s="1"/>
  <c r="E522" i="2"/>
  <c r="E521" i="2" s="1"/>
  <c r="E518" i="2"/>
  <c r="E517" i="2" s="1"/>
  <c r="E514" i="2"/>
  <c r="E513" i="2" s="1"/>
  <c r="E506" i="2"/>
  <c r="E505" i="2" s="1"/>
  <c r="E502" i="2"/>
  <c r="E501" i="2" s="1"/>
  <c r="E421" i="2"/>
  <c r="E420" i="2" s="1"/>
  <c r="E415" i="2"/>
  <c r="E410" i="2"/>
  <c r="E400" i="2"/>
  <c r="E395" i="2"/>
  <c r="E391" i="2"/>
  <c r="E390" i="2" s="1"/>
  <c r="E388" i="2"/>
  <c r="E387" i="2"/>
  <c r="E382" i="2"/>
  <c r="E381" i="2" s="1"/>
  <c r="E379" i="2"/>
  <c r="E377" i="2"/>
  <c r="E8" i="9" l="1"/>
  <c r="E7" i="9" s="1"/>
  <c r="B102" i="1"/>
  <c r="E642" i="2"/>
  <c r="E643" i="2" s="1"/>
  <c r="E115" i="8"/>
  <c r="E386" i="2"/>
  <c r="E317" i="2"/>
  <c r="E316" i="2" s="1"/>
  <c r="E315" i="2" s="1"/>
  <c r="E8" i="3"/>
  <c r="E11" i="6"/>
  <c r="E9" i="6" s="1"/>
  <c r="E9" i="3"/>
  <c r="E9" i="13"/>
  <c r="E486" i="2"/>
  <c r="E376" i="2"/>
  <c r="E394" i="2"/>
  <c r="E487" i="2"/>
  <c r="E485" i="2" s="1"/>
  <c r="E385" i="2"/>
  <c r="E409" i="2"/>
  <c r="E373" i="2"/>
  <c r="E372" i="2" s="1"/>
  <c r="E370" i="2"/>
  <c r="E368" i="2"/>
  <c r="E364" i="2"/>
  <c r="E363" i="2" s="1"/>
  <c r="E361" i="2"/>
  <c r="E359" i="2"/>
  <c r="E355" i="2"/>
  <c r="E353" i="2"/>
  <c r="E350" i="2"/>
  <c r="E347" i="2"/>
  <c r="E342" i="2"/>
  <c r="E340" i="2"/>
  <c r="E338" i="2"/>
  <c r="E312" i="2"/>
  <c r="E309" i="2"/>
  <c r="E306" i="2"/>
  <c r="E302" i="2"/>
  <c r="E274" i="2"/>
  <c r="E272" i="2"/>
  <c r="E269" i="2"/>
  <c r="E266" i="2"/>
  <c r="E248" i="2"/>
  <c r="E250" i="2"/>
  <c r="E245" i="2"/>
  <c r="E242" i="2"/>
  <c r="E236" i="2"/>
  <c r="E238" i="2"/>
  <c r="E233" i="2"/>
  <c r="E230" i="2"/>
  <c r="E226" i="2"/>
  <c r="E224" i="2"/>
  <c r="E221" i="2"/>
  <c r="E218" i="2"/>
  <c r="E214" i="2"/>
  <c r="E212" i="2"/>
  <c r="E209" i="2"/>
  <c r="E206" i="2"/>
  <c r="E202" i="2"/>
  <c r="E200" i="2"/>
  <c r="E197" i="2"/>
  <c r="E194" i="2"/>
  <c r="E190" i="2"/>
  <c r="E187" i="2" s="1"/>
  <c r="E185" i="2"/>
  <c r="E182" i="2"/>
  <c r="E178" i="2"/>
  <c r="E173" i="2"/>
  <c r="E170" i="2"/>
  <c r="E166" i="2"/>
  <c r="E163" i="2" s="1"/>
  <c r="E161" i="2"/>
  <c r="E158" i="2"/>
  <c r="E134" i="2"/>
  <c r="E130" i="2"/>
  <c r="E125" i="2"/>
  <c r="E119" i="2"/>
  <c r="E115" i="2"/>
  <c r="E110" i="2"/>
  <c r="E109" i="2" s="1"/>
  <c r="E107" i="2"/>
  <c r="E105" i="2"/>
  <c r="D630" i="2"/>
  <c r="D626" i="2"/>
  <c r="D618" i="2"/>
  <c r="D602" i="2"/>
  <c r="D542" i="2"/>
  <c r="D527" i="2"/>
  <c r="D519" i="2"/>
  <c r="D516" i="2"/>
  <c r="D515" i="2"/>
  <c r="D507" i="2"/>
  <c r="D422" i="2"/>
  <c r="D392" i="2"/>
  <c r="D389" i="2"/>
  <c r="D387" i="2"/>
  <c r="D383" i="2"/>
  <c r="D380" i="2"/>
  <c r="D378" i="2"/>
  <c r="D354" i="2"/>
  <c r="D349" i="2"/>
  <c r="D303" i="2"/>
  <c r="D227" i="2"/>
  <c r="D225" i="2"/>
  <c r="D222" i="2"/>
  <c r="D220" i="2"/>
  <c r="D219" i="2"/>
  <c r="D215" i="2"/>
  <c r="D213" i="2"/>
  <c r="D210" i="2"/>
  <c r="D208" i="2"/>
  <c r="D140" i="2"/>
  <c r="D133" i="2"/>
  <c r="D132" i="2"/>
  <c r="D120" i="2"/>
  <c r="D111" i="2"/>
  <c r="D108" i="2"/>
  <c r="D100" i="2"/>
  <c r="D97" i="2"/>
  <c r="D95" i="2"/>
  <c r="D90" i="2"/>
  <c r="D88" i="2"/>
  <c r="D85" i="2"/>
  <c r="D83" i="2"/>
  <c r="D76" i="2"/>
  <c r="D73" i="2"/>
  <c r="D71" i="2"/>
  <c r="D78" i="2"/>
  <c r="D66" i="2"/>
  <c r="D63" i="2"/>
  <c r="D60" i="2"/>
  <c r="E8" i="13" l="1"/>
  <c r="E199" i="2"/>
  <c r="E205" i="2"/>
  <c r="E217" i="2"/>
  <c r="E223" i="2"/>
  <c r="E229" i="2"/>
  <c r="E241" i="2"/>
  <c r="E169" i="2"/>
  <c r="E175" i="2"/>
  <c r="E265" i="2"/>
  <c r="E271" i="2"/>
  <c r="E301" i="2"/>
  <c r="E308" i="2"/>
  <c r="E114" i="2"/>
  <c r="E104" i="2"/>
  <c r="E367" i="2"/>
  <c r="E247" i="2"/>
  <c r="E235" i="2"/>
  <c r="E346" i="2"/>
  <c r="E352" i="2"/>
  <c r="E358" i="2"/>
  <c r="E25" i="2"/>
  <c r="E122" i="2"/>
  <c r="E121" i="2" s="1"/>
  <c r="E129" i="2"/>
  <c r="E157" i="2"/>
  <c r="E193" i="2"/>
  <c r="E337" i="2"/>
  <c r="E211" i="2"/>
  <c r="E181" i="2"/>
  <c r="J325" i="2" l="1"/>
  <c r="I325" i="2"/>
  <c r="K323" i="2"/>
  <c r="J323" i="2"/>
  <c r="I323" i="2"/>
  <c r="H323" i="2"/>
  <c r="G323" i="2"/>
  <c r="F323" i="2"/>
  <c r="K325" i="2"/>
  <c r="G374" i="2"/>
  <c r="D619" i="2" l="1"/>
  <c r="D622" i="2"/>
  <c r="B136" i="1" l="1"/>
  <c r="E136" i="1"/>
  <c r="G497" i="2" l="1"/>
  <c r="H497" i="2"/>
  <c r="I497" i="2"/>
  <c r="J497" i="2"/>
  <c r="K497" i="2"/>
  <c r="L497" i="2"/>
  <c r="G491" i="2"/>
  <c r="H491" i="2"/>
  <c r="I491" i="2"/>
  <c r="J491" i="2"/>
  <c r="K491" i="2"/>
  <c r="L491" i="2"/>
  <c r="G609" i="2"/>
  <c r="H609" i="2"/>
  <c r="I609" i="2"/>
  <c r="J609" i="2"/>
  <c r="K609" i="2"/>
  <c r="L609" i="2"/>
  <c r="F610" i="2"/>
  <c r="F611" i="2"/>
  <c r="M611" i="2" s="1"/>
  <c r="F614" i="2"/>
  <c r="F613" i="2" s="1"/>
  <c r="F612" i="2" s="1"/>
  <c r="L613" i="2"/>
  <c r="L612" i="2" s="1"/>
  <c r="K613" i="2"/>
  <c r="J613" i="2"/>
  <c r="J612" i="2" s="1"/>
  <c r="I613" i="2"/>
  <c r="I612" i="2" s="1"/>
  <c r="H613" i="2"/>
  <c r="H612" i="2" s="1"/>
  <c r="G613" i="2"/>
  <c r="K612" i="2"/>
  <c r="G612" i="2"/>
  <c r="G523" i="2"/>
  <c r="N523" i="2" s="1"/>
  <c r="F523" i="2"/>
  <c r="D539" i="2"/>
  <c r="F541" i="2"/>
  <c r="F540" i="2" s="1"/>
  <c r="G541" i="2"/>
  <c r="G540" i="2" s="1"/>
  <c r="H541" i="2"/>
  <c r="H540" i="2" s="1"/>
  <c r="I541" i="2"/>
  <c r="I540" i="2" s="1"/>
  <c r="J541" i="2"/>
  <c r="J540" i="2" s="1"/>
  <c r="K541" i="2"/>
  <c r="K540" i="2" s="1"/>
  <c r="L541" i="2"/>
  <c r="L540" i="2" s="1"/>
  <c r="D541" i="2"/>
  <c r="D540" i="2" s="1"/>
  <c r="M523" i="2" l="1"/>
  <c r="M522" i="2" s="1"/>
  <c r="M521" i="2" s="1"/>
  <c r="M487" i="2" s="1"/>
  <c r="D610" i="2"/>
  <c r="M610" i="2"/>
  <c r="M609" i="2" s="1"/>
  <c r="M608" i="2" s="1"/>
  <c r="D523" i="2"/>
  <c r="N491" i="2"/>
  <c r="D614" i="2"/>
  <c r="D613" i="2" s="1"/>
  <c r="D612" i="2" s="1"/>
  <c r="F491" i="2"/>
  <c r="M491" i="2" s="1"/>
  <c r="D611" i="2"/>
  <c r="D491" i="2" s="1"/>
  <c r="F609" i="2"/>
  <c r="D497" i="2"/>
  <c r="F497" i="2"/>
  <c r="N66" i="9"/>
  <c r="N64" i="9"/>
  <c r="D64" i="9" l="1"/>
  <c r="M64" i="9"/>
  <c r="M63" i="9" s="1"/>
  <c r="D66" i="9"/>
  <c r="M66" i="9"/>
  <c r="M65" i="9" s="1"/>
  <c r="M62" i="9" s="1"/>
  <c r="D69" i="9"/>
  <c r="D171" i="9"/>
  <c r="D20" i="9"/>
  <c r="D68" i="9" l="1"/>
  <c r="D67" i="9" s="1"/>
  <c r="D23" i="9"/>
  <c r="N13" i="9"/>
  <c r="G370" i="2"/>
  <c r="G368" i="2"/>
  <c r="H373" i="2"/>
  <c r="H372" i="2" s="1"/>
  <c r="F374" i="2"/>
  <c r="D374" i="2" s="1"/>
  <c r="F371" i="2"/>
  <c r="F369" i="2"/>
  <c r="G359" i="2"/>
  <c r="H364" i="2"/>
  <c r="H363" i="2" s="1"/>
  <c r="G365" i="2"/>
  <c r="F365" i="2"/>
  <c r="G361" i="2"/>
  <c r="F362" i="2"/>
  <c r="G350" i="2"/>
  <c r="H355" i="2"/>
  <c r="H352" i="2" s="1"/>
  <c r="G356" i="2"/>
  <c r="D344" i="2"/>
  <c r="D341" i="2"/>
  <c r="D339" i="2"/>
  <c r="G358" i="2" l="1"/>
  <c r="D362" i="2"/>
  <c r="M362" i="2"/>
  <c r="M361" i="2" s="1"/>
  <c r="D369" i="2"/>
  <c r="M369" i="2"/>
  <c r="M368" i="2" s="1"/>
  <c r="D351" i="2"/>
  <c r="M351" i="2"/>
  <c r="M350" i="2" s="1"/>
  <c r="D348" i="2"/>
  <c r="M348" i="2"/>
  <c r="M347" i="2" s="1"/>
  <c r="D360" i="2"/>
  <c r="M360" i="2"/>
  <c r="M359" i="2" s="1"/>
  <c r="M358" i="2" s="1"/>
  <c r="D371" i="2"/>
  <c r="M371" i="2"/>
  <c r="M370" i="2" s="1"/>
  <c r="D365" i="2"/>
  <c r="D356" i="2"/>
  <c r="G367" i="2"/>
  <c r="G274" i="2"/>
  <c r="G271" i="2" s="1"/>
  <c r="F270" i="2"/>
  <c r="F275" i="2"/>
  <c r="D275" i="2" s="1"/>
  <c r="D267" i="2"/>
  <c r="D82" i="2"/>
  <c r="D56" i="2"/>
  <c r="D106" i="2"/>
  <c r="D94" i="2"/>
  <c r="M346" i="2" l="1"/>
  <c r="M367" i="2"/>
  <c r="D270" i="2"/>
  <c r="M270" i="2"/>
  <c r="M269" i="2" s="1"/>
  <c r="M265" i="2" s="1"/>
  <c r="N246" i="2"/>
  <c r="N243" i="2"/>
  <c r="D251" i="2"/>
  <c r="D127" i="2"/>
  <c r="D116" i="2"/>
  <c r="N234" i="2"/>
  <c r="N231" i="2"/>
  <c r="D239" i="2"/>
  <c r="D155" i="2"/>
  <c r="D150" i="2"/>
  <c r="D147" i="2"/>
  <c r="D174" i="2"/>
  <c r="D198" i="2"/>
  <c r="D195" i="2"/>
  <c r="D186" i="2"/>
  <c r="G167" i="2"/>
  <c r="G162" i="2"/>
  <c r="N162" i="2" s="1"/>
  <c r="G159" i="2"/>
  <c r="F167" i="2"/>
  <c r="F162" i="2"/>
  <c r="M162" i="2" s="1"/>
  <c r="M161" i="2" s="1"/>
  <c r="F159" i="2"/>
  <c r="D143" i="2"/>
  <c r="D136" i="2"/>
  <c r="G105" i="7"/>
  <c r="N105" i="7" s="1"/>
  <c r="F105" i="7"/>
  <c r="D124" i="7"/>
  <c r="K123" i="7"/>
  <c r="J123" i="7"/>
  <c r="I123" i="7"/>
  <c r="H123" i="7"/>
  <c r="G123" i="7"/>
  <c r="F123" i="7"/>
  <c r="K121" i="7"/>
  <c r="K120" i="7" s="1"/>
  <c r="J121" i="7"/>
  <c r="I121" i="7"/>
  <c r="I120" i="7" s="1"/>
  <c r="H121" i="7"/>
  <c r="H120" i="7" s="1"/>
  <c r="G121" i="7"/>
  <c r="G120" i="7" s="1"/>
  <c r="F121" i="7"/>
  <c r="N118" i="7"/>
  <c r="K118" i="7"/>
  <c r="J118" i="7"/>
  <c r="I118" i="7"/>
  <c r="H118" i="7"/>
  <c r="G118" i="7"/>
  <c r="F118" i="7"/>
  <c r="N115" i="7"/>
  <c r="N114" i="7" s="1"/>
  <c r="D115" i="7"/>
  <c r="K115" i="7"/>
  <c r="J115" i="7"/>
  <c r="I115" i="7"/>
  <c r="H115" i="7"/>
  <c r="G115" i="7"/>
  <c r="F115" i="7"/>
  <c r="I114" i="7"/>
  <c r="G26" i="7"/>
  <c r="F26" i="7"/>
  <c r="H54" i="9"/>
  <c r="H56" i="9"/>
  <c r="G57" i="9"/>
  <c r="N57" i="9" s="1"/>
  <c r="G55" i="9"/>
  <c r="N55" i="9" s="1"/>
  <c r="F57" i="9"/>
  <c r="F55" i="9"/>
  <c r="D51" i="9"/>
  <c r="D48" i="9"/>
  <c r="D46" i="9"/>
  <c r="H42" i="9"/>
  <c r="D42" i="9"/>
  <c r="D39" i="9"/>
  <c r="D37" i="9"/>
  <c r="H33" i="9"/>
  <c r="D28" i="9"/>
  <c r="G7" i="7" l="1"/>
  <c r="N26" i="7"/>
  <c r="F7" i="7"/>
  <c r="Q7" i="7" s="1"/>
  <c r="M26" i="7"/>
  <c r="D105" i="7"/>
  <c r="M103" i="7"/>
  <c r="M102" i="7" s="1"/>
  <c r="D55" i="9"/>
  <c r="M55" i="9"/>
  <c r="M54" i="9" s="1"/>
  <c r="D57" i="9"/>
  <c r="M57" i="9"/>
  <c r="M56" i="9" s="1"/>
  <c r="H53" i="9"/>
  <c r="N159" i="2"/>
  <c r="D231" i="2"/>
  <c r="M231" i="2"/>
  <c r="D243" i="2"/>
  <c r="M243" i="2"/>
  <c r="M242" i="2" s="1"/>
  <c r="M159" i="2"/>
  <c r="M158" i="2" s="1"/>
  <c r="M157" i="2" s="1"/>
  <c r="M234" i="2"/>
  <c r="M233" i="2" s="1"/>
  <c r="M229" i="2" s="1"/>
  <c r="M246" i="2"/>
  <c r="M245" i="2" s="1"/>
  <c r="D246" i="2"/>
  <c r="D42" i="2" s="1"/>
  <c r="D159" i="2"/>
  <c r="D167" i="2"/>
  <c r="D30" i="9"/>
  <c r="D33" i="9"/>
  <c r="D122" i="7"/>
  <c r="D121" i="7" s="1"/>
  <c r="D26" i="7"/>
  <c r="F114" i="7"/>
  <c r="H114" i="7"/>
  <c r="J114" i="7"/>
  <c r="F120" i="7"/>
  <c r="D162" i="2"/>
  <c r="D183" i="2"/>
  <c r="D191" i="2"/>
  <c r="D171" i="2"/>
  <c r="D179" i="2"/>
  <c r="D51" i="2" s="1"/>
  <c r="D234" i="2"/>
  <c r="G114" i="7"/>
  <c r="K114" i="7"/>
  <c r="J120" i="7"/>
  <c r="D123" i="7"/>
  <c r="E123" i="7"/>
  <c r="E118" i="7"/>
  <c r="E114" i="7" s="1"/>
  <c r="E121" i="7"/>
  <c r="F173" i="9"/>
  <c r="L177" i="9"/>
  <c r="K177" i="9"/>
  <c r="J177" i="9"/>
  <c r="I177" i="9"/>
  <c r="H177" i="9"/>
  <c r="G177" i="9"/>
  <c r="F177" i="9"/>
  <c r="L176" i="9"/>
  <c r="K176" i="9"/>
  <c r="J176" i="9"/>
  <c r="F176" i="9"/>
  <c r="D175" i="9"/>
  <c r="D174" i="9"/>
  <c r="L173" i="9"/>
  <c r="K173" i="9"/>
  <c r="J173" i="9"/>
  <c r="I173" i="9"/>
  <c r="H173" i="9"/>
  <c r="G173" i="9"/>
  <c r="L172" i="9"/>
  <c r="K172" i="9"/>
  <c r="J172" i="9"/>
  <c r="I172" i="9"/>
  <c r="H172" i="9"/>
  <c r="G172" i="9"/>
  <c r="F172" i="9"/>
  <c r="D170" i="9"/>
  <c r="L169" i="9"/>
  <c r="K169" i="9"/>
  <c r="K168" i="9" s="1"/>
  <c r="J169" i="9"/>
  <c r="I169" i="9"/>
  <c r="I168" i="9" s="1"/>
  <c r="H169" i="9"/>
  <c r="G169" i="9"/>
  <c r="G168" i="9" s="1"/>
  <c r="F169" i="9"/>
  <c r="L168" i="9"/>
  <c r="J168" i="9"/>
  <c r="H168" i="9"/>
  <c r="F168" i="9"/>
  <c r="M25" i="7" l="1"/>
  <c r="M24" i="7" s="1"/>
  <c r="M53" i="9"/>
  <c r="M241" i="2"/>
  <c r="K167" i="9"/>
  <c r="H176" i="9"/>
  <c r="J167" i="9"/>
  <c r="L167" i="9"/>
  <c r="D169" i="9"/>
  <c r="G176" i="9"/>
  <c r="I176" i="9"/>
  <c r="D173" i="9"/>
  <c r="D120" i="7"/>
  <c r="D119" i="7"/>
  <c r="D118" i="7" s="1"/>
  <c r="D114" i="7" s="1"/>
  <c r="H167" i="9"/>
  <c r="F167" i="9"/>
  <c r="I167" i="9"/>
  <c r="D176" i="9"/>
  <c r="D177" i="9"/>
  <c r="E120" i="7"/>
  <c r="G167" i="9"/>
  <c r="D172" i="9"/>
  <c r="I136" i="6"/>
  <c r="F131" i="6"/>
  <c r="D131" i="6" s="1"/>
  <c r="D168" i="9" l="1"/>
  <c r="D167" i="9" s="1"/>
  <c r="G136" i="6"/>
  <c r="G132" i="6"/>
  <c r="N132" i="6" s="1"/>
  <c r="G127" i="6"/>
  <c r="N127" i="6" s="1"/>
  <c r="H122" i="6"/>
  <c r="G122" i="6"/>
  <c r="G117" i="6"/>
  <c r="G112" i="6"/>
  <c r="G109" i="6"/>
  <c r="G108" i="6"/>
  <c r="K100" i="6"/>
  <c r="K96" i="6" s="1"/>
  <c r="D112" i="6" l="1"/>
  <c r="N112" i="6"/>
  <c r="F106" i="6"/>
  <c r="F102" i="6"/>
  <c r="D127" i="6"/>
  <c r="F81" i="6"/>
  <c r="D81" i="6" s="1"/>
  <c r="F79" i="6"/>
  <c r="F76" i="6"/>
  <c r="D76" i="6" s="1"/>
  <c r="F74" i="6"/>
  <c r="D74" i="6" s="1"/>
  <c r="D79" i="6" l="1"/>
  <c r="G87" i="9"/>
  <c r="D87" i="9" s="1"/>
  <c r="F87" i="9"/>
  <c r="D13" i="9"/>
  <c r="N82" i="9"/>
  <c r="N81" i="9" s="1"/>
  <c r="F81" i="9"/>
  <c r="G81" i="9"/>
  <c r="H81" i="9"/>
  <c r="I81" i="9"/>
  <c r="J81" i="9"/>
  <c r="K81" i="9"/>
  <c r="L81" i="9"/>
  <c r="G161" i="9"/>
  <c r="D161" i="9" s="1"/>
  <c r="F164" i="9"/>
  <c r="G164" i="9"/>
  <c r="H164" i="9"/>
  <c r="I164" i="9"/>
  <c r="J164" i="9"/>
  <c r="K164" i="9"/>
  <c r="L164" i="9"/>
  <c r="L163" i="9" s="1"/>
  <c r="F159" i="9"/>
  <c r="G159" i="9"/>
  <c r="H159" i="9"/>
  <c r="I159" i="9"/>
  <c r="J159" i="9"/>
  <c r="K159" i="9"/>
  <c r="L159" i="9"/>
  <c r="L158" i="9" s="1"/>
  <c r="D153" i="9"/>
  <c r="D152" i="9"/>
  <c r="D148" i="9"/>
  <c r="N161" i="9"/>
  <c r="N159" i="9"/>
  <c r="F155" i="9"/>
  <c r="G155" i="9"/>
  <c r="H155" i="9"/>
  <c r="I155" i="9"/>
  <c r="J155" i="9"/>
  <c r="K155" i="9"/>
  <c r="L155" i="9"/>
  <c r="N152" i="9"/>
  <c r="N153" i="9"/>
  <c r="F151" i="9"/>
  <c r="G151" i="9"/>
  <c r="G15" i="9" s="1"/>
  <c r="H151" i="9"/>
  <c r="H15" i="9" s="1"/>
  <c r="I151" i="9"/>
  <c r="I15" i="9" s="1"/>
  <c r="J151" i="9"/>
  <c r="J15" i="9" s="1"/>
  <c r="K151" i="9"/>
  <c r="K15" i="9" s="1"/>
  <c r="L151" i="9"/>
  <c r="L15" i="9" s="1"/>
  <c r="F147" i="9"/>
  <c r="G147" i="9"/>
  <c r="H147" i="9"/>
  <c r="I147" i="9"/>
  <c r="J147" i="9"/>
  <c r="K147" i="9"/>
  <c r="L147" i="9"/>
  <c r="K10" i="9" l="1"/>
  <c r="H163" i="9"/>
  <c r="F163" i="9"/>
  <c r="J163" i="9"/>
  <c r="L10" i="9"/>
  <c r="J10" i="9"/>
  <c r="I10" i="9"/>
  <c r="H10" i="9"/>
  <c r="G10" i="9"/>
  <c r="F15" i="9"/>
  <c r="M16" i="9"/>
  <c r="F10" i="9"/>
  <c r="M12" i="9"/>
  <c r="M11" i="9" s="1"/>
  <c r="F158" i="9"/>
  <c r="M82" i="9"/>
  <c r="M81" i="9" s="1"/>
  <c r="M151" i="9"/>
  <c r="M150" i="9" s="1"/>
  <c r="M145" i="9" s="1"/>
  <c r="N151" i="9"/>
  <c r="N150" i="9" s="1"/>
  <c r="N146" i="9"/>
  <c r="G163" i="9"/>
  <c r="D82" i="9"/>
  <c r="K154" i="9"/>
  <c r="I154" i="9"/>
  <c r="G154" i="9"/>
  <c r="K158" i="9"/>
  <c r="G158" i="9"/>
  <c r="D151" i="9"/>
  <c r="D147" i="9"/>
  <c r="L154" i="9"/>
  <c r="J154" i="9"/>
  <c r="H154" i="9"/>
  <c r="F154" i="9"/>
  <c r="I158" i="9"/>
  <c r="J158" i="9"/>
  <c r="H158" i="9"/>
  <c r="K163" i="9"/>
  <c r="I163" i="9"/>
  <c r="K150" i="9"/>
  <c r="I150" i="9"/>
  <c r="G150" i="9"/>
  <c r="L150" i="9"/>
  <c r="J150" i="9"/>
  <c r="H150" i="9"/>
  <c r="F150" i="9"/>
  <c r="D150" i="9" s="1"/>
  <c r="L146" i="9"/>
  <c r="J146" i="9"/>
  <c r="H146" i="9"/>
  <c r="K146" i="9"/>
  <c r="I146" i="9"/>
  <c r="G146" i="9"/>
  <c r="D159" i="9"/>
  <c r="D155" i="9"/>
  <c r="D164" i="9"/>
  <c r="D158" i="9"/>
  <c r="N158" i="9"/>
  <c r="K145" i="9"/>
  <c r="G145" i="9"/>
  <c r="L145" i="9"/>
  <c r="F146" i="9"/>
  <c r="F105" i="13"/>
  <c r="H105" i="13"/>
  <c r="I105" i="13"/>
  <c r="J105" i="13"/>
  <c r="K105" i="13"/>
  <c r="L105" i="13"/>
  <c r="N629" i="2"/>
  <c r="N628" i="2" s="1"/>
  <c r="F629" i="2"/>
  <c r="F628" i="2" s="1"/>
  <c r="G629" i="2"/>
  <c r="G628" i="2" s="1"/>
  <c r="H629" i="2"/>
  <c r="H628" i="2" s="1"/>
  <c r="I629" i="2"/>
  <c r="I628" i="2" s="1"/>
  <c r="J629" i="2"/>
  <c r="J628" i="2" s="1"/>
  <c r="J487" i="2" s="1"/>
  <c r="K629" i="2"/>
  <c r="K628" i="2" s="1"/>
  <c r="K487" i="2" s="1"/>
  <c r="L629" i="2"/>
  <c r="L628" i="2" s="1"/>
  <c r="L487" i="2" s="1"/>
  <c r="D629" i="2"/>
  <c r="D628" i="2" s="1"/>
  <c r="I504" i="2"/>
  <c r="I503" i="2"/>
  <c r="H504" i="2"/>
  <c r="H503" i="2"/>
  <c r="G504" i="2"/>
  <c r="N504" i="2" s="1"/>
  <c r="G503" i="2"/>
  <c r="N503" i="2" s="1"/>
  <c r="F504" i="2"/>
  <c r="F503" i="2"/>
  <c r="I569" i="2"/>
  <c r="I496" i="2" s="1"/>
  <c r="H569" i="2"/>
  <c r="H496" i="2" s="1"/>
  <c r="G569" i="2"/>
  <c r="G496" i="2" s="1"/>
  <c r="F569" i="2"/>
  <c r="I565" i="2"/>
  <c r="H565" i="2"/>
  <c r="G565" i="2"/>
  <c r="N565" i="2" s="1"/>
  <c r="F565" i="2"/>
  <c r="M565" i="2" s="1"/>
  <c r="D163" i="9" l="1"/>
  <c r="D146" i="9"/>
  <c r="D503" i="2"/>
  <c r="M503" i="2"/>
  <c r="D504" i="2"/>
  <c r="M504" i="2"/>
  <c r="N145" i="9"/>
  <c r="D565" i="2"/>
  <c r="H145" i="9"/>
  <c r="D154" i="9"/>
  <c r="J145" i="9"/>
  <c r="I145" i="9"/>
  <c r="F496" i="2"/>
  <c r="D569" i="2"/>
  <c r="D145" i="9"/>
  <c r="F145" i="9"/>
  <c r="M502" i="2" l="1"/>
  <c r="M501" i="2" s="1"/>
  <c r="L10" i="13" l="1"/>
  <c r="K10" i="13"/>
  <c r="J10" i="13"/>
  <c r="I10" i="13"/>
  <c r="H10" i="13"/>
  <c r="G10" i="13"/>
  <c r="H20" i="13"/>
  <c r="I20" i="13"/>
  <c r="J20" i="13"/>
  <c r="K20" i="13"/>
  <c r="D16" i="4" l="1"/>
  <c r="G68" i="13" l="1"/>
  <c r="G70" i="13"/>
  <c r="D70" i="13" s="1"/>
  <c r="H23" i="13"/>
  <c r="G23" i="13"/>
  <c r="F23" i="13"/>
  <c r="F73" i="13"/>
  <c r="F75" i="13"/>
  <c r="G78" i="13"/>
  <c r="G80" i="13"/>
  <c r="G412" i="2"/>
  <c r="H412" i="2"/>
  <c r="I412" i="2"/>
  <c r="F412" i="2"/>
  <c r="F417" i="2"/>
  <c r="G417" i="2"/>
  <c r="H417" i="2"/>
  <c r="I417" i="2"/>
  <c r="J317" i="2"/>
  <c r="K320" i="2"/>
  <c r="J320" i="2"/>
  <c r="L325" i="2"/>
  <c r="M417" i="2" l="1"/>
  <c r="M412" i="2"/>
  <c r="D68" i="13"/>
  <c r="D20" i="13" s="1"/>
  <c r="G20" i="13"/>
  <c r="F72" i="13"/>
  <c r="D417" i="2"/>
  <c r="G77" i="13"/>
  <c r="G105" i="13" l="1"/>
  <c r="D105" i="13"/>
  <c r="F10" i="13"/>
  <c r="M10" i="13" s="1"/>
  <c r="D412" i="2"/>
  <c r="D413" i="2"/>
  <c r="D414" i="2"/>
  <c r="N412" i="2"/>
  <c r="N413" i="2"/>
  <c r="N414" i="2"/>
  <c r="G411" i="2"/>
  <c r="H411" i="2"/>
  <c r="I411" i="2"/>
  <c r="I317" i="2" s="1"/>
  <c r="F411" i="2"/>
  <c r="M411" i="2" s="1"/>
  <c r="M410" i="2" s="1"/>
  <c r="N417" i="2"/>
  <c r="N418" i="2"/>
  <c r="N419" i="2"/>
  <c r="G416" i="2"/>
  <c r="H416" i="2"/>
  <c r="I416" i="2"/>
  <c r="I320" i="2" s="1"/>
  <c r="F416" i="2"/>
  <c r="D421" i="2"/>
  <c r="D420" i="2" s="1"/>
  <c r="H421" i="2"/>
  <c r="I421" i="2"/>
  <c r="G421" i="2"/>
  <c r="M416" i="2" l="1"/>
  <c r="M415" i="2" s="1"/>
  <c r="M409" i="2" s="1"/>
  <c r="N416" i="2"/>
  <c r="N415" i="2" s="1"/>
  <c r="D411" i="2"/>
  <c r="N411" i="2"/>
  <c r="N410" i="2" s="1"/>
  <c r="N409" i="2" s="1"/>
  <c r="D416" i="2"/>
  <c r="F415" i="2"/>
  <c r="I420" i="2"/>
  <c r="G420" i="2"/>
  <c r="H420" i="2"/>
  <c r="H410" i="2"/>
  <c r="I410" i="2"/>
  <c r="G410" i="2"/>
  <c r="F410" i="2"/>
  <c r="G415" i="2"/>
  <c r="H415" i="2"/>
  <c r="I415" i="2"/>
  <c r="D415" i="2" l="1"/>
  <c r="H409" i="2"/>
  <c r="G409" i="2"/>
  <c r="F409" i="2"/>
  <c r="D410" i="2"/>
  <c r="I409" i="2"/>
  <c r="D409" i="2" l="1"/>
  <c r="D55" i="6" l="1"/>
  <c r="D57" i="6"/>
  <c r="G55" i="6"/>
  <c r="H55" i="6"/>
  <c r="I55" i="6"/>
  <c r="J55" i="6"/>
  <c r="F55" i="6"/>
  <c r="G57" i="6"/>
  <c r="H57" i="6"/>
  <c r="I57" i="6"/>
  <c r="J57" i="6"/>
  <c r="F57" i="6"/>
  <c r="F41" i="6"/>
  <c r="G41" i="6"/>
  <c r="H41" i="6"/>
  <c r="I41" i="6"/>
  <c r="F45" i="6"/>
  <c r="G45" i="6"/>
  <c r="H45" i="6"/>
  <c r="H15" i="6" s="1"/>
  <c r="I45" i="6"/>
  <c r="I15" i="6" s="1"/>
  <c r="F50" i="6"/>
  <c r="G50" i="6"/>
  <c r="H50" i="6"/>
  <c r="H49" i="6" s="1"/>
  <c r="I50" i="6"/>
  <c r="I49" i="6" s="1"/>
  <c r="F61" i="6"/>
  <c r="D45" i="6" l="1"/>
  <c r="M50" i="6"/>
  <c r="M49" i="6" s="1"/>
  <c r="M45" i="6"/>
  <c r="M41" i="6"/>
  <c r="N45" i="6"/>
  <c r="G49" i="6"/>
  <c r="N50" i="6"/>
  <c r="N49" i="6" s="1"/>
  <c r="N41" i="6"/>
  <c r="F49" i="6"/>
  <c r="D50" i="6"/>
  <c r="D49" i="6" s="1"/>
  <c r="D41" i="6"/>
  <c r="J54" i="6"/>
  <c r="H54" i="6"/>
  <c r="F54" i="6"/>
  <c r="I54" i="6"/>
  <c r="G54" i="6"/>
  <c r="D54" i="6"/>
  <c r="I40" i="6"/>
  <c r="G40" i="6"/>
  <c r="H40" i="6"/>
  <c r="F40" i="6"/>
  <c r="N40" i="6" l="1"/>
  <c r="M40" i="6"/>
  <c r="M39" i="6" s="1"/>
  <c r="F39" i="6"/>
  <c r="H39" i="6"/>
  <c r="I39" i="6"/>
  <c r="G39" i="6"/>
  <c r="D40" i="6"/>
  <c r="D39" i="6" s="1"/>
  <c r="N39" i="6"/>
  <c r="H172" i="6" l="1"/>
  <c r="N172" i="6"/>
  <c r="N171" i="6" s="1"/>
  <c r="G176" i="6"/>
  <c r="N176" i="6" s="1"/>
  <c r="N177" i="6"/>
  <c r="G183" i="6"/>
  <c r="N199" i="6"/>
  <c r="I200" i="6"/>
  <c r="H200" i="6"/>
  <c r="I207" i="6"/>
  <c r="H207" i="6"/>
  <c r="N175" i="6" l="1"/>
  <c r="N174" i="6" s="1"/>
  <c r="F570" i="2" l="1"/>
  <c r="D570" i="2" s="1"/>
  <c r="F566" i="2"/>
  <c r="D566" i="2" l="1"/>
  <c r="M566" i="2"/>
  <c r="M564" i="2" s="1"/>
  <c r="M563" i="2" s="1"/>
  <c r="M486" i="2" s="1"/>
  <c r="M485" i="2" s="1"/>
  <c r="G498" i="2"/>
  <c r="H498" i="2"/>
  <c r="I498" i="2"/>
  <c r="J498" i="2"/>
  <c r="K498" i="2"/>
  <c r="L498" i="2"/>
  <c r="L492" i="2"/>
  <c r="K492" i="2"/>
  <c r="J492" i="2"/>
  <c r="I492" i="2"/>
  <c r="H492" i="2"/>
  <c r="G492" i="2"/>
  <c r="F492" i="2"/>
  <c r="F498" i="2"/>
  <c r="F621" i="2"/>
  <c r="F620" i="2" s="1"/>
  <c r="D621" i="2"/>
  <c r="L617" i="2"/>
  <c r="K617" i="2"/>
  <c r="J617" i="2"/>
  <c r="I617" i="2"/>
  <c r="H617" i="2"/>
  <c r="G617" i="2"/>
  <c r="M492" i="2" l="1"/>
  <c r="N492" i="2"/>
  <c r="F617" i="2"/>
  <c r="D620" i="2"/>
  <c r="H118" i="9" l="1"/>
  <c r="H122" i="9"/>
  <c r="D122" i="9"/>
  <c r="D118" i="9"/>
  <c r="H117" i="9"/>
  <c r="G117" i="9"/>
  <c r="H121" i="9"/>
  <c r="G121" i="9"/>
  <c r="F117" i="9"/>
  <c r="D117" i="9" s="1"/>
  <c r="F121" i="9"/>
  <c r="D121" i="9" s="1"/>
  <c r="J41" i="13" l="1"/>
  <c r="D32" i="13" l="1"/>
  <c r="I23" i="13"/>
  <c r="D41" i="13"/>
  <c r="J23" i="13"/>
  <c r="K104" i="13" l="1"/>
  <c r="L104" i="13"/>
  <c r="L106" i="13" s="1"/>
  <c r="K106" i="13"/>
  <c r="J633" i="2"/>
  <c r="K633" i="2"/>
  <c r="L633" i="2"/>
  <c r="G29" i="6" l="1"/>
  <c r="G34" i="6"/>
  <c r="F34" i="6"/>
  <c r="D29" i="6" l="1"/>
  <c r="N29" i="6"/>
  <c r="M85" i="9"/>
  <c r="M84" i="9" s="1"/>
  <c r="M80" i="9" s="1"/>
  <c r="F72" i="9"/>
  <c r="N85" i="9" l="1"/>
  <c r="D85" i="9"/>
  <c r="D90" i="9"/>
  <c r="D131" i="2"/>
  <c r="D89" i="9" l="1"/>
  <c r="D86" i="9" s="1"/>
  <c r="F84" i="6"/>
  <c r="F86" i="6"/>
  <c r="F89" i="6"/>
  <c r="F91" i="6"/>
  <c r="F88" i="6" l="1"/>
  <c r="F83" i="6"/>
  <c r="I84" i="13"/>
  <c r="J84" i="13"/>
  <c r="K84" i="13"/>
  <c r="L84" i="13"/>
  <c r="N99" i="13"/>
  <c r="N98" i="13" s="1"/>
  <c r="Q97" i="13" s="1"/>
  <c r="H99" i="13"/>
  <c r="H98" i="13" s="1"/>
  <c r="G99" i="13"/>
  <c r="G98" i="13" s="1"/>
  <c r="F99" i="13"/>
  <c r="F98" i="13" s="1"/>
  <c r="D99" i="13" l="1"/>
  <c r="D98" i="13" s="1"/>
  <c r="N34" i="6"/>
  <c r="N33" i="6"/>
  <c r="K31" i="6"/>
  <c r="J31" i="6"/>
  <c r="I31" i="6"/>
  <c r="H31" i="6"/>
  <c r="G31" i="6"/>
  <c r="F31" i="6"/>
  <c r="M31" i="6" l="1"/>
  <c r="N31" i="6"/>
  <c r="M30" i="6"/>
  <c r="M27" i="6" s="1"/>
  <c r="D31" i="6"/>
  <c r="D50" i="9"/>
  <c r="D49" i="9" s="1"/>
  <c r="H50" i="9"/>
  <c r="G50" i="9"/>
  <c r="G49" i="9" s="1"/>
  <c r="F50" i="9"/>
  <c r="F49" i="9" s="1"/>
  <c r="H49" i="9"/>
  <c r="G47" i="9"/>
  <c r="N47" i="9"/>
  <c r="D47" i="9"/>
  <c r="F47" i="9"/>
  <c r="N45" i="9"/>
  <c r="G45" i="9"/>
  <c r="N44" i="9" l="1"/>
  <c r="G44" i="9"/>
  <c r="D45" i="9"/>
  <c r="D44" i="9" s="1"/>
  <c r="F45" i="9"/>
  <c r="F44" i="9" l="1"/>
  <c r="H255" i="6"/>
  <c r="G255" i="6"/>
  <c r="N255" i="6" s="1"/>
  <c r="L124" i="3" l="1"/>
  <c r="K124" i="3"/>
  <c r="J124" i="3"/>
  <c r="I124" i="3"/>
  <c r="L123" i="3"/>
  <c r="K123" i="3"/>
  <c r="J123" i="3"/>
  <c r="I123" i="3"/>
  <c r="L122" i="3"/>
  <c r="K122" i="3"/>
  <c r="J122" i="3"/>
  <c r="I122" i="3"/>
  <c r="H124" i="3"/>
  <c r="G124" i="3"/>
  <c r="F124" i="3"/>
  <c r="G123" i="3"/>
  <c r="H123" i="3"/>
  <c r="D141" i="3"/>
  <c r="D140" i="3" s="1"/>
  <c r="L141" i="3"/>
  <c r="L140" i="3" s="1"/>
  <c r="K141" i="3"/>
  <c r="J141" i="3"/>
  <c r="J140" i="3" s="1"/>
  <c r="I141" i="3"/>
  <c r="I140" i="3" s="1"/>
  <c r="H141" i="3"/>
  <c r="H140" i="3" s="1"/>
  <c r="G141" i="3"/>
  <c r="F141" i="3"/>
  <c r="F140" i="3" s="1"/>
  <c r="K140" i="3"/>
  <c r="G140" i="3"/>
  <c r="L136" i="3"/>
  <c r="N136" i="3" s="1"/>
  <c r="J135" i="3"/>
  <c r="I135" i="3"/>
  <c r="H135" i="3"/>
  <c r="K135" i="3"/>
  <c r="G135" i="3"/>
  <c r="D131" i="3"/>
  <c r="D130" i="3" s="1"/>
  <c r="L131" i="3"/>
  <c r="L130" i="3" s="1"/>
  <c r="K131" i="3"/>
  <c r="J131" i="3"/>
  <c r="I131" i="3"/>
  <c r="H131" i="3"/>
  <c r="G131" i="3"/>
  <c r="F131" i="3"/>
  <c r="D119" i="3"/>
  <c r="D118" i="3" s="1"/>
  <c r="L119" i="3"/>
  <c r="L118" i="3" s="1"/>
  <c r="K119" i="3"/>
  <c r="K118" i="3" s="1"/>
  <c r="J119" i="3"/>
  <c r="J118" i="3" s="1"/>
  <c r="I119" i="3"/>
  <c r="H119" i="3"/>
  <c r="G119" i="3"/>
  <c r="F119" i="3"/>
  <c r="D117" i="3"/>
  <c r="D116" i="3"/>
  <c r="L115" i="3"/>
  <c r="K115" i="3"/>
  <c r="K114" i="3" s="1"/>
  <c r="J115" i="3"/>
  <c r="J114" i="3" s="1"/>
  <c r="I115" i="3"/>
  <c r="H115" i="3"/>
  <c r="G115" i="3"/>
  <c r="F115" i="3"/>
  <c r="M115" i="3" s="1"/>
  <c r="M114" i="3" s="1"/>
  <c r="D113" i="3"/>
  <c r="D112" i="3"/>
  <c r="L111" i="3"/>
  <c r="L110" i="3" s="1"/>
  <c r="K111" i="3"/>
  <c r="K110" i="3" s="1"/>
  <c r="J111" i="3"/>
  <c r="J110" i="3" s="1"/>
  <c r="I111" i="3"/>
  <c r="I110" i="3" s="1"/>
  <c r="H111" i="3"/>
  <c r="H110" i="3" s="1"/>
  <c r="G111" i="3"/>
  <c r="F111" i="3"/>
  <c r="M124" i="3" l="1"/>
  <c r="M123" i="3" s="1"/>
  <c r="M122" i="3" s="1"/>
  <c r="D124" i="3"/>
  <c r="M111" i="3"/>
  <c r="M110" i="3" s="1"/>
  <c r="M109" i="3" s="1"/>
  <c r="N124" i="3"/>
  <c r="G110" i="3"/>
  <c r="N111" i="3"/>
  <c r="N115" i="3"/>
  <c r="L135" i="3"/>
  <c r="L134" i="3" s="1"/>
  <c r="D136" i="3"/>
  <c r="P137" i="3" s="1"/>
  <c r="F130" i="3"/>
  <c r="J130" i="3"/>
  <c r="F123" i="3"/>
  <c r="F122" i="3" s="1"/>
  <c r="D115" i="3"/>
  <c r="D111" i="3"/>
  <c r="H130" i="3"/>
  <c r="J109" i="3"/>
  <c r="G118" i="3"/>
  <c r="I118" i="3"/>
  <c r="G130" i="3"/>
  <c r="I130" i="3"/>
  <c r="K130" i="3"/>
  <c r="G134" i="3"/>
  <c r="H134" i="3"/>
  <c r="J134" i="3"/>
  <c r="F118" i="3"/>
  <c r="H118" i="3"/>
  <c r="H122" i="3"/>
  <c r="K134" i="3"/>
  <c r="I134" i="3"/>
  <c r="G122" i="3"/>
  <c r="G114" i="3"/>
  <c r="I114" i="3"/>
  <c r="I109" i="3" s="1"/>
  <c r="N110" i="3"/>
  <c r="F135" i="3"/>
  <c r="D123" i="3"/>
  <c r="D122" i="3" s="1"/>
  <c r="H114" i="3"/>
  <c r="H109" i="3" s="1"/>
  <c r="L114" i="3"/>
  <c r="L109" i="3" s="1"/>
  <c r="G109" i="3"/>
  <c r="K109" i="3"/>
  <c r="F114" i="3"/>
  <c r="F110" i="3"/>
  <c r="F134" i="3" l="1"/>
  <c r="F109" i="3"/>
  <c r="N135" i="3"/>
  <c r="N134" i="3" s="1"/>
  <c r="D135" i="3"/>
  <c r="D134" i="3" s="1"/>
  <c r="N123" i="3"/>
  <c r="N122" i="3" s="1"/>
  <c r="N114" i="3"/>
  <c r="N109" i="3" s="1"/>
  <c r="D114" i="3"/>
  <c r="D110" i="3"/>
  <c r="D109" i="3" l="1"/>
  <c r="J490" i="2"/>
  <c r="K490" i="2"/>
  <c r="L490" i="2"/>
  <c r="N625" i="2"/>
  <c r="N624" i="2" s="1"/>
  <c r="D625" i="2"/>
  <c r="D624" i="2" s="1"/>
  <c r="I625" i="2"/>
  <c r="H625" i="2"/>
  <c r="H624" i="2" s="1"/>
  <c r="G625" i="2"/>
  <c r="F625" i="2"/>
  <c r="F624" i="2" s="1"/>
  <c r="I624" i="2"/>
  <c r="G624" i="2"/>
  <c r="L111" i="6" l="1"/>
  <c r="P105" i="6" l="1"/>
  <c r="P95" i="6"/>
  <c r="P94" i="6" l="1"/>
  <c r="J486" i="2"/>
  <c r="K486" i="2"/>
  <c r="L486" i="2"/>
  <c r="F493" i="2"/>
  <c r="G493" i="2"/>
  <c r="H493" i="2"/>
  <c r="I493" i="2"/>
  <c r="J493" i="2"/>
  <c r="K493" i="2"/>
  <c r="L493" i="2"/>
  <c r="F499" i="2"/>
  <c r="C79" i="1" s="1"/>
  <c r="G499" i="2"/>
  <c r="D79" i="1" s="1"/>
  <c r="H499" i="2"/>
  <c r="E79" i="1" s="1"/>
  <c r="I499" i="2"/>
  <c r="F79" i="1" s="1"/>
  <c r="J499" i="2"/>
  <c r="G79" i="1" s="1"/>
  <c r="K499" i="2"/>
  <c r="H79" i="1" s="1"/>
  <c r="L499" i="2"/>
  <c r="I79" i="1" s="1"/>
  <c r="H502" i="2"/>
  <c r="H501" i="2" s="1"/>
  <c r="I502" i="2"/>
  <c r="I501" i="2" s="1"/>
  <c r="D506" i="2"/>
  <c r="D505" i="2" s="1"/>
  <c r="G502" i="2"/>
  <c r="F506" i="2"/>
  <c r="F505" i="2" s="1"/>
  <c r="G506" i="2"/>
  <c r="G505" i="2" s="1"/>
  <c r="H506" i="2"/>
  <c r="H505" i="2" s="1"/>
  <c r="I506" i="2"/>
  <c r="I505" i="2" s="1"/>
  <c r="J506" i="2"/>
  <c r="J505" i="2" s="1"/>
  <c r="K506" i="2"/>
  <c r="K505" i="2" s="1"/>
  <c r="L506" i="2"/>
  <c r="L505" i="2" s="1"/>
  <c r="D493" i="2"/>
  <c r="M493" i="2" l="1"/>
  <c r="N493" i="2"/>
  <c r="D499" i="2"/>
  <c r="N502" i="2"/>
  <c r="F502" i="2"/>
  <c r="F294" i="2" l="1"/>
  <c r="F299" i="2"/>
  <c r="F292" i="2"/>
  <c r="I313" i="2"/>
  <c r="G313" i="2"/>
  <c r="F313" i="2"/>
  <c r="G310" i="2"/>
  <c r="F310" i="2"/>
  <c r="I307" i="2"/>
  <c r="G307" i="2"/>
  <c r="F307" i="2"/>
  <c r="M307" i="2" s="1"/>
  <c r="M306" i="2" s="1"/>
  <c r="I304" i="2"/>
  <c r="G304" i="2"/>
  <c r="F304" i="2"/>
  <c r="M304" i="2" l="1"/>
  <c r="M302" i="2" s="1"/>
  <c r="M301" i="2" s="1"/>
  <c r="D292" i="2"/>
  <c r="M292" i="2"/>
  <c r="M290" i="2" s="1"/>
  <c r="D294" i="2"/>
  <c r="M294" i="2"/>
  <c r="M293" i="2" s="1"/>
  <c r="D304" i="2"/>
  <c r="N307" i="2"/>
  <c r="D310" i="2"/>
  <c r="D299" i="2"/>
  <c r="D313" i="2"/>
  <c r="D307" i="2"/>
  <c r="M289" i="2" l="1"/>
  <c r="F54" i="4"/>
  <c r="F53" i="4" s="1"/>
  <c r="G54" i="4"/>
  <c r="G53" i="4" s="1"/>
  <c r="H54" i="4"/>
  <c r="H53" i="4" s="1"/>
  <c r="I54" i="4"/>
  <c r="I53" i="4" s="1"/>
  <c r="J54" i="4"/>
  <c r="J53" i="4" s="1"/>
  <c r="K54" i="4"/>
  <c r="K53" i="4" s="1"/>
  <c r="L54" i="4"/>
  <c r="L53" i="4" s="1"/>
  <c r="N54" i="4" l="1"/>
  <c r="N53" i="4" s="1"/>
  <c r="D54" i="4"/>
  <c r="D53" i="4" s="1"/>
  <c r="H94" i="9" l="1"/>
  <c r="M94" i="9" l="1"/>
  <c r="M93" i="9" s="1"/>
  <c r="N94" i="9"/>
  <c r="D94" i="9"/>
  <c r="D12" i="9" s="1"/>
  <c r="D11" i="9" s="1"/>
  <c r="H98" i="9"/>
  <c r="F98" i="9"/>
  <c r="M98" i="9" s="1"/>
  <c r="M97" i="9" s="1"/>
  <c r="N98" i="9" l="1"/>
  <c r="M92" i="9"/>
  <c r="D98" i="9"/>
  <c r="D16" i="9" s="1"/>
  <c r="P23" i="9" s="1"/>
  <c r="M15" i="9"/>
  <c r="G137" i="9" l="1"/>
  <c r="F107" i="3" l="1"/>
  <c r="D107" i="3" s="1"/>
  <c r="F102" i="3"/>
  <c r="D102" i="3" s="1"/>
  <c r="F99" i="3"/>
  <c r="D99" i="3" s="1"/>
  <c r="N90" i="3"/>
  <c r="N87" i="3"/>
  <c r="F95" i="3"/>
  <c r="D95" i="3" s="1"/>
  <c r="F90" i="3"/>
  <c r="D90" i="3" s="1"/>
  <c r="F87" i="3"/>
  <c r="D87" i="3" s="1"/>
  <c r="P87" i="3" l="1"/>
  <c r="D139" i="9"/>
  <c r="D142" i="9"/>
  <c r="D141" i="9" s="1"/>
  <c r="D232" i="9" s="1"/>
  <c r="N128" i="9"/>
  <c r="N130" i="9"/>
  <c r="D128" i="9"/>
  <c r="G128" i="9"/>
  <c r="H128" i="9"/>
  <c r="F128" i="9"/>
  <c r="D130" i="9"/>
  <c r="G130" i="9"/>
  <c r="H130" i="9"/>
  <c r="F130" i="9"/>
  <c r="G133" i="9"/>
  <c r="H133" i="9"/>
  <c r="F133" i="9"/>
  <c r="D133" i="9"/>
  <c r="D132" i="9" s="1"/>
  <c r="N137" i="9"/>
  <c r="N139" i="9"/>
  <c r="H137" i="9"/>
  <c r="I137" i="9"/>
  <c r="F137" i="9"/>
  <c r="D137" i="9"/>
  <c r="G139" i="9"/>
  <c r="H139" i="9"/>
  <c r="I139" i="9"/>
  <c r="F139" i="9"/>
  <c r="G142" i="9"/>
  <c r="H142" i="9"/>
  <c r="I142" i="9"/>
  <c r="F142" i="9"/>
  <c r="G58" i="13"/>
  <c r="G401" i="2"/>
  <c r="H401" i="2"/>
  <c r="H320" i="2" s="1"/>
  <c r="H319" i="2" s="1"/>
  <c r="J31" i="2"/>
  <c r="I31" i="2"/>
  <c r="K31" i="2"/>
  <c r="L31" i="2"/>
  <c r="L320" i="2"/>
  <c r="F18" i="3"/>
  <c r="H18" i="3"/>
  <c r="K18" i="3"/>
  <c r="G22" i="6"/>
  <c r="F22" i="6"/>
  <c r="N219" i="6"/>
  <c r="G15" i="6"/>
  <c r="F15" i="6"/>
  <c r="N215" i="6"/>
  <c r="L136" i="6"/>
  <c r="K136" i="6"/>
  <c r="J136" i="6"/>
  <c r="G128" i="6"/>
  <c r="N128" i="6" s="1"/>
  <c r="F128" i="6"/>
  <c r="L123" i="6"/>
  <c r="K123" i="6"/>
  <c r="K121" i="6" s="1"/>
  <c r="J123" i="6"/>
  <c r="I123" i="6"/>
  <c r="I121" i="6" s="1"/>
  <c r="H123" i="6"/>
  <c r="G123" i="6"/>
  <c r="G121" i="6" s="1"/>
  <c r="F123" i="6"/>
  <c r="L133" i="6"/>
  <c r="L125" i="6" s="1"/>
  <c r="K133" i="6"/>
  <c r="K125" i="6" s="1"/>
  <c r="J133" i="6"/>
  <c r="J125" i="6" s="1"/>
  <c r="I133" i="6"/>
  <c r="I125" i="6" s="1"/>
  <c r="H133" i="6"/>
  <c r="H125" i="6" s="1"/>
  <c r="G133" i="6"/>
  <c r="F133" i="6"/>
  <c r="F132" i="6"/>
  <c r="F122" i="6"/>
  <c r="K117" i="6"/>
  <c r="J117" i="6"/>
  <c r="J116" i="6" s="1"/>
  <c r="J115" i="6" s="1"/>
  <c r="H116" i="6"/>
  <c r="H115" i="6" s="1"/>
  <c r="F116" i="6"/>
  <c r="F115" i="6" s="1"/>
  <c r="L114" i="6"/>
  <c r="K114" i="6"/>
  <c r="J114" i="6"/>
  <c r="I114" i="6"/>
  <c r="H114" i="6"/>
  <c r="G114" i="6"/>
  <c r="G113" i="6"/>
  <c r="N113" i="6" s="1"/>
  <c r="K111" i="6"/>
  <c r="J111" i="6"/>
  <c r="I111" i="6"/>
  <c r="H111" i="6"/>
  <c r="G111" i="6"/>
  <c r="L110" i="6"/>
  <c r="K110" i="6"/>
  <c r="J110" i="6"/>
  <c r="I110" i="6"/>
  <c r="H110" i="6"/>
  <c r="G110" i="6"/>
  <c r="L109" i="6"/>
  <c r="L106" i="6" s="1"/>
  <c r="K109" i="6"/>
  <c r="J109" i="6"/>
  <c r="H109" i="6"/>
  <c r="K108" i="6"/>
  <c r="K106" i="6" s="1"/>
  <c r="J108" i="6"/>
  <c r="J106" i="6" s="1"/>
  <c r="I106" i="6"/>
  <c r="L104" i="6"/>
  <c r="L102" i="6" s="1"/>
  <c r="K104" i="6"/>
  <c r="K102" i="6" s="1"/>
  <c r="J104" i="6"/>
  <c r="I104" i="6"/>
  <c r="I102" i="6" s="1"/>
  <c r="H104" i="6"/>
  <c r="G104" i="6"/>
  <c r="G103" i="6"/>
  <c r="J100" i="6"/>
  <c r="I100" i="6"/>
  <c r="H100" i="6"/>
  <c r="H96" i="6" s="1"/>
  <c r="G100" i="6"/>
  <c r="I98" i="6"/>
  <c r="N98" i="6" s="1"/>
  <c r="N37" i="8"/>
  <c r="D67" i="5"/>
  <c r="D70" i="5"/>
  <c r="D35" i="5"/>
  <c r="D37" i="5"/>
  <c r="D42" i="5"/>
  <c r="F32" i="3"/>
  <c r="G26" i="3"/>
  <c r="H26" i="3"/>
  <c r="I26" i="3"/>
  <c r="J111" i="9"/>
  <c r="K111" i="9"/>
  <c r="L111" i="9"/>
  <c r="I108" i="9"/>
  <c r="J108" i="9"/>
  <c r="K108" i="9"/>
  <c r="L108" i="9"/>
  <c r="I106" i="9"/>
  <c r="J106" i="9"/>
  <c r="K106" i="9"/>
  <c r="L106" i="9"/>
  <c r="H106" i="9"/>
  <c r="F63" i="9"/>
  <c r="F29" i="9"/>
  <c r="F36" i="9"/>
  <c r="F84" i="9"/>
  <c r="F54" i="9"/>
  <c r="F56" i="9"/>
  <c r="F106" i="9"/>
  <c r="F108" i="9"/>
  <c r="G65" i="9"/>
  <c r="G63" i="9"/>
  <c r="G27" i="9"/>
  <c r="G29" i="9"/>
  <c r="G84" i="9"/>
  <c r="G54" i="9"/>
  <c r="G56" i="9"/>
  <c r="G106" i="9"/>
  <c r="G108" i="9"/>
  <c r="H108" i="9"/>
  <c r="H65" i="9"/>
  <c r="H63" i="9"/>
  <c r="H26" i="9"/>
  <c r="H80" i="9"/>
  <c r="I105" i="9"/>
  <c r="I65" i="9"/>
  <c r="I63" i="9"/>
  <c r="I80" i="9"/>
  <c r="J65" i="9"/>
  <c r="J62" i="9" s="1"/>
  <c r="J80" i="9"/>
  <c r="K105" i="9"/>
  <c r="K65" i="9"/>
  <c r="K62" i="9" s="1"/>
  <c r="K80" i="9"/>
  <c r="L65" i="9"/>
  <c r="L62" i="9" s="1"/>
  <c r="L80" i="9"/>
  <c r="F71" i="9"/>
  <c r="F93" i="9"/>
  <c r="F97" i="9"/>
  <c r="F115" i="9"/>
  <c r="F119" i="9"/>
  <c r="G77" i="9"/>
  <c r="G72" i="9"/>
  <c r="G93" i="9"/>
  <c r="G97" i="9"/>
  <c r="G115" i="9"/>
  <c r="G119" i="9"/>
  <c r="H71" i="9"/>
  <c r="H93" i="9"/>
  <c r="H97" i="9"/>
  <c r="H115" i="9"/>
  <c r="H119" i="9"/>
  <c r="I71" i="9"/>
  <c r="I92" i="9"/>
  <c r="I8" i="9" s="1"/>
  <c r="I114" i="9"/>
  <c r="J71" i="9"/>
  <c r="J92" i="9"/>
  <c r="J8" i="9" s="1"/>
  <c r="J114" i="9"/>
  <c r="K71" i="9"/>
  <c r="K92" i="9"/>
  <c r="K8" i="9" s="1"/>
  <c r="K114" i="9"/>
  <c r="L71" i="9"/>
  <c r="L92" i="9"/>
  <c r="L8" i="9" s="1"/>
  <c r="L114" i="9"/>
  <c r="D29" i="9"/>
  <c r="D81" i="9"/>
  <c r="D106" i="9"/>
  <c r="D72" i="9"/>
  <c r="D93" i="9"/>
  <c r="D119" i="9"/>
  <c r="D32" i="9"/>
  <c r="D31" i="9" s="1"/>
  <c r="N66" i="3"/>
  <c r="N63" i="3"/>
  <c r="D66" i="3"/>
  <c r="D111" i="7"/>
  <c r="K111" i="7"/>
  <c r="J111" i="7"/>
  <c r="I111" i="7"/>
  <c r="H111" i="7"/>
  <c r="G111" i="7"/>
  <c r="F111" i="7"/>
  <c r="D109" i="7"/>
  <c r="K109" i="7"/>
  <c r="J109" i="7"/>
  <c r="I109" i="7"/>
  <c r="H109" i="7"/>
  <c r="G109" i="7"/>
  <c r="F109" i="7"/>
  <c r="D106" i="7"/>
  <c r="N106" i="7"/>
  <c r="K106" i="7"/>
  <c r="J106" i="7"/>
  <c r="I106" i="7"/>
  <c r="H106" i="7"/>
  <c r="G106" i="7"/>
  <c r="F106" i="7"/>
  <c r="N103" i="7"/>
  <c r="N102" i="7" s="1"/>
  <c r="K103" i="7"/>
  <c r="J103" i="7"/>
  <c r="I103" i="7"/>
  <c r="H103" i="7"/>
  <c r="F103" i="7"/>
  <c r="G102" i="7"/>
  <c r="K45" i="7"/>
  <c r="L124" i="9"/>
  <c r="K124" i="9"/>
  <c r="J124" i="9"/>
  <c r="I124" i="9"/>
  <c r="H124" i="9"/>
  <c r="G124" i="9"/>
  <c r="F124" i="9"/>
  <c r="N119" i="9"/>
  <c r="N115" i="9"/>
  <c r="F111" i="9"/>
  <c r="G111" i="9"/>
  <c r="H111" i="9"/>
  <c r="I111" i="9"/>
  <c r="F102" i="9"/>
  <c r="G102" i="9"/>
  <c r="H102" i="9"/>
  <c r="I102" i="9"/>
  <c r="J102" i="9"/>
  <c r="K102" i="9"/>
  <c r="L102" i="9"/>
  <c r="N108" i="9"/>
  <c r="N106" i="9"/>
  <c r="N97" i="9"/>
  <c r="N93" i="9"/>
  <c r="F65" i="13"/>
  <c r="F64" i="13"/>
  <c r="F58" i="13"/>
  <c r="F59" i="13"/>
  <c r="G200" i="6"/>
  <c r="N200" i="6" s="1"/>
  <c r="I203" i="6"/>
  <c r="H203" i="6"/>
  <c r="G204" i="6"/>
  <c r="G207" i="6"/>
  <c r="I210" i="6"/>
  <c r="H210" i="6"/>
  <c r="G211" i="6"/>
  <c r="H325" i="2"/>
  <c r="H398" i="2"/>
  <c r="M404" i="2"/>
  <c r="M399" i="2"/>
  <c r="I406" i="2"/>
  <c r="I405" i="2" s="1"/>
  <c r="G325" i="2"/>
  <c r="F298" i="2"/>
  <c r="F296" i="2"/>
  <c r="F293" i="2"/>
  <c r="F290" i="2"/>
  <c r="G309" i="2"/>
  <c r="F59" i="9"/>
  <c r="G59" i="9"/>
  <c r="H59" i="9"/>
  <c r="I206" i="9"/>
  <c r="J206" i="9"/>
  <c r="K206" i="9"/>
  <c r="L206" i="9"/>
  <c r="E206" i="9"/>
  <c r="F206" i="9"/>
  <c r="G206" i="9"/>
  <c r="H206" i="9"/>
  <c r="D206" i="9"/>
  <c r="N218" i="9"/>
  <c r="N217" i="9" s="1"/>
  <c r="L218" i="9"/>
  <c r="K218" i="9"/>
  <c r="J218" i="9"/>
  <c r="I218" i="9"/>
  <c r="H218" i="9"/>
  <c r="G218" i="9"/>
  <c r="F218" i="9"/>
  <c r="D218" i="9"/>
  <c r="L217" i="9"/>
  <c r="K217" i="9"/>
  <c r="J217" i="9"/>
  <c r="I217" i="9"/>
  <c r="H217" i="9"/>
  <c r="G217" i="9"/>
  <c r="F217" i="9"/>
  <c r="D217" i="9"/>
  <c r="N54" i="9"/>
  <c r="N56" i="9"/>
  <c r="D203" i="2"/>
  <c r="D250" i="2"/>
  <c r="G250" i="2"/>
  <c r="F250" i="2"/>
  <c r="D248" i="2"/>
  <c r="G248" i="2"/>
  <c r="F248" i="2"/>
  <c r="F247" i="2" s="1"/>
  <c r="N245" i="2"/>
  <c r="D245" i="2"/>
  <c r="G245" i="2"/>
  <c r="F245" i="2"/>
  <c r="N244" i="2"/>
  <c r="N242" i="2"/>
  <c r="G242" i="2"/>
  <c r="F242" i="2"/>
  <c r="D238" i="2"/>
  <c r="G238" i="2"/>
  <c r="F238" i="2"/>
  <c r="D236" i="2"/>
  <c r="G236" i="2"/>
  <c r="F236" i="2"/>
  <c r="N233" i="2"/>
  <c r="G233" i="2"/>
  <c r="F233" i="2"/>
  <c r="D233" i="2"/>
  <c r="N232" i="2"/>
  <c r="N230" i="2"/>
  <c r="G230" i="2"/>
  <c r="F230" i="2"/>
  <c r="D226" i="2"/>
  <c r="G226" i="2"/>
  <c r="F226" i="2"/>
  <c r="G224" i="2"/>
  <c r="F224" i="2"/>
  <c r="N221" i="2"/>
  <c r="D221" i="2"/>
  <c r="G221" i="2"/>
  <c r="F221" i="2"/>
  <c r="N218" i="2"/>
  <c r="G218" i="2"/>
  <c r="F218" i="2"/>
  <c r="G214" i="2"/>
  <c r="G212" i="2"/>
  <c r="G206" i="2"/>
  <c r="F209" i="2"/>
  <c r="G209" i="2"/>
  <c r="D207" i="2"/>
  <c r="D37" i="2" s="1"/>
  <c r="D214" i="2"/>
  <c r="D209" i="2"/>
  <c r="F214" i="2"/>
  <c r="D212" i="2"/>
  <c r="F212" i="2"/>
  <c r="N209" i="2"/>
  <c r="D70" i="2"/>
  <c r="D224" i="2"/>
  <c r="D218" i="2"/>
  <c r="N104" i="8"/>
  <c r="N103" i="8" s="1"/>
  <c r="N102" i="8" s="1"/>
  <c r="K77" i="8"/>
  <c r="L77" i="8"/>
  <c r="D81" i="8"/>
  <c r="E91" i="8"/>
  <c r="B79" i="1" s="1"/>
  <c r="J79" i="1" s="1"/>
  <c r="E90" i="8"/>
  <c r="F90" i="8"/>
  <c r="G90" i="8"/>
  <c r="G87" i="8" s="1"/>
  <c r="G86" i="8" s="1"/>
  <c r="H90" i="8"/>
  <c r="H87" i="8" s="1"/>
  <c r="H86" i="8" s="1"/>
  <c r="I90" i="8"/>
  <c r="I87" i="8"/>
  <c r="I86" i="8" s="1"/>
  <c r="J90" i="8"/>
  <c r="K90" i="8"/>
  <c r="K87" i="8" s="1"/>
  <c r="K86" i="8" s="1"/>
  <c r="L90" i="8"/>
  <c r="E84" i="8"/>
  <c r="F84" i="8"/>
  <c r="G84" i="8"/>
  <c r="H84" i="8"/>
  <c r="I84" i="8"/>
  <c r="F72" i="1" s="1"/>
  <c r="J84" i="8"/>
  <c r="K84" i="8"/>
  <c r="L84" i="8"/>
  <c r="F87" i="8"/>
  <c r="F86" i="8" s="1"/>
  <c r="J87" i="8"/>
  <c r="J86" i="8" s="1"/>
  <c r="L87" i="8"/>
  <c r="L86" i="8" s="1"/>
  <c r="D84" i="8"/>
  <c r="F98" i="8"/>
  <c r="F97" i="8" s="1"/>
  <c r="C103" i="1" s="1"/>
  <c r="G98" i="8"/>
  <c r="G97" i="8" s="1"/>
  <c r="D103" i="1" s="1"/>
  <c r="H98" i="8"/>
  <c r="H97" i="8" s="1"/>
  <c r="E103" i="1" s="1"/>
  <c r="I98" i="8"/>
  <c r="I97" i="8" s="1"/>
  <c r="F103" i="1" s="1"/>
  <c r="J98" i="8"/>
  <c r="J97" i="8" s="1"/>
  <c r="G103" i="1" s="1"/>
  <c r="K98" i="8"/>
  <c r="K97" i="8" s="1"/>
  <c r="H103" i="1" s="1"/>
  <c r="L98" i="8"/>
  <c r="L97" i="8" s="1"/>
  <c r="I103" i="1" s="1"/>
  <c r="F94" i="8"/>
  <c r="F93" i="8" s="1"/>
  <c r="F78" i="8" s="1"/>
  <c r="F76" i="8" s="1"/>
  <c r="G94" i="8"/>
  <c r="G93" i="8" s="1"/>
  <c r="G78" i="8" s="1"/>
  <c r="G76" i="8" s="1"/>
  <c r="H94" i="8"/>
  <c r="H93" i="8" s="1"/>
  <c r="H78" i="8" s="1"/>
  <c r="H76" i="8" s="1"/>
  <c r="I94" i="8"/>
  <c r="I93" i="8" s="1"/>
  <c r="I78" i="8" s="1"/>
  <c r="I76" i="8" s="1"/>
  <c r="J94" i="8"/>
  <c r="J93" i="8" s="1"/>
  <c r="J78" i="8" s="1"/>
  <c r="J76" i="8" s="1"/>
  <c r="K94" i="8"/>
  <c r="K93" i="8" s="1"/>
  <c r="K78" i="8" s="1"/>
  <c r="L94" i="8"/>
  <c r="L93" i="8" s="1"/>
  <c r="L78" i="8" s="1"/>
  <c r="D90" i="8"/>
  <c r="L81" i="8"/>
  <c r="L80" i="8" s="1"/>
  <c r="L79" i="8" s="1"/>
  <c r="H81" i="8"/>
  <c r="H80" i="8" s="1"/>
  <c r="H79" i="8" s="1"/>
  <c r="J81" i="8"/>
  <c r="J80" i="8" s="1"/>
  <c r="J79" i="8" s="1"/>
  <c r="F81" i="8"/>
  <c r="F80" i="8" s="1"/>
  <c r="F79" i="8" s="1"/>
  <c r="E81" i="8"/>
  <c r="K81" i="8"/>
  <c r="I81" i="8"/>
  <c r="I80" i="8" s="1"/>
  <c r="I79" i="8" s="1"/>
  <c r="G81" i="8"/>
  <c r="G80" i="8" s="1"/>
  <c r="G79" i="8" s="1"/>
  <c r="C72" i="1"/>
  <c r="H72" i="1"/>
  <c r="D72" i="1"/>
  <c r="I72" i="1"/>
  <c r="G72" i="1"/>
  <c r="E72" i="1"/>
  <c r="N44" i="4"/>
  <c r="N43" i="4" s="1"/>
  <c r="J25" i="3"/>
  <c r="J24" i="3" s="1"/>
  <c r="F40" i="3"/>
  <c r="F37" i="3" s="1"/>
  <c r="H40" i="3"/>
  <c r="J40" i="3"/>
  <c r="G70" i="3"/>
  <c r="F65" i="3"/>
  <c r="G62" i="3"/>
  <c r="G65" i="3"/>
  <c r="B152" i="1"/>
  <c r="B167" i="1"/>
  <c r="N28" i="3"/>
  <c r="N404" i="2"/>
  <c r="N399" i="2"/>
  <c r="D234" i="6"/>
  <c r="D258" i="6"/>
  <c r="D257" i="6" s="1"/>
  <c r="D229" i="6"/>
  <c r="D28" i="6"/>
  <c r="D67" i="13"/>
  <c r="P31" i="13"/>
  <c r="D44" i="4"/>
  <c r="D43" i="4" s="1"/>
  <c r="D74" i="3"/>
  <c r="D617" i="2"/>
  <c r="D318" i="2"/>
  <c r="D296" i="2"/>
  <c r="N49" i="4"/>
  <c r="N48" i="4" s="1"/>
  <c r="N28" i="13"/>
  <c r="N72" i="9"/>
  <c r="N260" i="6"/>
  <c r="N73" i="6"/>
  <c r="N28" i="6"/>
  <c r="N60" i="5"/>
  <c r="F15" i="5"/>
  <c r="N12" i="5"/>
  <c r="N89" i="3"/>
  <c r="N65" i="3"/>
  <c r="N617" i="2"/>
  <c r="N598" i="2"/>
  <c r="N594" i="2"/>
  <c r="N593" i="2" s="1"/>
  <c r="N592" i="2" s="1"/>
  <c r="N587" i="2"/>
  <c r="N586" i="2"/>
  <c r="N579" i="2"/>
  <c r="N554" i="2"/>
  <c r="N553" i="2" s="1"/>
  <c r="N552" i="2" s="1"/>
  <c r="N294" i="2"/>
  <c r="N292" i="2"/>
  <c r="N282" i="2"/>
  <c r="N206" i="2"/>
  <c r="N81" i="2"/>
  <c r="F28" i="6"/>
  <c r="G28" i="6"/>
  <c r="H28" i="6"/>
  <c r="I28" i="6"/>
  <c r="J28" i="6"/>
  <c r="K28" i="6"/>
  <c r="H140" i="6"/>
  <c r="D58" i="3"/>
  <c r="N27" i="9"/>
  <c r="F538" i="2"/>
  <c r="F537" i="2" s="1"/>
  <c r="N37" i="2"/>
  <c r="N370" i="2"/>
  <c r="N368" i="2"/>
  <c r="F115" i="2"/>
  <c r="F114" i="2" s="1"/>
  <c r="N149" i="2"/>
  <c r="D609" i="2"/>
  <c r="D36" i="13"/>
  <c r="J30" i="6"/>
  <c r="K30" i="6"/>
  <c r="J36" i="6"/>
  <c r="J35" i="6" s="1"/>
  <c r="K36" i="6"/>
  <c r="K35" i="6" s="1"/>
  <c r="L36" i="6"/>
  <c r="L35" i="6" s="1"/>
  <c r="F177" i="6"/>
  <c r="F145" i="6" s="1"/>
  <c r="F184" i="6"/>
  <c r="H243" i="6"/>
  <c r="I81" i="1"/>
  <c r="G81" i="1"/>
  <c r="H81" i="1"/>
  <c r="F250" i="6"/>
  <c r="F249" i="6" s="1"/>
  <c r="F82" i="3"/>
  <c r="F77" i="3"/>
  <c r="F74" i="3"/>
  <c r="H70" i="3"/>
  <c r="I70" i="3"/>
  <c r="I67" i="3" s="1"/>
  <c r="H65" i="3"/>
  <c r="I65" i="3"/>
  <c r="H62" i="3"/>
  <c r="I62" i="3"/>
  <c r="I61" i="3" s="1"/>
  <c r="J51" i="7"/>
  <c r="K51" i="7"/>
  <c r="J49" i="7"/>
  <c r="K49" i="7"/>
  <c r="J46" i="7"/>
  <c r="K46" i="7"/>
  <c r="K43" i="7"/>
  <c r="K42" i="7" s="1"/>
  <c r="J43" i="7"/>
  <c r="J42" i="7" s="1"/>
  <c r="G30" i="7"/>
  <c r="G29" i="7" s="1"/>
  <c r="G234" i="6"/>
  <c r="F234" i="6"/>
  <c r="F232" i="6"/>
  <c r="G232" i="6"/>
  <c r="N229" i="6"/>
  <c r="G229" i="6"/>
  <c r="F229" i="6"/>
  <c r="G227" i="6"/>
  <c r="N227" i="6" s="1"/>
  <c r="F227" i="6"/>
  <c r="F55" i="8"/>
  <c r="F52" i="8"/>
  <c r="F49" i="8"/>
  <c r="F47" i="8"/>
  <c r="L106" i="3"/>
  <c r="K106" i="3"/>
  <c r="J106" i="3"/>
  <c r="I106" i="3"/>
  <c r="H106" i="3"/>
  <c r="G106" i="3"/>
  <c r="F106" i="3"/>
  <c r="L104" i="3"/>
  <c r="L103" i="3" s="1"/>
  <c r="L146" i="3" s="1"/>
  <c r="K104" i="3"/>
  <c r="J104" i="3"/>
  <c r="J103" i="3" s="1"/>
  <c r="J146" i="3" s="1"/>
  <c r="I104" i="3"/>
  <c r="H104" i="3"/>
  <c r="H103" i="3" s="1"/>
  <c r="H146" i="3" s="1"/>
  <c r="G104" i="3"/>
  <c r="F104" i="3"/>
  <c r="F103" i="3" s="1"/>
  <c r="N101" i="3"/>
  <c r="L101" i="3"/>
  <c r="K101" i="3"/>
  <c r="J101" i="3"/>
  <c r="I101" i="3"/>
  <c r="H101" i="3"/>
  <c r="G101" i="3"/>
  <c r="F101" i="3"/>
  <c r="L98" i="3"/>
  <c r="K98" i="3"/>
  <c r="J98" i="3"/>
  <c r="I98" i="3"/>
  <c r="H98" i="3"/>
  <c r="G98" i="3"/>
  <c r="F98" i="3"/>
  <c r="L97" i="3"/>
  <c r="L9" i="3" s="1"/>
  <c r="I103" i="3"/>
  <c r="I146" i="3" s="1"/>
  <c r="F55" i="2"/>
  <c r="F54" i="2" s="1"/>
  <c r="F69" i="2"/>
  <c r="F68" i="2" s="1"/>
  <c r="F81" i="2"/>
  <c r="F80" i="2" s="1"/>
  <c r="F93" i="2"/>
  <c r="F92" i="2" s="1"/>
  <c r="F105" i="2"/>
  <c r="F104" i="2" s="1"/>
  <c r="N173" i="2"/>
  <c r="N170" i="2"/>
  <c r="N185" i="2"/>
  <c r="N182" i="2"/>
  <c r="G74" i="9"/>
  <c r="L89" i="9"/>
  <c r="L86" i="9" s="1"/>
  <c r="K89" i="9"/>
  <c r="K86" i="9" s="1"/>
  <c r="J89" i="9"/>
  <c r="J86" i="9" s="1"/>
  <c r="I89" i="9"/>
  <c r="I86" i="9" s="1"/>
  <c r="H89" i="9"/>
  <c r="H86" i="9" s="1"/>
  <c r="G89" i="9"/>
  <c r="F89" i="9"/>
  <c r="N84" i="9"/>
  <c r="L77" i="9"/>
  <c r="L76" i="9" s="1"/>
  <c r="K77" i="9"/>
  <c r="K76" i="9" s="1"/>
  <c r="J77" i="9"/>
  <c r="J76" i="9" s="1"/>
  <c r="I77" i="9"/>
  <c r="H77" i="9"/>
  <c r="F77" i="9"/>
  <c r="N74" i="9"/>
  <c r="N71" i="9" s="1"/>
  <c r="N501" i="2"/>
  <c r="F514" i="2"/>
  <c r="F513" i="2" s="1"/>
  <c r="H312" i="2"/>
  <c r="H309" i="2"/>
  <c r="I309" i="2"/>
  <c r="I312" i="2"/>
  <c r="H302" i="2"/>
  <c r="H306" i="2"/>
  <c r="I306" i="2"/>
  <c r="I302" i="2"/>
  <c r="N304" i="2"/>
  <c r="I616" i="2"/>
  <c r="H616" i="2"/>
  <c r="G616" i="2"/>
  <c r="F616" i="2"/>
  <c r="G608" i="2"/>
  <c r="H608" i="2"/>
  <c r="I608" i="2"/>
  <c r="N616" i="2"/>
  <c r="D616" i="2"/>
  <c r="N608" i="2"/>
  <c r="D608" i="2"/>
  <c r="F608" i="2"/>
  <c r="I522" i="2"/>
  <c r="I521" i="2" s="1"/>
  <c r="N522" i="2"/>
  <c r="N521" i="2" s="1"/>
  <c r="N578" i="2"/>
  <c r="N577" i="2" s="1"/>
  <c r="N576" i="2" s="1"/>
  <c r="I59" i="13"/>
  <c r="H59" i="13"/>
  <c r="G59" i="13"/>
  <c r="N59" i="13" s="1"/>
  <c r="I65" i="13"/>
  <c r="H65" i="13"/>
  <c r="G65" i="13"/>
  <c r="I64" i="13"/>
  <c r="I62" i="13" s="1"/>
  <c r="I17" i="13" s="1"/>
  <c r="H64" i="13"/>
  <c r="G64" i="13"/>
  <c r="G62" i="13" s="1"/>
  <c r="I58" i="13"/>
  <c r="I56" i="13" s="1"/>
  <c r="I14" i="13" s="1"/>
  <c r="H58" i="13"/>
  <c r="N58" i="13" s="1"/>
  <c r="F66" i="5"/>
  <c r="F65" i="5" s="1"/>
  <c r="F69" i="5"/>
  <c r="F36" i="5"/>
  <c r="F34" i="5"/>
  <c r="I25" i="3"/>
  <c r="C71" i="1"/>
  <c r="K23" i="13"/>
  <c r="L23" i="13"/>
  <c r="L21" i="13" s="1"/>
  <c r="J17" i="13"/>
  <c r="K17" i="13"/>
  <c r="L17" i="13"/>
  <c r="L15" i="13" s="1"/>
  <c r="F13" i="13"/>
  <c r="G13" i="13"/>
  <c r="H13" i="13"/>
  <c r="I13" i="13"/>
  <c r="J13" i="13"/>
  <c r="K13" i="13"/>
  <c r="L13" i="13"/>
  <c r="J14" i="13"/>
  <c r="K14" i="13"/>
  <c r="K12" i="13" s="1"/>
  <c r="L14" i="13"/>
  <c r="F40" i="13"/>
  <c r="G40" i="13"/>
  <c r="H40" i="13"/>
  <c r="I40" i="13"/>
  <c r="J40" i="13"/>
  <c r="F35" i="13"/>
  <c r="G35" i="13"/>
  <c r="H35" i="13"/>
  <c r="I35" i="13"/>
  <c r="F37" i="13"/>
  <c r="G37" i="13"/>
  <c r="H37" i="13"/>
  <c r="I37" i="13"/>
  <c r="G31" i="13"/>
  <c r="H31" i="13"/>
  <c r="I31" i="13"/>
  <c r="F31" i="13"/>
  <c r="F28" i="13"/>
  <c r="G28" i="13"/>
  <c r="H28" i="13"/>
  <c r="F26" i="13"/>
  <c r="G26" i="13"/>
  <c r="H26" i="13"/>
  <c r="H41" i="9"/>
  <c r="G41" i="9"/>
  <c r="H27" i="9"/>
  <c r="I34" i="13"/>
  <c r="H30" i="13"/>
  <c r="F30" i="13"/>
  <c r="H34" i="13"/>
  <c r="J39" i="13"/>
  <c r="H39" i="13"/>
  <c r="F39" i="13"/>
  <c r="I39" i="13"/>
  <c r="G39" i="13"/>
  <c r="N65" i="9"/>
  <c r="F130" i="2"/>
  <c r="D53" i="3"/>
  <c r="D52" i="3"/>
  <c r="D47" i="3"/>
  <c r="F51" i="3"/>
  <c r="G51" i="3"/>
  <c r="G16" i="3" s="1"/>
  <c r="H51" i="3"/>
  <c r="H16" i="3" s="1"/>
  <c r="I51" i="3"/>
  <c r="I16" i="3" s="1"/>
  <c r="J51" i="3"/>
  <c r="J16" i="3" s="1"/>
  <c r="K51" i="3"/>
  <c r="K16" i="3" s="1"/>
  <c r="L51" i="3"/>
  <c r="L16" i="3" s="1"/>
  <c r="D48" i="3"/>
  <c r="F46" i="3"/>
  <c r="G46" i="3"/>
  <c r="G12" i="3" s="1"/>
  <c r="H46" i="3"/>
  <c r="H12" i="3" s="1"/>
  <c r="I46" i="3"/>
  <c r="J46" i="3"/>
  <c r="J12" i="3" s="1"/>
  <c r="K46" i="3"/>
  <c r="K12" i="3" s="1"/>
  <c r="L46" i="3"/>
  <c r="L12" i="3" s="1"/>
  <c r="G57" i="3"/>
  <c r="H57" i="3"/>
  <c r="I57" i="3"/>
  <c r="J57" i="3"/>
  <c r="K57" i="3"/>
  <c r="L57" i="3"/>
  <c r="F55" i="3"/>
  <c r="G55" i="3"/>
  <c r="H55" i="3"/>
  <c r="I55" i="3"/>
  <c r="J55" i="3"/>
  <c r="K55" i="3"/>
  <c r="L55" i="3"/>
  <c r="I50" i="3"/>
  <c r="K45" i="3"/>
  <c r="G45" i="3"/>
  <c r="L50" i="3"/>
  <c r="J50" i="3"/>
  <c r="H50" i="3"/>
  <c r="M15" i="8"/>
  <c r="M12" i="8" s="1"/>
  <c r="G36" i="8"/>
  <c r="H36" i="8"/>
  <c r="G34" i="8"/>
  <c r="H34" i="8"/>
  <c r="H41" i="8"/>
  <c r="H39" i="8"/>
  <c r="H38" i="8" s="1"/>
  <c r="G42" i="8"/>
  <c r="D40" i="8"/>
  <c r="D25" i="8" s="1"/>
  <c r="H33" i="8"/>
  <c r="G33" i="8"/>
  <c r="F214" i="9"/>
  <c r="F213" i="9" s="1"/>
  <c r="F202" i="9" s="1"/>
  <c r="G214" i="9"/>
  <c r="G213" i="9" s="1"/>
  <c r="G202" i="9" s="1"/>
  <c r="H214" i="9"/>
  <c r="H213" i="9" s="1"/>
  <c r="H202" i="9" s="1"/>
  <c r="H201" i="9" s="1"/>
  <c r="F396" i="2"/>
  <c r="H25" i="3"/>
  <c r="J496" i="2"/>
  <c r="K496" i="2"/>
  <c r="L496" i="2"/>
  <c r="I568" i="2"/>
  <c r="I567" i="2" s="1"/>
  <c r="I640" i="2" s="1"/>
  <c r="I490" i="2"/>
  <c r="I489" i="2" s="1"/>
  <c r="I488" i="2" s="1"/>
  <c r="H560" i="2"/>
  <c r="H559" i="2" s="1"/>
  <c r="H522" i="2"/>
  <c r="H521" i="2" s="1"/>
  <c r="D606" i="2"/>
  <c r="F605" i="2"/>
  <c r="F604" i="2" s="1"/>
  <c r="N597" i="2"/>
  <c r="N596" i="2" s="1"/>
  <c r="L323" i="2"/>
  <c r="F318" i="2"/>
  <c r="G318" i="2"/>
  <c r="H318" i="2"/>
  <c r="I318" i="2"/>
  <c r="J318" i="2"/>
  <c r="K318" i="2"/>
  <c r="L318" i="2"/>
  <c r="K317" i="2"/>
  <c r="L317" i="2"/>
  <c r="L316" i="2" s="1"/>
  <c r="G202" i="2"/>
  <c r="F202" i="2"/>
  <c r="D201" i="2"/>
  <c r="D200" i="2" s="1"/>
  <c r="N197" i="2"/>
  <c r="G197" i="2"/>
  <c r="F197" i="2"/>
  <c r="D196" i="2"/>
  <c r="N194" i="2"/>
  <c r="G194" i="2"/>
  <c r="F194" i="2"/>
  <c r="G190" i="2"/>
  <c r="F190" i="2"/>
  <c r="D189" i="2"/>
  <c r="D188" i="2" s="1"/>
  <c r="D185" i="2"/>
  <c r="G185" i="2"/>
  <c r="F185" i="2"/>
  <c r="D184" i="2"/>
  <c r="G182" i="2"/>
  <c r="F182" i="2"/>
  <c r="G178" i="2"/>
  <c r="F178" i="2"/>
  <c r="D177" i="2"/>
  <c r="G173" i="2"/>
  <c r="F173" i="2"/>
  <c r="D172" i="2"/>
  <c r="G170" i="2"/>
  <c r="F170" i="2"/>
  <c r="G166" i="2"/>
  <c r="G161" i="2"/>
  <c r="G158" i="2"/>
  <c r="F166" i="2"/>
  <c r="D165" i="2"/>
  <c r="D164" i="2" s="1"/>
  <c r="N161" i="2"/>
  <c r="F161" i="2"/>
  <c r="D160" i="2"/>
  <c r="N158" i="2"/>
  <c r="F158" i="2"/>
  <c r="I391" i="2"/>
  <c r="H391" i="2"/>
  <c r="G391" i="2"/>
  <c r="F391" i="2"/>
  <c r="I390" i="2"/>
  <c r="N388" i="2"/>
  <c r="H388" i="2"/>
  <c r="G388" i="2"/>
  <c r="F388" i="2"/>
  <c r="N386" i="2"/>
  <c r="N385" i="2" s="1"/>
  <c r="H386" i="2"/>
  <c r="G386" i="2"/>
  <c r="F386" i="2"/>
  <c r="I382" i="2"/>
  <c r="G382" i="2"/>
  <c r="H382" i="2"/>
  <c r="G379" i="2"/>
  <c r="H379" i="2"/>
  <c r="G377" i="2"/>
  <c r="G376" i="2" s="1"/>
  <c r="H377" i="2"/>
  <c r="H376" i="2" s="1"/>
  <c r="F382" i="2"/>
  <c r="N379" i="2"/>
  <c r="F379" i="2"/>
  <c r="N377" i="2"/>
  <c r="F377" i="2"/>
  <c r="G373" i="2"/>
  <c r="F373" i="2"/>
  <c r="D370" i="2"/>
  <c r="F370" i="2"/>
  <c r="F368" i="2"/>
  <c r="G364" i="2"/>
  <c r="G363" i="2" s="1"/>
  <c r="F364" i="2"/>
  <c r="F363" i="2" s="1"/>
  <c r="N361" i="2"/>
  <c r="F361" i="2"/>
  <c r="N359" i="2"/>
  <c r="F359" i="2"/>
  <c r="N605" i="2"/>
  <c r="N604" i="2" s="1"/>
  <c r="F175" i="2"/>
  <c r="F163" i="2"/>
  <c r="G163" i="2"/>
  <c r="G187" i="2"/>
  <c r="G193" i="2"/>
  <c r="G199" i="2"/>
  <c r="H390" i="2"/>
  <c r="F381" i="2"/>
  <c r="G381" i="2"/>
  <c r="G605" i="2"/>
  <c r="G604" i="2" s="1"/>
  <c r="D605" i="2"/>
  <c r="D604" i="2" s="1"/>
  <c r="N169" i="2"/>
  <c r="G157" i="2"/>
  <c r="N376" i="2"/>
  <c r="D194" i="2"/>
  <c r="G347" i="2"/>
  <c r="G346" i="2" s="1"/>
  <c r="G355" i="2"/>
  <c r="G352" i="2" s="1"/>
  <c r="N350" i="2"/>
  <c r="N347" i="2"/>
  <c r="N346" i="2" s="1"/>
  <c r="G343" i="2"/>
  <c r="G342" i="2" s="1"/>
  <c r="F340" i="2"/>
  <c r="F338" i="2"/>
  <c r="D353" i="2"/>
  <c r="D323" i="2"/>
  <c r="D322" i="2" s="1"/>
  <c r="I54" i="8"/>
  <c r="J54" i="8"/>
  <c r="K54" i="8"/>
  <c r="L54" i="8"/>
  <c r="I51" i="8"/>
  <c r="I50" i="8" s="1"/>
  <c r="J51" i="8"/>
  <c r="J50" i="8" s="1"/>
  <c r="K51" i="8"/>
  <c r="L51" i="8"/>
  <c r="L50" i="8" s="1"/>
  <c r="I48" i="8"/>
  <c r="J48" i="8"/>
  <c r="K48" i="8"/>
  <c r="L48" i="8"/>
  <c r="I45" i="8"/>
  <c r="I44" i="8" s="1"/>
  <c r="I9" i="8" s="1"/>
  <c r="J45" i="8"/>
  <c r="K45" i="8"/>
  <c r="K44" i="8" s="1"/>
  <c r="K9" i="8" s="1"/>
  <c r="L45" i="8"/>
  <c r="J44" i="8"/>
  <c r="J9" i="8" s="1"/>
  <c r="K50" i="8"/>
  <c r="K115" i="8" s="1"/>
  <c r="K117" i="8" s="1"/>
  <c r="D207" i="6"/>
  <c r="F17" i="5"/>
  <c r="F16" i="5" s="1"/>
  <c r="G17" i="5"/>
  <c r="H17" i="5"/>
  <c r="I17" i="5"/>
  <c r="J17" i="5"/>
  <c r="J16" i="5" s="1"/>
  <c r="K17" i="5"/>
  <c r="K16" i="5" s="1"/>
  <c r="L17" i="5"/>
  <c r="L16" i="5" s="1"/>
  <c r="F20" i="5"/>
  <c r="F19" i="5" s="1"/>
  <c r="F18" i="5" s="1"/>
  <c r="G20" i="5"/>
  <c r="G19" i="5" s="1"/>
  <c r="G18" i="5" s="1"/>
  <c r="H20" i="5"/>
  <c r="H19" i="5" s="1"/>
  <c r="H18" i="5" s="1"/>
  <c r="I20" i="5"/>
  <c r="I19" i="5" s="1"/>
  <c r="I18" i="5" s="1"/>
  <c r="J20" i="5"/>
  <c r="K20" i="5"/>
  <c r="K19" i="5" s="1"/>
  <c r="K18" i="5" s="1"/>
  <c r="L20" i="5"/>
  <c r="G23" i="1"/>
  <c r="L12" i="13"/>
  <c r="J12" i="13"/>
  <c r="L20" i="13"/>
  <c r="L19" i="13" s="1"/>
  <c r="H19" i="13"/>
  <c r="J19" i="13"/>
  <c r="K19" i="13"/>
  <c r="J9" i="13"/>
  <c r="K9" i="13"/>
  <c r="L9" i="13"/>
  <c r="J67" i="13"/>
  <c r="J69" i="13"/>
  <c r="F67" i="13"/>
  <c r="G67" i="13"/>
  <c r="H67" i="13"/>
  <c r="I67" i="13"/>
  <c r="F69" i="13"/>
  <c r="G69" i="13"/>
  <c r="H69" i="13"/>
  <c r="I69" i="13"/>
  <c r="I19" i="13"/>
  <c r="G19" i="13"/>
  <c r="F66" i="13"/>
  <c r="I66" i="13"/>
  <c r="J66" i="13"/>
  <c r="F140" i="6"/>
  <c r="F297" i="6"/>
  <c r="I191" i="6"/>
  <c r="H191" i="6"/>
  <c r="H144" i="6" s="1"/>
  <c r="H299" i="6" s="1"/>
  <c r="G191" i="6"/>
  <c r="I195" i="6"/>
  <c r="I297" i="6" s="1"/>
  <c r="H195" i="6"/>
  <c r="G195" i="6"/>
  <c r="D66" i="5"/>
  <c r="D65" i="5" s="1"/>
  <c r="F68" i="5"/>
  <c r="D69" i="5"/>
  <c r="D68" i="5" s="1"/>
  <c r="N66" i="5"/>
  <c r="N65" i="5" s="1"/>
  <c r="H396" i="2"/>
  <c r="H317" i="2" s="1"/>
  <c r="G396" i="2"/>
  <c r="G214" i="6"/>
  <c r="N306" i="2"/>
  <c r="N302" i="2"/>
  <c r="N293" i="2"/>
  <c r="N290" i="2"/>
  <c r="E298" i="6"/>
  <c r="E301" i="6" s="1"/>
  <c r="K297" i="6"/>
  <c r="K296" i="6"/>
  <c r="J297" i="6"/>
  <c r="J296" i="6"/>
  <c r="H297" i="6"/>
  <c r="H296" i="6"/>
  <c r="G296" i="6"/>
  <c r="F296" i="6"/>
  <c r="G223" i="6"/>
  <c r="F221" i="6"/>
  <c r="G218" i="6"/>
  <c r="F218" i="6"/>
  <c r="G400" i="2"/>
  <c r="G406" i="2"/>
  <c r="G405" i="2" s="1"/>
  <c r="H406" i="2"/>
  <c r="F406" i="2"/>
  <c r="F405" i="2" s="1"/>
  <c r="H405" i="2"/>
  <c r="F312" i="2"/>
  <c r="G312" i="2"/>
  <c r="F306" i="2"/>
  <c r="G306" i="2"/>
  <c r="F309" i="2"/>
  <c r="F308" i="2" s="1"/>
  <c r="F302" i="2"/>
  <c r="G302" i="2"/>
  <c r="D291" i="2"/>
  <c r="G308" i="2"/>
  <c r="G269" i="2"/>
  <c r="G266" i="2"/>
  <c r="D180" i="6"/>
  <c r="G198" i="6"/>
  <c r="H198" i="6"/>
  <c r="F198" i="6"/>
  <c r="I198" i="6"/>
  <c r="J198" i="6"/>
  <c r="K198" i="6"/>
  <c r="L198" i="6"/>
  <c r="D200" i="6"/>
  <c r="F206" i="6"/>
  <c r="G206" i="6"/>
  <c r="H206" i="6"/>
  <c r="I206" i="6"/>
  <c r="J206" i="6"/>
  <c r="K206" i="6"/>
  <c r="L206" i="6"/>
  <c r="G140" i="6"/>
  <c r="I140" i="6"/>
  <c r="J140" i="6"/>
  <c r="K140" i="6"/>
  <c r="K14" i="6" s="1"/>
  <c r="L140" i="6"/>
  <c r="L14" i="6" s="1"/>
  <c r="F141" i="6"/>
  <c r="G141" i="6"/>
  <c r="H141" i="6"/>
  <c r="H16" i="6" s="1"/>
  <c r="I141" i="6"/>
  <c r="I16" i="6" s="1"/>
  <c r="J141" i="6"/>
  <c r="J16" i="6" s="1"/>
  <c r="K141" i="6"/>
  <c r="K16" i="6" s="1"/>
  <c r="L141" i="6"/>
  <c r="L16" i="6" s="1"/>
  <c r="F144" i="6"/>
  <c r="J144" i="6"/>
  <c r="J299" i="6" s="1"/>
  <c r="K144" i="6"/>
  <c r="K299" i="6" s="1"/>
  <c r="L144" i="6"/>
  <c r="G145" i="6"/>
  <c r="H145" i="6"/>
  <c r="I145" i="6"/>
  <c r="J145" i="6"/>
  <c r="K145" i="6"/>
  <c r="L145" i="6"/>
  <c r="F146" i="6"/>
  <c r="H146" i="6"/>
  <c r="I146" i="6"/>
  <c r="J146" i="6"/>
  <c r="K146" i="6"/>
  <c r="L146" i="6"/>
  <c r="F149" i="6"/>
  <c r="G149" i="6"/>
  <c r="G23" i="6" s="1"/>
  <c r="H149" i="6"/>
  <c r="H148" i="6" s="1"/>
  <c r="I149" i="6"/>
  <c r="I23" i="6" s="1"/>
  <c r="J149" i="6"/>
  <c r="K149" i="6"/>
  <c r="K23" i="6" s="1"/>
  <c r="L149" i="6"/>
  <c r="L148" i="6" s="1"/>
  <c r="F152" i="6"/>
  <c r="H152" i="6"/>
  <c r="J152" i="6"/>
  <c r="K152" i="6"/>
  <c r="L152" i="6"/>
  <c r="F153" i="6"/>
  <c r="G153" i="6"/>
  <c r="H153" i="6"/>
  <c r="I153" i="6"/>
  <c r="J153" i="6"/>
  <c r="K153" i="6"/>
  <c r="L153" i="6"/>
  <c r="F154" i="6"/>
  <c r="H154" i="6"/>
  <c r="I154" i="6"/>
  <c r="J154" i="6"/>
  <c r="K154" i="6"/>
  <c r="L154" i="6"/>
  <c r="F171" i="6"/>
  <c r="G171" i="6"/>
  <c r="H171" i="6"/>
  <c r="I171" i="6"/>
  <c r="J171" i="6"/>
  <c r="K171" i="6"/>
  <c r="L171" i="6"/>
  <c r="G175" i="6"/>
  <c r="G174" i="6" s="1"/>
  <c r="H175" i="6"/>
  <c r="I175" i="6"/>
  <c r="I174" i="6" s="1"/>
  <c r="J175" i="6"/>
  <c r="J174" i="6" s="1"/>
  <c r="K175" i="6"/>
  <c r="K174" i="6" s="1"/>
  <c r="L175" i="6"/>
  <c r="L174" i="6" s="1"/>
  <c r="D177" i="6"/>
  <c r="D145" i="6" s="1"/>
  <c r="D173" i="6"/>
  <c r="D172" i="6"/>
  <c r="F179" i="6"/>
  <c r="G179" i="6"/>
  <c r="H179" i="6"/>
  <c r="I179" i="6"/>
  <c r="J179" i="6"/>
  <c r="K179" i="6"/>
  <c r="L179" i="6"/>
  <c r="F182" i="6"/>
  <c r="F181" i="6" s="1"/>
  <c r="G182" i="6"/>
  <c r="G181" i="6" s="1"/>
  <c r="H182" i="6"/>
  <c r="H181" i="6" s="1"/>
  <c r="I182" i="6"/>
  <c r="J182" i="6"/>
  <c r="J181" i="6" s="1"/>
  <c r="K182" i="6"/>
  <c r="L182" i="6"/>
  <c r="L181" i="6" s="1"/>
  <c r="D184" i="6"/>
  <c r="D153" i="6" s="1"/>
  <c r="F187" i="6"/>
  <c r="G187" i="6"/>
  <c r="H187" i="6"/>
  <c r="I187" i="6"/>
  <c r="J187" i="6"/>
  <c r="K187" i="6"/>
  <c r="L187" i="6"/>
  <c r="D188" i="6"/>
  <c r="M188" i="6" s="1"/>
  <c r="N188" i="6"/>
  <c r="F190" i="6"/>
  <c r="G190" i="6"/>
  <c r="G189" i="6" s="1"/>
  <c r="I190" i="6"/>
  <c r="I189" i="6" s="1"/>
  <c r="J190" i="6"/>
  <c r="J189" i="6" s="1"/>
  <c r="K190" i="6"/>
  <c r="K189" i="6" s="1"/>
  <c r="L190" i="6"/>
  <c r="L189" i="6" s="1"/>
  <c r="F194" i="6"/>
  <c r="F193" i="6" s="1"/>
  <c r="F192" i="6" s="1"/>
  <c r="H194" i="6"/>
  <c r="H193" i="6" s="1"/>
  <c r="H192" i="6" s="1"/>
  <c r="J194" i="6"/>
  <c r="J193" i="6" s="1"/>
  <c r="J192" i="6" s="1"/>
  <c r="K194" i="6"/>
  <c r="K193" i="6" s="1"/>
  <c r="K192" i="6" s="1"/>
  <c r="L194" i="6"/>
  <c r="L193" i="6" s="1"/>
  <c r="L192" i="6" s="1"/>
  <c r="D195" i="6"/>
  <c r="D199" i="6"/>
  <c r="F202" i="6"/>
  <c r="H202" i="6"/>
  <c r="H201" i="6" s="1"/>
  <c r="H197" i="6" s="1"/>
  <c r="J202" i="6"/>
  <c r="J201" i="6" s="1"/>
  <c r="J197" i="6" s="1"/>
  <c r="K202" i="6"/>
  <c r="K201" i="6" s="1"/>
  <c r="K197" i="6" s="1"/>
  <c r="L202" i="6"/>
  <c r="L201" i="6" s="1"/>
  <c r="L197" i="6" s="1"/>
  <c r="F209" i="6"/>
  <c r="H209" i="6"/>
  <c r="H208" i="6" s="1"/>
  <c r="H205" i="6" s="1"/>
  <c r="J209" i="6"/>
  <c r="J208" i="6" s="1"/>
  <c r="J205" i="6" s="1"/>
  <c r="K209" i="6"/>
  <c r="K208" i="6" s="1"/>
  <c r="L209" i="6"/>
  <c r="L208" i="6" s="1"/>
  <c r="L205" i="6" s="1"/>
  <c r="I139" i="6"/>
  <c r="K143" i="6"/>
  <c r="K19" i="6" s="1"/>
  <c r="F189" i="6"/>
  <c r="L23" i="6"/>
  <c r="G148" i="6"/>
  <c r="D206" i="6"/>
  <c r="F208" i="6"/>
  <c r="F205" i="6" s="1"/>
  <c r="D198" i="6"/>
  <c r="N280" i="2"/>
  <c r="N279" i="2"/>
  <c r="N281" i="2"/>
  <c r="J68" i="9"/>
  <c r="N59" i="5"/>
  <c r="N58" i="5" s="1"/>
  <c r="L83" i="13"/>
  <c r="K83" i="13"/>
  <c r="J83" i="13"/>
  <c r="H95" i="13"/>
  <c r="H94" i="13" s="1"/>
  <c r="H84" i="13" s="1"/>
  <c r="H83" i="13" s="1"/>
  <c r="G95" i="13"/>
  <c r="G94" i="13" s="1"/>
  <c r="G84" i="13" s="1"/>
  <c r="F95" i="13"/>
  <c r="F94" i="13" s="1"/>
  <c r="F84" i="13" s="1"/>
  <c r="N95" i="13"/>
  <c r="N94" i="13" s="1"/>
  <c r="I92" i="13"/>
  <c r="H92" i="13"/>
  <c r="H91" i="13" s="1"/>
  <c r="H90" i="13" s="1"/>
  <c r="G92" i="13"/>
  <c r="F92" i="13"/>
  <c r="F91" i="13" s="1"/>
  <c r="F90" i="13" s="1"/>
  <c r="D92" i="13"/>
  <c r="D91" i="13" s="1"/>
  <c r="D90" i="13" s="1"/>
  <c r="I91" i="13"/>
  <c r="I90" i="13" s="1"/>
  <c r="G91" i="13"/>
  <c r="G90" i="13" s="1"/>
  <c r="I89" i="13"/>
  <c r="H89" i="13"/>
  <c r="G89" i="13"/>
  <c r="F89" i="13"/>
  <c r="D89" i="13"/>
  <c r="I83" i="13"/>
  <c r="D95" i="13"/>
  <c r="D94" i="13" s="1"/>
  <c r="D84" i="13" s="1"/>
  <c r="D83" i="13" s="1"/>
  <c r="G34" i="5"/>
  <c r="H34" i="5"/>
  <c r="G36" i="5"/>
  <c r="H36" i="5"/>
  <c r="F39" i="5"/>
  <c r="G39" i="5"/>
  <c r="G33" i="5"/>
  <c r="H33" i="5"/>
  <c r="L482" i="2"/>
  <c r="L481" i="2" s="1"/>
  <c r="K482" i="2"/>
  <c r="J482" i="2"/>
  <c r="J481" i="2" s="1"/>
  <c r="K481" i="2"/>
  <c r="L479" i="2"/>
  <c r="K479" i="2"/>
  <c r="J479" i="2"/>
  <c r="L477" i="2"/>
  <c r="K477" i="2"/>
  <c r="J477" i="2"/>
  <c r="J489" i="2"/>
  <c r="J488" i="2" s="1"/>
  <c r="L489" i="2"/>
  <c r="L488" i="2" s="1"/>
  <c r="K489" i="2"/>
  <c r="K488" i="2" s="1"/>
  <c r="L254" i="6"/>
  <c r="L253" i="6" s="1"/>
  <c r="K254" i="6"/>
  <c r="K253" i="6" s="1"/>
  <c r="J254" i="6"/>
  <c r="J253" i="6" s="1"/>
  <c r="L262" i="6"/>
  <c r="L261" i="6" s="1"/>
  <c r="L211" i="9"/>
  <c r="K262" i="6"/>
  <c r="K261" i="6" s="1"/>
  <c r="J262" i="6"/>
  <c r="J261" i="6" s="1"/>
  <c r="J211" i="9"/>
  <c r="L258" i="6"/>
  <c r="L257" i="6" s="1"/>
  <c r="K258" i="6"/>
  <c r="J258" i="6"/>
  <c r="J257" i="6" s="1"/>
  <c r="K257" i="6"/>
  <c r="J49" i="4"/>
  <c r="J48" i="4" s="1"/>
  <c r="K49" i="4"/>
  <c r="K48" i="4" s="1"/>
  <c r="L49" i="4"/>
  <c r="L48" i="4" s="1"/>
  <c r="I49" i="4"/>
  <c r="I48" i="4" s="1"/>
  <c r="H49" i="4"/>
  <c r="H48" i="4" s="1"/>
  <c r="G49" i="4"/>
  <c r="G48" i="4" s="1"/>
  <c r="F49" i="4"/>
  <c r="F48" i="4" s="1"/>
  <c r="L39" i="4"/>
  <c r="L38" i="4" s="1"/>
  <c r="K39" i="4"/>
  <c r="K38" i="4" s="1"/>
  <c r="J39" i="4"/>
  <c r="J38" i="4" s="1"/>
  <c r="L31" i="4"/>
  <c r="L30" i="4" s="1"/>
  <c r="K31" i="4"/>
  <c r="K30" i="4" s="1"/>
  <c r="J31" i="4"/>
  <c r="J30" i="4" s="1"/>
  <c r="P529" i="2"/>
  <c r="J485" i="2"/>
  <c r="K485" i="2"/>
  <c r="D534" i="2"/>
  <c r="D533" i="2" s="1"/>
  <c r="L485" i="2"/>
  <c r="J34" i="5"/>
  <c r="K34" i="5"/>
  <c r="L34" i="5"/>
  <c r="L33" i="5" s="1"/>
  <c r="J36" i="5"/>
  <c r="K36" i="5"/>
  <c r="L36" i="5"/>
  <c r="J41" i="5"/>
  <c r="J38" i="5" s="1"/>
  <c r="K41" i="5"/>
  <c r="K38" i="5" s="1"/>
  <c r="L41" i="5"/>
  <c r="L38" i="5" s="1"/>
  <c r="J45" i="5"/>
  <c r="K45" i="5"/>
  <c r="L45" i="5"/>
  <c r="J48" i="5"/>
  <c r="J47" i="5" s="1"/>
  <c r="K48" i="5"/>
  <c r="K47" i="5" s="1"/>
  <c r="L48" i="5"/>
  <c r="L47" i="5" s="1"/>
  <c r="J52" i="5"/>
  <c r="J51" i="5" s="1"/>
  <c r="K52" i="5"/>
  <c r="K51" i="5" s="1"/>
  <c r="L52" i="5"/>
  <c r="L51" i="5" s="1"/>
  <c r="J55" i="5"/>
  <c r="K55" i="5"/>
  <c r="L55" i="5"/>
  <c r="J75" i="5"/>
  <c r="J73" i="5" s="1"/>
  <c r="K75" i="5"/>
  <c r="K73" i="5" s="1"/>
  <c r="L75" i="5"/>
  <c r="L73" i="5" s="1"/>
  <c r="J81" i="5"/>
  <c r="K81" i="5"/>
  <c r="L81" i="5"/>
  <c r="J77" i="5"/>
  <c r="J76" i="5" s="1"/>
  <c r="K77" i="5"/>
  <c r="L77" i="5"/>
  <c r="L76" i="5" s="1"/>
  <c r="J87" i="5"/>
  <c r="J83" i="5" s="1"/>
  <c r="K87" i="5"/>
  <c r="K83" i="5" s="1"/>
  <c r="L87" i="5"/>
  <c r="L83" i="5" s="1"/>
  <c r="J99" i="5"/>
  <c r="K99" i="5"/>
  <c r="L99" i="5"/>
  <c r="J105" i="5"/>
  <c r="K105" i="5"/>
  <c r="L105" i="5"/>
  <c r="J112" i="5"/>
  <c r="J111" i="5" s="1"/>
  <c r="K112" i="5"/>
  <c r="K111" i="5" s="1"/>
  <c r="L112" i="5"/>
  <c r="L111" i="5" s="1"/>
  <c r="J59" i="5"/>
  <c r="K59" i="5"/>
  <c r="L59" i="5"/>
  <c r="J62" i="5"/>
  <c r="J61" i="5" s="1"/>
  <c r="J58" i="5" s="1"/>
  <c r="K62" i="5"/>
  <c r="K61" i="5" s="1"/>
  <c r="K58" i="5" s="1"/>
  <c r="L62" i="5"/>
  <c r="L61" i="5" s="1"/>
  <c r="L58" i="5" s="1"/>
  <c r="I62" i="5"/>
  <c r="H62" i="5"/>
  <c r="G62" i="5"/>
  <c r="F62" i="5"/>
  <c r="I61" i="5"/>
  <c r="H61" i="5"/>
  <c r="G61" i="5"/>
  <c r="I59" i="5"/>
  <c r="H59" i="5"/>
  <c r="G59" i="5"/>
  <c r="G58" i="5" s="1"/>
  <c r="F59" i="5"/>
  <c r="I58" i="5"/>
  <c r="F58" i="5"/>
  <c r="F75" i="5"/>
  <c r="F73" i="5" s="1"/>
  <c r="G75" i="5"/>
  <c r="G73" i="5" s="1"/>
  <c r="H75" i="5"/>
  <c r="H73" i="5" s="1"/>
  <c r="I75" i="5"/>
  <c r="I73" i="5" s="1"/>
  <c r="J33" i="5"/>
  <c r="K33" i="5"/>
  <c r="K76" i="5"/>
  <c r="N63" i="9"/>
  <c r="I211" i="9"/>
  <c r="I210" i="9" s="1"/>
  <c r="I209" i="9" s="1"/>
  <c r="K211" i="9"/>
  <c r="H211" i="9"/>
  <c r="H210" i="9" s="1"/>
  <c r="H209" i="9" s="1"/>
  <c r="J213" i="9"/>
  <c r="J202" i="9" s="1"/>
  <c r="K213" i="9"/>
  <c r="K202" i="9" s="1"/>
  <c r="L213" i="9"/>
  <c r="L202" i="9" s="1"/>
  <c r="K68" i="9"/>
  <c r="L68" i="9"/>
  <c r="J67" i="9"/>
  <c r="L67" i="9"/>
  <c r="K210" i="9"/>
  <c r="K209" i="9" s="1"/>
  <c r="J20" i="3"/>
  <c r="K20" i="3"/>
  <c r="L20" i="3"/>
  <c r="I18" i="3"/>
  <c r="G18" i="3"/>
  <c r="G68" i="3"/>
  <c r="G67" i="3" s="1"/>
  <c r="F68" i="3"/>
  <c r="D68" i="3"/>
  <c r="D80" i="3"/>
  <c r="D77" i="3"/>
  <c r="N77" i="3"/>
  <c r="N74" i="3"/>
  <c r="L319" i="2"/>
  <c r="K324" i="2"/>
  <c r="K321" i="2" s="1"/>
  <c r="G180" i="1"/>
  <c r="H180" i="1"/>
  <c r="I180" i="1"/>
  <c r="G164" i="1"/>
  <c r="H164" i="1"/>
  <c r="I164" i="1"/>
  <c r="G167" i="1"/>
  <c r="H167" i="1"/>
  <c r="I167" i="1"/>
  <c r="G152" i="1"/>
  <c r="H152" i="1"/>
  <c r="I152" i="1"/>
  <c r="D71" i="1"/>
  <c r="E71" i="1"/>
  <c r="F71" i="1"/>
  <c r="G71" i="1"/>
  <c r="H71" i="1"/>
  <c r="I71" i="1"/>
  <c r="C81" i="1"/>
  <c r="D81" i="1"/>
  <c r="E81" i="1"/>
  <c r="F81" i="1"/>
  <c r="C152" i="1"/>
  <c r="D152" i="1"/>
  <c r="E152" i="1"/>
  <c r="F152" i="1"/>
  <c r="B164" i="1"/>
  <c r="B165" i="1" s="1"/>
  <c r="C164" i="1"/>
  <c r="D164" i="1"/>
  <c r="E164" i="1"/>
  <c r="E165" i="1" s="1"/>
  <c r="F164" i="1"/>
  <c r="J164" i="1"/>
  <c r="C167" i="1"/>
  <c r="D167" i="1"/>
  <c r="E167" i="1"/>
  <c r="F167" i="1"/>
  <c r="B180" i="1"/>
  <c r="C180" i="1"/>
  <c r="D180" i="1"/>
  <c r="E180" i="1"/>
  <c r="F180" i="1"/>
  <c r="J180" i="1"/>
  <c r="D165" i="1"/>
  <c r="C165" i="1"/>
  <c r="J152" i="1"/>
  <c r="J167" i="1"/>
  <c r="L135" i="6"/>
  <c r="L134" i="6" s="1"/>
  <c r="K135" i="6"/>
  <c r="K134" i="6" s="1"/>
  <c r="J135" i="6"/>
  <c r="J134" i="6" s="1"/>
  <c r="K120" i="6"/>
  <c r="L116" i="6"/>
  <c r="L115" i="6" s="1"/>
  <c r="K116" i="6"/>
  <c r="K115" i="6" s="1"/>
  <c r="K268" i="6" s="1"/>
  <c r="J8" i="13"/>
  <c r="J15" i="13"/>
  <c r="K15" i="13"/>
  <c r="J21" i="13"/>
  <c r="J18" i="13" s="1"/>
  <c r="K21" i="13"/>
  <c r="K18" i="13" s="1"/>
  <c r="K107" i="13" s="1"/>
  <c r="K88" i="13" s="1"/>
  <c r="K87" i="13" s="1"/>
  <c r="K86" i="13" s="1"/>
  <c r="K8" i="13"/>
  <c r="L8" i="13"/>
  <c r="J11" i="13"/>
  <c r="K203" i="9"/>
  <c r="J207" i="9"/>
  <c r="G66" i="1" s="1"/>
  <c r="K207" i="9"/>
  <c r="H66" i="1" s="1"/>
  <c r="L207" i="9"/>
  <c r="I66" i="1" s="1"/>
  <c r="J208" i="9"/>
  <c r="J205" i="9" s="1"/>
  <c r="J204" i="9" s="1"/>
  <c r="K208" i="9"/>
  <c r="K205" i="9" s="1"/>
  <c r="K204" i="9" s="1"/>
  <c r="L208" i="9"/>
  <c r="L205" i="9" s="1"/>
  <c r="L204" i="9" s="1"/>
  <c r="J15" i="7"/>
  <c r="K15" i="7"/>
  <c r="L15" i="7"/>
  <c r="J21" i="7"/>
  <c r="K21" i="7"/>
  <c r="L21" i="7"/>
  <c r="L10" i="4"/>
  <c r="G123" i="1"/>
  <c r="G185" i="1" s="1"/>
  <c r="I123" i="1"/>
  <c r="I185" i="1" s="1"/>
  <c r="G70" i="1"/>
  <c r="H70" i="1"/>
  <c r="I70" i="1"/>
  <c r="G69" i="1"/>
  <c r="H69" i="1"/>
  <c r="I69" i="1"/>
  <c r="G74" i="1"/>
  <c r="G73" i="1" s="1"/>
  <c r="I74" i="1"/>
  <c r="I73" i="1" s="1"/>
  <c r="G77" i="1"/>
  <c r="H77" i="1"/>
  <c r="I77" i="1"/>
  <c r="G78" i="1"/>
  <c r="H78" i="1"/>
  <c r="I78" i="1"/>
  <c r="G83" i="1"/>
  <c r="G82" i="1" s="1"/>
  <c r="H83" i="1"/>
  <c r="H82" i="1" s="1"/>
  <c r="I83" i="1"/>
  <c r="I82" i="1" s="1"/>
  <c r="J44" i="4"/>
  <c r="J43" i="4" s="1"/>
  <c r="K44" i="4"/>
  <c r="K43" i="4" s="1"/>
  <c r="L44" i="4"/>
  <c r="L43" i="4" s="1"/>
  <c r="J15" i="5"/>
  <c r="K15" i="5"/>
  <c r="K14" i="5" s="1"/>
  <c r="L15" i="5"/>
  <c r="K17" i="7"/>
  <c r="H74" i="1"/>
  <c r="H73" i="1" s="1"/>
  <c r="L14" i="5"/>
  <c r="J14" i="5"/>
  <c r="J19" i="5"/>
  <c r="J18" i="5" s="1"/>
  <c r="L19" i="5"/>
  <c r="L18" i="5" s="1"/>
  <c r="J10" i="4"/>
  <c r="K10" i="4"/>
  <c r="L10" i="7"/>
  <c r="J10" i="7"/>
  <c r="L17" i="7"/>
  <c r="J17" i="7"/>
  <c r="J18" i="3"/>
  <c r="L18" i="3"/>
  <c r="J94" i="3"/>
  <c r="K94" i="3"/>
  <c r="L94" i="3"/>
  <c r="J92" i="3"/>
  <c r="J91" i="3" s="1"/>
  <c r="K92" i="3"/>
  <c r="L92" i="3"/>
  <c r="J89" i="3"/>
  <c r="K89" i="3"/>
  <c r="L89" i="3"/>
  <c r="J86" i="3"/>
  <c r="K86" i="3"/>
  <c r="K85" i="3" s="1"/>
  <c r="L86" i="3"/>
  <c r="I27" i="1"/>
  <c r="I30" i="1"/>
  <c r="I130" i="1" s="1"/>
  <c r="I192" i="1" s="1"/>
  <c r="I36" i="1"/>
  <c r="I35" i="1"/>
  <c r="I136" i="1" s="1"/>
  <c r="I198" i="1" s="1"/>
  <c r="I44" i="1"/>
  <c r="I142" i="1" s="1"/>
  <c r="I204" i="1" s="1"/>
  <c r="H125" i="1"/>
  <c r="H191" i="1" s="1"/>
  <c r="G27" i="1"/>
  <c r="H27" i="1"/>
  <c r="G30" i="1"/>
  <c r="G130" i="1" s="1"/>
  <c r="G192" i="1" s="1"/>
  <c r="H30" i="1"/>
  <c r="H130" i="1" s="1"/>
  <c r="H192" i="1" s="1"/>
  <c r="G36" i="1"/>
  <c r="H36" i="1"/>
  <c r="G136" i="1"/>
  <c r="G198" i="1" s="1"/>
  <c r="H35" i="1"/>
  <c r="G44" i="1"/>
  <c r="G142" i="1" s="1"/>
  <c r="G204" i="1" s="1"/>
  <c r="H44" i="1"/>
  <c r="H142" i="1" s="1"/>
  <c r="H204" i="1" s="1"/>
  <c r="B36" i="1"/>
  <c r="B27" i="1"/>
  <c r="K316" i="2"/>
  <c r="J319" i="2"/>
  <c r="K319" i="2"/>
  <c r="J324" i="2"/>
  <c r="L324" i="2"/>
  <c r="J426" i="2"/>
  <c r="K426" i="2"/>
  <c r="L426" i="2"/>
  <c r="J427" i="2"/>
  <c r="J14" i="2" s="1"/>
  <c r="K427" i="2"/>
  <c r="K14" i="2" s="1"/>
  <c r="L427" i="2"/>
  <c r="J428" i="2"/>
  <c r="K428" i="2"/>
  <c r="K16" i="2" s="1"/>
  <c r="L428" i="2"/>
  <c r="J430" i="2"/>
  <c r="J20" i="2" s="1"/>
  <c r="K430" i="2"/>
  <c r="L430" i="2"/>
  <c r="J431" i="2"/>
  <c r="J21" i="2" s="1"/>
  <c r="G28" i="1" s="1"/>
  <c r="G131" i="1" s="1"/>
  <c r="G193" i="1" s="1"/>
  <c r="K431" i="2"/>
  <c r="K21" i="2" s="1"/>
  <c r="H28" i="1" s="1"/>
  <c r="H131" i="1" s="1"/>
  <c r="H193" i="1" s="1"/>
  <c r="L431" i="2"/>
  <c r="L21" i="2" s="1"/>
  <c r="J434" i="2"/>
  <c r="J24" i="2" s="1"/>
  <c r="G34" i="1" s="1"/>
  <c r="K434" i="2"/>
  <c r="K24" i="2" s="1"/>
  <c r="H34" i="1" s="1"/>
  <c r="L434" i="2"/>
  <c r="J435" i="2"/>
  <c r="K435" i="2"/>
  <c r="L435" i="2"/>
  <c r="L26" i="2" s="1"/>
  <c r="J437" i="2"/>
  <c r="K437" i="2"/>
  <c r="L437" i="2"/>
  <c r="J438" i="2"/>
  <c r="J33" i="2" s="1"/>
  <c r="G43" i="1" s="1"/>
  <c r="G146" i="1" s="1"/>
  <c r="G208" i="1" s="1"/>
  <c r="K438" i="2"/>
  <c r="K33" i="2" s="1"/>
  <c r="H43" i="1" s="1"/>
  <c r="H146" i="1" s="1"/>
  <c r="H208" i="1" s="1"/>
  <c r="L438" i="2"/>
  <c r="L33" i="2" s="1"/>
  <c r="I43" i="1" s="1"/>
  <c r="I146" i="1" s="1"/>
  <c r="I208" i="1" s="1"/>
  <c r="J469" i="2"/>
  <c r="J468" i="2" s="1"/>
  <c r="K469" i="2"/>
  <c r="K468" i="2" s="1"/>
  <c r="L469" i="2"/>
  <c r="J471" i="2"/>
  <c r="K471" i="2"/>
  <c r="L471" i="2"/>
  <c r="J474" i="2"/>
  <c r="J473" i="2" s="1"/>
  <c r="J472" i="2" s="1"/>
  <c r="K474" i="2"/>
  <c r="K473" i="2" s="1"/>
  <c r="K472" i="2" s="1"/>
  <c r="L474" i="2"/>
  <c r="L473" i="2" s="1"/>
  <c r="L472" i="2" s="1"/>
  <c r="L17" i="2"/>
  <c r="I24" i="1" s="1"/>
  <c r="I129" i="1" s="1"/>
  <c r="I190" i="1" s="1"/>
  <c r="L27" i="2"/>
  <c r="I39" i="1" s="1"/>
  <c r="I143" i="1" s="1"/>
  <c r="I205" i="1" s="1"/>
  <c r="L30" i="2"/>
  <c r="J17" i="2"/>
  <c r="G24" i="1" s="1"/>
  <c r="G129" i="1" s="1"/>
  <c r="G190" i="1" s="1"/>
  <c r="K17" i="2"/>
  <c r="H24" i="1" s="1"/>
  <c r="H129" i="1" s="1"/>
  <c r="H190" i="1" s="1"/>
  <c r="J25" i="2"/>
  <c r="K25" i="2"/>
  <c r="J27" i="2"/>
  <c r="G39" i="1" s="1"/>
  <c r="G143" i="1" s="1"/>
  <c r="G205" i="1" s="1"/>
  <c r="J28" i="2"/>
  <c r="G40" i="1" s="1"/>
  <c r="G144" i="1" s="1"/>
  <c r="G206" i="1" s="1"/>
  <c r="K28" i="2"/>
  <c r="H40" i="1" s="1"/>
  <c r="H144" i="1" s="1"/>
  <c r="H206" i="1" s="1"/>
  <c r="J30" i="2"/>
  <c r="K32" i="2"/>
  <c r="L28" i="2"/>
  <c r="I40" i="1" s="1"/>
  <c r="I144" i="1" s="1"/>
  <c r="I206" i="1" s="1"/>
  <c r="D471" i="2"/>
  <c r="D470" i="2" s="1"/>
  <c r="D427" i="2"/>
  <c r="L25" i="2"/>
  <c r="L321" i="2"/>
  <c r="J321" i="2"/>
  <c r="K15" i="2"/>
  <c r="L15" i="2"/>
  <c r="L20" i="2"/>
  <c r="L91" i="3"/>
  <c r="K315" i="2"/>
  <c r="L429" i="2"/>
  <c r="L85" i="3"/>
  <c r="J85" i="3"/>
  <c r="G92" i="3"/>
  <c r="H92" i="3"/>
  <c r="I92" i="3"/>
  <c r="G94" i="3"/>
  <c r="G91" i="3" s="1"/>
  <c r="H94" i="3"/>
  <c r="I94" i="3"/>
  <c r="I91" i="3" s="1"/>
  <c r="G89" i="3"/>
  <c r="H89" i="3"/>
  <c r="I89" i="3"/>
  <c r="G86" i="3"/>
  <c r="G85" i="3" s="1"/>
  <c r="H86" i="3"/>
  <c r="I86" i="3"/>
  <c r="I85" i="3" s="1"/>
  <c r="H91" i="3"/>
  <c r="N120" i="6"/>
  <c r="I120" i="6"/>
  <c r="G120" i="6"/>
  <c r="N102" i="6"/>
  <c r="I135" i="6"/>
  <c r="I134" i="6" s="1"/>
  <c r="H135" i="6"/>
  <c r="H134" i="6" s="1"/>
  <c r="G135" i="6"/>
  <c r="G134" i="6" s="1"/>
  <c r="F135" i="6"/>
  <c r="F134" i="6" s="1"/>
  <c r="I116" i="6"/>
  <c r="I115" i="6" s="1"/>
  <c r="G116" i="6"/>
  <c r="G115" i="6" s="1"/>
  <c r="G10" i="4"/>
  <c r="N44" i="13"/>
  <c r="N47" i="13"/>
  <c r="N46" i="13" s="1"/>
  <c r="N26" i="13"/>
  <c r="N96" i="8"/>
  <c r="N94" i="8" s="1"/>
  <c r="N93" i="8" s="1"/>
  <c r="N85" i="8"/>
  <c r="N17" i="8"/>
  <c r="N46" i="7"/>
  <c r="N58" i="7"/>
  <c r="N70" i="7"/>
  <c r="N82" i="7"/>
  <c r="N94" i="7"/>
  <c r="N93" i="7"/>
  <c r="N91" i="7" s="1"/>
  <c r="N90" i="7" s="1"/>
  <c r="N81" i="7"/>
  <c r="N79" i="7" s="1"/>
  <c r="N78" i="7" s="1"/>
  <c r="N68" i="7"/>
  <c r="N67" i="7" s="1"/>
  <c r="N66" i="7" s="1"/>
  <c r="N56" i="7"/>
  <c r="N15" i="7"/>
  <c r="N86" i="6"/>
  <c r="N84" i="6"/>
  <c r="N64" i="6"/>
  <c r="N20" i="4"/>
  <c r="N447" i="2"/>
  <c r="N601" i="2"/>
  <c r="N600" i="2" s="1"/>
  <c r="N547" i="2"/>
  <c r="N546" i="2"/>
  <c r="N545" i="2" s="1"/>
  <c r="N544" i="2" s="1"/>
  <c r="N538" i="2"/>
  <c r="N537" i="2" s="1"/>
  <c r="N532" i="2"/>
  <c r="N531" i="2"/>
  <c r="N526" i="2"/>
  <c r="N525" i="2" s="1"/>
  <c r="N514" i="2"/>
  <c r="N513" i="2" s="1"/>
  <c r="N480" i="2"/>
  <c r="N479" i="2" s="1"/>
  <c r="N478" i="2"/>
  <c r="N477" i="2" s="1"/>
  <c r="N462" i="2"/>
  <c r="N461" i="2" s="1"/>
  <c r="N460" i="2"/>
  <c r="N459" i="2" s="1"/>
  <c r="N446" i="2"/>
  <c r="N442" i="2"/>
  <c r="N444" i="2"/>
  <c r="N443" i="2"/>
  <c r="N340" i="2"/>
  <c r="N331" i="2"/>
  <c r="N330" i="2" s="1"/>
  <c r="N329" i="2"/>
  <c r="N328" i="2" s="1"/>
  <c r="N269" i="2"/>
  <c r="N266" i="2"/>
  <c r="N265" i="2" s="1"/>
  <c r="N134" i="2"/>
  <c r="N130" i="2"/>
  <c r="N119" i="2"/>
  <c r="N115" i="2"/>
  <c r="N107" i="2"/>
  <c r="N105" i="2"/>
  <c r="N96" i="2"/>
  <c r="N84" i="2"/>
  <c r="N72" i="2"/>
  <c r="N58" i="2"/>
  <c r="L136" i="1"/>
  <c r="L137" i="1"/>
  <c r="L138" i="1"/>
  <c r="L139" i="1"/>
  <c r="L140" i="1"/>
  <c r="L141" i="1"/>
  <c r="L142" i="1"/>
  <c r="L143" i="1"/>
  <c r="L144" i="1"/>
  <c r="L145" i="1"/>
  <c r="L146" i="1"/>
  <c r="L147" i="1"/>
  <c r="N75" i="6"/>
  <c r="N72" i="6" s="1"/>
  <c r="L164" i="1"/>
  <c r="N69" i="2"/>
  <c r="N68" i="2" s="1"/>
  <c r="N93" i="2"/>
  <c r="N445" i="2"/>
  <c r="N30" i="6"/>
  <c r="N258" i="6"/>
  <c r="N257" i="6" s="1"/>
  <c r="N55" i="2"/>
  <c r="L152" i="1"/>
  <c r="L165" i="1"/>
  <c r="N222" i="9"/>
  <c r="N221" i="9" s="1"/>
  <c r="N29" i="9"/>
  <c r="N26" i="9" s="1"/>
  <c r="N112" i="5"/>
  <c r="N111" i="5" s="1"/>
  <c r="N52" i="5"/>
  <c r="N51" i="5" s="1"/>
  <c r="N46" i="5"/>
  <c r="N45" i="5" s="1"/>
  <c r="N44" i="5" s="1"/>
  <c r="N36" i="5"/>
  <c r="N102" i="5"/>
  <c r="N99" i="5"/>
  <c r="N98" i="5" s="1"/>
  <c r="N92" i="5"/>
  <c r="N91" i="5" s="1"/>
  <c r="N90" i="5" s="1"/>
  <c r="N74" i="5"/>
  <c r="N34" i="5"/>
  <c r="N36" i="3"/>
  <c r="N30" i="3"/>
  <c r="C70" i="1"/>
  <c r="N214" i="9"/>
  <c r="N213" i="9" s="1"/>
  <c r="N25" i="7"/>
  <c r="N24" i="7" s="1"/>
  <c r="G39" i="8"/>
  <c r="G38" i="8" s="1"/>
  <c r="F10" i="4"/>
  <c r="I68" i="9"/>
  <c r="H68" i="9"/>
  <c r="G68" i="9"/>
  <c r="F68" i="9"/>
  <c r="I67" i="9"/>
  <c r="F67" i="9"/>
  <c r="F343" i="2"/>
  <c r="D428" i="2"/>
  <c r="F36" i="1"/>
  <c r="F44" i="1"/>
  <c r="F142" i="1" s="1"/>
  <c r="F204" i="1" s="1"/>
  <c r="E44" i="1"/>
  <c r="E142" i="1" s="1"/>
  <c r="E204" i="1" s="1"/>
  <c r="D44" i="1"/>
  <c r="D142" i="1" s="1"/>
  <c r="D204" i="1" s="1"/>
  <c r="C44" i="1"/>
  <c r="C142" i="1" s="1"/>
  <c r="C204" i="1" s="1"/>
  <c r="E36" i="1"/>
  <c r="D36" i="1"/>
  <c r="C36" i="1"/>
  <c r="F30" i="1"/>
  <c r="F130" i="1" s="1"/>
  <c r="F192" i="1" s="1"/>
  <c r="E30" i="1"/>
  <c r="E130" i="1" s="1"/>
  <c r="E192" i="1" s="1"/>
  <c r="D30" i="1"/>
  <c r="C30" i="1"/>
  <c r="F269" i="2"/>
  <c r="F274" i="2"/>
  <c r="F266" i="2"/>
  <c r="H45" i="8"/>
  <c r="H48" i="8"/>
  <c r="H51" i="8"/>
  <c r="H54" i="8"/>
  <c r="N46" i="8"/>
  <c r="F46" i="8"/>
  <c r="N48" i="8"/>
  <c r="F154" i="2"/>
  <c r="F149" i="2"/>
  <c r="F146" i="2"/>
  <c r="D153" i="2"/>
  <c r="D148" i="2"/>
  <c r="F134" i="2"/>
  <c r="F138" i="2"/>
  <c r="F141" i="2"/>
  <c r="D142" i="2"/>
  <c r="D50" i="2" s="1"/>
  <c r="D139" i="2"/>
  <c r="D46" i="2" s="1"/>
  <c r="F122" i="2"/>
  <c r="F125" i="2"/>
  <c r="D118" i="2"/>
  <c r="D117" i="2"/>
  <c r="D39" i="2" s="1"/>
  <c r="D55" i="5"/>
  <c r="D54" i="5" s="1"/>
  <c r="I55" i="5"/>
  <c r="I54" i="5"/>
  <c r="H55" i="5"/>
  <c r="H54" i="5"/>
  <c r="G55" i="5"/>
  <c r="G54" i="5"/>
  <c r="F55" i="5"/>
  <c r="F54" i="5" s="1"/>
  <c r="D52" i="5"/>
  <c r="D51" i="5" s="1"/>
  <c r="I52" i="5"/>
  <c r="H52" i="5"/>
  <c r="G52" i="5"/>
  <c r="F52" i="5"/>
  <c r="F51" i="5" s="1"/>
  <c r="E207" i="9"/>
  <c r="F207" i="9"/>
  <c r="G207" i="9"/>
  <c r="H207" i="9"/>
  <c r="E66" i="1" s="1"/>
  <c r="I207" i="9"/>
  <c r="F66" i="1" s="1"/>
  <c r="I213" i="9"/>
  <c r="I202" i="9" s="1"/>
  <c r="I222" i="9"/>
  <c r="I221" i="9" s="1"/>
  <c r="H222" i="9"/>
  <c r="H221" i="9" s="1"/>
  <c r="G222" i="9"/>
  <c r="G221" i="9" s="1"/>
  <c r="I225" i="9"/>
  <c r="I224" i="9" s="1"/>
  <c r="H225" i="9"/>
  <c r="H224" i="9" s="1"/>
  <c r="G225" i="9"/>
  <c r="D38" i="3"/>
  <c r="D434" i="2"/>
  <c r="F568" i="2"/>
  <c r="G568" i="2"/>
  <c r="G567" i="2" s="1"/>
  <c r="G640" i="2" s="1"/>
  <c r="N18" i="8"/>
  <c r="I63" i="7"/>
  <c r="I61" i="7"/>
  <c r="I60" i="7" s="1"/>
  <c r="I58" i="7"/>
  <c r="I55" i="7"/>
  <c r="I54" i="7" s="1"/>
  <c r="H63" i="7"/>
  <c r="H61" i="7"/>
  <c r="H58" i="7"/>
  <c r="H55" i="7"/>
  <c r="H54" i="7" s="1"/>
  <c r="I75" i="7"/>
  <c r="I73" i="7"/>
  <c r="I70" i="7"/>
  <c r="I67" i="7"/>
  <c r="H75" i="7"/>
  <c r="H73" i="7"/>
  <c r="H72" i="7" s="1"/>
  <c r="H70" i="7"/>
  <c r="H67" i="7"/>
  <c r="H66" i="7" s="1"/>
  <c r="I99" i="7"/>
  <c r="I97" i="7"/>
  <c r="I96" i="7" s="1"/>
  <c r="I94" i="7"/>
  <c r="I91" i="7"/>
  <c r="H99" i="7"/>
  <c r="H97" i="7"/>
  <c r="H94" i="7"/>
  <c r="H91" i="7"/>
  <c r="I87" i="7"/>
  <c r="I85" i="7"/>
  <c r="I82" i="7"/>
  <c r="I79" i="7"/>
  <c r="H87" i="7"/>
  <c r="H85" i="7"/>
  <c r="H82" i="7"/>
  <c r="H79" i="7"/>
  <c r="I46" i="7"/>
  <c r="I43" i="7"/>
  <c r="H46" i="7"/>
  <c r="H43" i="7"/>
  <c r="H42" i="7" s="1"/>
  <c r="I51" i="7"/>
  <c r="I49" i="7"/>
  <c r="H51" i="7"/>
  <c r="H49" i="7"/>
  <c r="H25" i="7"/>
  <c r="H24" i="7"/>
  <c r="I25" i="7"/>
  <c r="I24" i="7"/>
  <c r="C67" i="1"/>
  <c r="F15" i="7"/>
  <c r="G15" i="7"/>
  <c r="H15" i="7"/>
  <c r="I15" i="7"/>
  <c r="D80" i="1"/>
  <c r="D140" i="1" s="1"/>
  <c r="D202" i="1" s="1"/>
  <c r="F21" i="7"/>
  <c r="G21" i="7"/>
  <c r="H21" i="7"/>
  <c r="I21" i="7"/>
  <c r="E27" i="1"/>
  <c r="F27" i="1"/>
  <c r="E198" i="1"/>
  <c r="F136" i="1"/>
  <c r="F198" i="1" s="1"/>
  <c r="H48" i="7"/>
  <c r="H84" i="7"/>
  <c r="I78" i="7"/>
  <c r="I84" i="7"/>
  <c r="H90" i="7"/>
  <c r="F74" i="1"/>
  <c r="F73" i="1" s="1"/>
  <c r="C74" i="1"/>
  <c r="I42" i="7"/>
  <c r="I48" i="7"/>
  <c r="G10" i="7"/>
  <c r="I90" i="7"/>
  <c r="I66" i="7"/>
  <c r="G17" i="7"/>
  <c r="I10" i="7"/>
  <c r="H17" i="7"/>
  <c r="I17" i="7"/>
  <c r="G21" i="13"/>
  <c r="G18" i="13" s="1"/>
  <c r="I21" i="13"/>
  <c r="I18" i="13" s="1"/>
  <c r="F21" i="13"/>
  <c r="H21" i="13"/>
  <c r="H18" i="13" s="1"/>
  <c r="E80" i="5"/>
  <c r="D15" i="5"/>
  <c r="D14" i="5" s="1"/>
  <c r="E23" i="5"/>
  <c r="N24" i="5"/>
  <c r="N23" i="5" s="1"/>
  <c r="N26" i="5"/>
  <c r="N25" i="5" s="1"/>
  <c r="H51" i="5"/>
  <c r="I51" i="5"/>
  <c r="H15" i="5"/>
  <c r="I15" i="5"/>
  <c r="H16" i="5"/>
  <c r="I16" i="5"/>
  <c r="I30" i="5"/>
  <c r="H30" i="5"/>
  <c r="I28" i="5"/>
  <c r="H28" i="5"/>
  <c r="I27" i="5"/>
  <c r="H27" i="5"/>
  <c r="I25" i="5"/>
  <c r="H25" i="5"/>
  <c r="I23" i="5"/>
  <c r="H23" i="5"/>
  <c r="I22" i="5"/>
  <c r="H22" i="5"/>
  <c r="I34" i="5"/>
  <c r="I36" i="5"/>
  <c r="H41" i="5"/>
  <c r="H38" i="5" s="1"/>
  <c r="I41" i="5"/>
  <c r="I38" i="5" s="1"/>
  <c r="H45" i="5"/>
  <c r="I45" i="5"/>
  <c r="H48" i="5"/>
  <c r="H47" i="5" s="1"/>
  <c r="H44" i="5" s="1"/>
  <c r="I48" i="5"/>
  <c r="I47" i="5" s="1"/>
  <c r="I44" i="5" s="1"/>
  <c r="H79" i="5"/>
  <c r="H77" i="5" s="1"/>
  <c r="I79" i="5"/>
  <c r="I77" i="5" s="1"/>
  <c r="H81" i="5"/>
  <c r="I81" i="5"/>
  <c r="H87" i="5"/>
  <c r="I87" i="5"/>
  <c r="H84" i="5"/>
  <c r="I84" i="5"/>
  <c r="H83" i="5"/>
  <c r="I83" i="5"/>
  <c r="I105" i="5"/>
  <c r="H105" i="5"/>
  <c r="I99" i="5"/>
  <c r="H99" i="5"/>
  <c r="I112" i="5"/>
  <c r="H112" i="5"/>
  <c r="I111" i="5"/>
  <c r="H111" i="5"/>
  <c r="I208" i="9"/>
  <c r="I205" i="9" s="1"/>
  <c r="I204" i="9" s="1"/>
  <c r="H208" i="9"/>
  <c r="H205" i="9" s="1"/>
  <c r="H204" i="9" s="1"/>
  <c r="G208" i="9"/>
  <c r="H32" i="9"/>
  <c r="G32" i="9"/>
  <c r="F32" i="9"/>
  <c r="F31" i="9" s="1"/>
  <c r="H31" i="9"/>
  <c r="H14" i="5"/>
  <c r="H13" i="5" s="1"/>
  <c r="I33" i="5"/>
  <c r="E30" i="5"/>
  <c r="E27" i="5" s="1"/>
  <c r="I14" i="5"/>
  <c r="I13" i="5"/>
  <c r="E25" i="5"/>
  <c r="E22" i="5"/>
  <c r="F39" i="4"/>
  <c r="G39" i="4"/>
  <c r="H39" i="4"/>
  <c r="I39" i="4"/>
  <c r="F38" i="4"/>
  <c r="G38" i="4"/>
  <c r="H38" i="4"/>
  <c r="I38" i="4"/>
  <c r="F31" i="4"/>
  <c r="G31" i="4"/>
  <c r="H31" i="4"/>
  <c r="I31" i="4"/>
  <c r="F30" i="4"/>
  <c r="G30" i="4"/>
  <c r="H30" i="4"/>
  <c r="I30" i="4"/>
  <c r="H44" i="4"/>
  <c r="H43" i="4" s="1"/>
  <c r="I44" i="4"/>
  <c r="I43" i="4" s="1"/>
  <c r="E83" i="1"/>
  <c r="E82" i="1" s="1"/>
  <c r="F83" i="1"/>
  <c r="F82" i="1" s="1"/>
  <c r="C78" i="1"/>
  <c r="C77" i="1"/>
  <c r="D77" i="1"/>
  <c r="E77" i="1"/>
  <c r="F77" i="1"/>
  <c r="C69" i="1"/>
  <c r="D69" i="1"/>
  <c r="E69" i="1"/>
  <c r="D70" i="1"/>
  <c r="E70" i="1"/>
  <c r="F70" i="1"/>
  <c r="F123" i="1"/>
  <c r="F185" i="1" s="1"/>
  <c r="I10" i="4"/>
  <c r="N49" i="3"/>
  <c r="H601" i="2"/>
  <c r="H600" i="2" s="1"/>
  <c r="I601" i="2"/>
  <c r="I600" i="2" s="1"/>
  <c r="I316" i="2"/>
  <c r="I324" i="2"/>
  <c r="I321" i="2" s="1"/>
  <c r="I564" i="2"/>
  <c r="I563" i="2" s="1"/>
  <c r="H564" i="2"/>
  <c r="H563" i="2" s="1"/>
  <c r="I526" i="2"/>
  <c r="I525" i="2" s="1"/>
  <c r="H526" i="2"/>
  <c r="H525" i="2" s="1"/>
  <c r="F69" i="1"/>
  <c r="I479" i="2"/>
  <c r="I477" i="2"/>
  <c r="H479" i="2"/>
  <c r="H477" i="2"/>
  <c r="I482" i="2"/>
  <c r="I481" i="2" s="1"/>
  <c r="H482" i="2"/>
  <c r="H481" i="2" s="1"/>
  <c r="I474" i="2"/>
  <c r="I473" i="2" s="1"/>
  <c r="I472" i="2" s="1"/>
  <c r="I471" i="2"/>
  <c r="I470" i="2" s="1"/>
  <c r="I469" i="2"/>
  <c r="I468" i="2" s="1"/>
  <c r="H474" i="2"/>
  <c r="H473" i="2" s="1"/>
  <c r="H472" i="2" s="1"/>
  <c r="H471" i="2"/>
  <c r="H469" i="2"/>
  <c r="H468" i="2" s="1"/>
  <c r="G474" i="2"/>
  <c r="G473" i="2" s="1"/>
  <c r="G472" i="2" s="1"/>
  <c r="G471" i="2"/>
  <c r="G470" i="2" s="1"/>
  <c r="G469" i="2"/>
  <c r="G468" i="2" s="1"/>
  <c r="I453" i="2"/>
  <c r="I449" i="2"/>
  <c r="I445" i="2"/>
  <c r="I441" i="2"/>
  <c r="H453" i="2"/>
  <c r="H449" i="2"/>
  <c r="H445" i="2"/>
  <c r="H441" i="2"/>
  <c r="G453" i="2"/>
  <c r="G449" i="2"/>
  <c r="G445" i="2"/>
  <c r="G441" i="2"/>
  <c r="F453" i="2"/>
  <c r="F449" i="2"/>
  <c r="F445" i="2"/>
  <c r="F441" i="2"/>
  <c r="I431" i="2"/>
  <c r="I21" i="2" s="1"/>
  <c r="F28" i="1" s="1"/>
  <c r="F131" i="1" s="1"/>
  <c r="F193" i="1" s="1"/>
  <c r="I430" i="2"/>
  <c r="I428" i="2"/>
  <c r="I16" i="2" s="1"/>
  <c r="I427" i="2"/>
  <c r="I14" i="2" s="1"/>
  <c r="I426" i="2"/>
  <c r="H431" i="2"/>
  <c r="H21" i="2" s="1"/>
  <c r="E28" i="1" s="1"/>
  <c r="E131" i="1" s="1"/>
  <c r="E193" i="1" s="1"/>
  <c r="H430" i="2"/>
  <c r="H20" i="2" s="1"/>
  <c r="H428" i="2"/>
  <c r="H427" i="2"/>
  <c r="H14" i="2" s="1"/>
  <c r="H426" i="2"/>
  <c r="I438" i="2"/>
  <c r="I437" i="2"/>
  <c r="I32" i="2" s="1"/>
  <c r="I435" i="2"/>
  <c r="I26" i="2" s="1"/>
  <c r="I434" i="2"/>
  <c r="I24" i="2" s="1"/>
  <c r="F34" i="1" s="1"/>
  <c r="H438" i="2"/>
  <c r="H437" i="2"/>
  <c r="H435" i="2"/>
  <c r="H434" i="2"/>
  <c r="H24" i="2" s="1"/>
  <c r="E34" i="1" s="1"/>
  <c r="I319" i="2"/>
  <c r="H17" i="2"/>
  <c r="E24" i="1" s="1"/>
  <c r="E129" i="1" s="1"/>
  <c r="E190" i="1" s="1"/>
  <c r="I17" i="2"/>
  <c r="F24" i="1" s="1"/>
  <c r="F129" i="1" s="1"/>
  <c r="F190" i="1" s="1"/>
  <c r="H25" i="2"/>
  <c r="I25" i="2"/>
  <c r="H27" i="2"/>
  <c r="E39" i="1" s="1"/>
  <c r="E143" i="1" s="1"/>
  <c r="E205" i="1" s="1"/>
  <c r="I27" i="2"/>
  <c r="F39" i="1" s="1"/>
  <c r="F143" i="1" s="1"/>
  <c r="F205" i="1" s="1"/>
  <c r="H28" i="2"/>
  <c r="E40" i="1" s="1"/>
  <c r="E144" i="1" s="1"/>
  <c r="E206" i="1" s="1"/>
  <c r="I28" i="2"/>
  <c r="F40" i="1" s="1"/>
  <c r="F144" i="1" s="1"/>
  <c r="F206" i="1" s="1"/>
  <c r="H30" i="2"/>
  <c r="I30" i="2"/>
  <c r="D449" i="2"/>
  <c r="E434" i="2"/>
  <c r="E24" i="2" s="1"/>
  <c r="I15" i="2"/>
  <c r="E78" i="1"/>
  <c r="H15" i="2"/>
  <c r="F78" i="1"/>
  <c r="H470" i="2"/>
  <c r="E427" i="2"/>
  <c r="H429" i="2"/>
  <c r="E471" i="2"/>
  <c r="I433" i="2"/>
  <c r="E479" i="2"/>
  <c r="F247" i="6"/>
  <c r="F246" i="6" s="1"/>
  <c r="F245" i="6" s="1"/>
  <c r="G247" i="6"/>
  <c r="G246" i="6" s="1"/>
  <c r="G245" i="6" s="1"/>
  <c r="H247" i="6"/>
  <c r="H246" i="6" s="1"/>
  <c r="H245" i="6" s="1"/>
  <c r="I247" i="6"/>
  <c r="I246" i="6" s="1"/>
  <c r="I245" i="6" s="1"/>
  <c r="I262" i="6"/>
  <c r="I261" i="6" s="1"/>
  <c r="H262" i="6"/>
  <c r="H261" i="6" s="1"/>
  <c r="G262" i="6"/>
  <c r="G261" i="6" s="1"/>
  <c r="F262" i="6"/>
  <c r="F261" i="6" s="1"/>
  <c r="I258" i="6"/>
  <c r="I257" i="6" s="1"/>
  <c r="H258" i="6"/>
  <c r="H257" i="6" s="1"/>
  <c r="G258" i="6"/>
  <c r="G257" i="6" s="1"/>
  <c r="F258" i="6"/>
  <c r="F257" i="6" s="1"/>
  <c r="F244" i="6"/>
  <c r="G244" i="6"/>
  <c r="H244" i="6"/>
  <c r="I244" i="6"/>
  <c r="I243" i="6"/>
  <c r="H242" i="6"/>
  <c r="H241" i="6" s="1"/>
  <c r="H240" i="6"/>
  <c r="I240" i="6"/>
  <c r="H91" i="6"/>
  <c r="I91" i="6"/>
  <c r="H89" i="6"/>
  <c r="I89" i="6"/>
  <c r="H88" i="6"/>
  <c r="I88" i="6"/>
  <c r="H86" i="6"/>
  <c r="I86" i="6"/>
  <c r="H84" i="6"/>
  <c r="H83" i="6" s="1"/>
  <c r="I84" i="6"/>
  <c r="I83" i="6" s="1"/>
  <c r="I80" i="6"/>
  <c r="H80" i="6"/>
  <c r="I78" i="6"/>
  <c r="H78" i="6"/>
  <c r="I77" i="6"/>
  <c r="H77" i="6"/>
  <c r="I75" i="6"/>
  <c r="H75" i="6"/>
  <c r="I73" i="6"/>
  <c r="H73" i="6"/>
  <c r="I72" i="6"/>
  <c r="H72" i="6"/>
  <c r="I61" i="6"/>
  <c r="I69" i="6"/>
  <c r="H69" i="6"/>
  <c r="G69" i="6"/>
  <c r="F69" i="6"/>
  <c r="I67" i="6"/>
  <c r="H67" i="6"/>
  <c r="G67" i="6"/>
  <c r="F67" i="6"/>
  <c r="I66" i="6"/>
  <c r="H66" i="6"/>
  <c r="G66" i="6"/>
  <c r="F66" i="6"/>
  <c r="I64" i="6"/>
  <c r="H64" i="6"/>
  <c r="G64" i="6"/>
  <c r="F64" i="6"/>
  <c r="H61" i="6"/>
  <c r="G61" i="6"/>
  <c r="I36" i="6"/>
  <c r="I35" i="6" s="1"/>
  <c r="H36" i="6"/>
  <c r="H35" i="6" s="1"/>
  <c r="G36" i="6"/>
  <c r="G35" i="6" s="1"/>
  <c r="F36" i="6"/>
  <c r="F35" i="6" s="1"/>
  <c r="I30" i="6"/>
  <c r="H30" i="6"/>
  <c r="G30" i="6"/>
  <c r="F30" i="6"/>
  <c r="I27" i="6"/>
  <c r="I254" i="6"/>
  <c r="I253" i="6" s="1"/>
  <c r="I239" i="6" s="1"/>
  <c r="H254" i="6"/>
  <c r="H253" i="6" s="1"/>
  <c r="H239" i="6" s="1"/>
  <c r="G243" i="6"/>
  <c r="F60" i="6"/>
  <c r="F255" i="6"/>
  <c r="N585" i="2"/>
  <c r="N584" i="2" s="1"/>
  <c r="F41" i="9"/>
  <c r="G91" i="6"/>
  <c r="G86" i="6"/>
  <c r="G89" i="6"/>
  <c r="G84" i="6"/>
  <c r="D80" i="6"/>
  <c r="F80" i="6"/>
  <c r="G80" i="6"/>
  <c r="F78" i="6"/>
  <c r="G78" i="6"/>
  <c r="G77" i="6" s="1"/>
  <c r="D75" i="6"/>
  <c r="F75" i="6"/>
  <c r="G75" i="6"/>
  <c r="F73" i="6"/>
  <c r="F72" i="6" s="1"/>
  <c r="G73" i="6"/>
  <c r="G83" i="6"/>
  <c r="G72" i="6"/>
  <c r="D17" i="5"/>
  <c r="G67" i="7"/>
  <c r="F67" i="7"/>
  <c r="F44" i="4"/>
  <c r="G44" i="4"/>
  <c r="G43" i="4" s="1"/>
  <c r="D10" i="13"/>
  <c r="D40" i="13"/>
  <c r="D39" i="13" s="1"/>
  <c r="D35" i="13"/>
  <c r="N10" i="13"/>
  <c r="D28" i="13"/>
  <c r="D31" i="13"/>
  <c r="D30" i="13" s="1"/>
  <c r="F208" i="9"/>
  <c r="D98" i="8"/>
  <c r="D97" i="8" s="1"/>
  <c r="M103" i="1" s="1"/>
  <c r="E85" i="8"/>
  <c r="M85" i="8" s="1"/>
  <c r="F54" i="8"/>
  <c r="F51" i="8"/>
  <c r="F48" i="8"/>
  <c r="F45" i="8"/>
  <c r="F41" i="8"/>
  <c r="F39" i="8"/>
  <c r="F38" i="8" s="1"/>
  <c r="F34" i="8"/>
  <c r="B30" i="1"/>
  <c r="D136" i="1"/>
  <c r="D198" i="1" s="1"/>
  <c r="C136" i="1"/>
  <c r="C198" i="1" s="1"/>
  <c r="D27" i="1"/>
  <c r="C27" i="1"/>
  <c r="G99" i="7"/>
  <c r="F99" i="7"/>
  <c r="G97" i="7"/>
  <c r="F97" i="7"/>
  <c r="G96" i="7"/>
  <c r="G94" i="7"/>
  <c r="F94" i="7"/>
  <c r="G91" i="7"/>
  <c r="F91" i="7"/>
  <c r="G87" i="7"/>
  <c r="F87" i="7"/>
  <c r="G85" i="7"/>
  <c r="F85" i="7"/>
  <c r="G82" i="7"/>
  <c r="F82" i="7"/>
  <c r="G79" i="7"/>
  <c r="F79" i="7"/>
  <c r="G75" i="7"/>
  <c r="F75" i="7"/>
  <c r="G73" i="7"/>
  <c r="F73" i="7"/>
  <c r="G72" i="7"/>
  <c r="G70" i="7"/>
  <c r="F70" i="7"/>
  <c r="G66" i="7"/>
  <c r="F66" i="7"/>
  <c r="G63" i="7"/>
  <c r="F63" i="7"/>
  <c r="G61" i="7"/>
  <c r="F61" i="7"/>
  <c r="G58" i="7"/>
  <c r="F58" i="7"/>
  <c r="G55" i="7"/>
  <c r="G54" i="7" s="1"/>
  <c r="F55" i="7"/>
  <c r="G51" i="7"/>
  <c r="F51" i="7"/>
  <c r="G49" i="7"/>
  <c r="F49" i="7"/>
  <c r="G46" i="7"/>
  <c r="F46" i="7"/>
  <c r="G43" i="7"/>
  <c r="F43" i="7"/>
  <c r="G25" i="7"/>
  <c r="G24" i="7" s="1"/>
  <c r="F25" i="7"/>
  <c r="F24" i="7" s="1"/>
  <c r="G254" i="6"/>
  <c r="G253" i="6" s="1"/>
  <c r="G239" i="6" s="1"/>
  <c r="F254" i="6"/>
  <c r="F253" i="6" s="1"/>
  <c r="N250" i="6"/>
  <c r="N249" i="6" s="1"/>
  <c r="G240" i="6"/>
  <c r="N240" i="6" s="1"/>
  <c r="F240" i="6"/>
  <c r="M240" i="6" s="1"/>
  <c r="G112" i="5"/>
  <c r="G111" i="5" s="1"/>
  <c r="F112" i="5"/>
  <c r="F111" i="5"/>
  <c r="D85" i="5"/>
  <c r="G105" i="5"/>
  <c r="F105" i="5"/>
  <c r="G99" i="5"/>
  <c r="F99" i="5"/>
  <c r="G91" i="5"/>
  <c r="F91" i="5"/>
  <c r="F90" i="5" s="1"/>
  <c r="G90" i="5"/>
  <c r="F88" i="5"/>
  <c r="C83" i="1" s="1"/>
  <c r="C82" i="1" s="1"/>
  <c r="G87" i="5"/>
  <c r="F87" i="5"/>
  <c r="F86" i="5"/>
  <c r="F61" i="5" s="1"/>
  <c r="F85" i="5"/>
  <c r="G84" i="5"/>
  <c r="G83" i="5" s="1"/>
  <c r="G81" i="5"/>
  <c r="F81" i="5"/>
  <c r="F80" i="5"/>
  <c r="G79" i="5"/>
  <c r="G77" i="5" s="1"/>
  <c r="G76" i="5" s="1"/>
  <c r="F79" i="5"/>
  <c r="F78" i="5"/>
  <c r="G51" i="5"/>
  <c r="N75" i="5"/>
  <c r="N73" i="5" s="1"/>
  <c r="G48" i="5"/>
  <c r="F48" i="5"/>
  <c r="F47" i="5" s="1"/>
  <c r="G47" i="5"/>
  <c r="G45" i="5"/>
  <c r="F45" i="5"/>
  <c r="F44" i="5" s="1"/>
  <c r="G41" i="5"/>
  <c r="G38" i="5" s="1"/>
  <c r="F41" i="5"/>
  <c r="F38" i="5" s="1"/>
  <c r="G30" i="5"/>
  <c r="F30" i="5"/>
  <c r="G28" i="5"/>
  <c r="F28" i="5"/>
  <c r="G27" i="5"/>
  <c r="G25" i="5"/>
  <c r="F25" i="5"/>
  <c r="G23" i="5"/>
  <c r="F23" i="5"/>
  <c r="F22" i="5" s="1"/>
  <c r="G16" i="5"/>
  <c r="G15" i="5"/>
  <c r="F43" i="4"/>
  <c r="D36" i="4"/>
  <c r="F94" i="3"/>
  <c r="F92" i="3"/>
  <c r="F91" i="3" s="1"/>
  <c r="F89" i="3"/>
  <c r="F86" i="3"/>
  <c r="F85" i="3" s="1"/>
  <c r="G601" i="2"/>
  <c r="G600" i="2" s="1"/>
  <c r="F601" i="2"/>
  <c r="F600" i="2" s="1"/>
  <c r="F567" i="2"/>
  <c r="F640" i="2" s="1"/>
  <c r="D564" i="2"/>
  <c r="D563" i="2" s="1"/>
  <c r="G564" i="2"/>
  <c r="G563" i="2" s="1"/>
  <c r="F564" i="2"/>
  <c r="F563" i="2" s="1"/>
  <c r="G560" i="2"/>
  <c r="G559" i="2" s="1"/>
  <c r="F560" i="2"/>
  <c r="F559" i="2" s="1"/>
  <c r="D549" i="2"/>
  <c r="D548" i="2" s="1"/>
  <c r="G526" i="2"/>
  <c r="G525" i="2" s="1"/>
  <c r="F526" i="2"/>
  <c r="F525" i="2" s="1"/>
  <c r="G522" i="2"/>
  <c r="G521" i="2" s="1"/>
  <c r="F522" i="2"/>
  <c r="F521" i="2" s="1"/>
  <c r="G501" i="2"/>
  <c r="F501" i="2"/>
  <c r="D78" i="1"/>
  <c r="G482" i="2"/>
  <c r="F482" i="2"/>
  <c r="F481" i="2" s="1"/>
  <c r="G481" i="2"/>
  <c r="G479" i="2"/>
  <c r="F479" i="2"/>
  <c r="G477" i="2"/>
  <c r="F477" i="2"/>
  <c r="F476" i="2" s="1"/>
  <c r="F474" i="2"/>
  <c r="F473" i="2" s="1"/>
  <c r="F472" i="2" s="1"/>
  <c r="F471" i="2"/>
  <c r="F470" i="2" s="1"/>
  <c r="F469" i="2"/>
  <c r="F468" i="2" s="1"/>
  <c r="G438" i="2"/>
  <c r="G33" i="2" s="1"/>
  <c r="D43" i="1" s="1"/>
  <c r="F438" i="2"/>
  <c r="F33" i="2" s="1"/>
  <c r="C43" i="1" s="1"/>
  <c r="C146" i="1" s="1"/>
  <c r="C208" i="1" s="1"/>
  <c r="G437" i="2"/>
  <c r="F437" i="2"/>
  <c r="G435" i="2"/>
  <c r="G26" i="2" s="1"/>
  <c r="F435" i="2"/>
  <c r="G434" i="2"/>
  <c r="G24" i="2" s="1"/>
  <c r="F434" i="2"/>
  <c r="F24" i="2" s="1"/>
  <c r="G431" i="2"/>
  <c r="G21" i="2" s="1"/>
  <c r="D28" i="1" s="1"/>
  <c r="D131" i="1" s="1"/>
  <c r="D193" i="1" s="1"/>
  <c r="F431" i="2"/>
  <c r="F21" i="2" s="1"/>
  <c r="G430" i="2"/>
  <c r="N430" i="2" s="1"/>
  <c r="F430" i="2"/>
  <c r="G428" i="2"/>
  <c r="G16" i="2" s="1"/>
  <c r="F428" i="2"/>
  <c r="G427" i="2"/>
  <c r="G14" i="2" s="1"/>
  <c r="F427" i="2"/>
  <c r="F14" i="2" s="1"/>
  <c r="G426" i="2"/>
  <c r="N426" i="2" s="1"/>
  <c r="F426" i="2"/>
  <c r="D272" i="2"/>
  <c r="D269" i="2"/>
  <c r="D58" i="2"/>
  <c r="G30" i="2"/>
  <c r="F30" i="2"/>
  <c r="G28" i="2"/>
  <c r="D40" i="1" s="1"/>
  <c r="D144" i="1" s="1"/>
  <c r="D206" i="1" s="1"/>
  <c r="F28" i="2"/>
  <c r="C40" i="1" s="1"/>
  <c r="C144" i="1" s="1"/>
  <c r="C206" i="1" s="1"/>
  <c r="G27" i="2"/>
  <c r="D39" i="1" s="1"/>
  <c r="D143" i="1" s="1"/>
  <c r="D205" i="1" s="1"/>
  <c r="F27" i="2"/>
  <c r="C39" i="1" s="1"/>
  <c r="C143" i="1" s="1"/>
  <c r="C205" i="1" s="1"/>
  <c r="G25" i="2"/>
  <c r="F25" i="2"/>
  <c r="F15" i="2"/>
  <c r="D306" i="2"/>
  <c r="D526" i="2"/>
  <c r="D525" i="2" s="1"/>
  <c r="D77" i="2"/>
  <c r="D274" i="2"/>
  <c r="D89" i="2"/>
  <c r="F84" i="7"/>
  <c r="G90" i="7"/>
  <c r="N80" i="2"/>
  <c r="G15" i="2"/>
  <c r="D435" i="2"/>
  <c r="G42" i="7"/>
  <c r="F72" i="7"/>
  <c r="B81" i="1"/>
  <c r="E75" i="5"/>
  <c r="E73" i="5" s="1"/>
  <c r="F77" i="5"/>
  <c r="F76" i="5" s="1"/>
  <c r="C80" i="1"/>
  <c r="C140" i="1" s="1"/>
  <c r="C202" i="1" s="1"/>
  <c r="E82" i="5"/>
  <c r="D82" i="5"/>
  <c r="D81" i="5" s="1"/>
  <c r="E112" i="5"/>
  <c r="N79" i="5"/>
  <c r="F14" i="5"/>
  <c r="G60" i="7"/>
  <c r="N80" i="5"/>
  <c r="F50" i="8"/>
  <c r="F115" i="8" s="1"/>
  <c r="G14" i="5"/>
  <c r="G13" i="5" s="1"/>
  <c r="N469" i="2"/>
  <c r="N468" i="2" s="1"/>
  <c r="G44" i="5"/>
  <c r="F84" i="5"/>
  <c r="F83" i="5" s="1"/>
  <c r="E102" i="5"/>
  <c r="E86" i="5"/>
  <c r="E79" i="5"/>
  <c r="E108" i="5"/>
  <c r="E88" i="5"/>
  <c r="F32" i="2"/>
  <c r="D141" i="2"/>
  <c r="G429" i="2"/>
  <c r="F429" i="2"/>
  <c r="G436" i="2"/>
  <c r="F436" i="2"/>
  <c r="F425" i="2"/>
  <c r="F433" i="2"/>
  <c r="G476" i="2"/>
  <c r="G48" i="7"/>
  <c r="F96" i="7"/>
  <c r="E116" i="8"/>
  <c r="D39" i="8"/>
  <c r="E110" i="8"/>
  <c r="D91" i="8"/>
  <c r="D87" i="8" s="1"/>
  <c r="D86" i="8" s="1"/>
  <c r="G22" i="5"/>
  <c r="E123" i="1"/>
  <c r="E185" i="1" s="1"/>
  <c r="D27" i="4"/>
  <c r="D26" i="4"/>
  <c r="E244" i="6"/>
  <c r="E262" i="6"/>
  <c r="E261" i="6" s="1"/>
  <c r="E247" i="6"/>
  <c r="E246" i="6" s="1"/>
  <c r="E245" i="6" s="1"/>
  <c r="D49" i="3"/>
  <c r="D13" i="3" s="1"/>
  <c r="D56" i="3"/>
  <c r="D574" i="2"/>
  <c r="E77" i="2"/>
  <c r="D24" i="2"/>
  <c r="P544" i="2"/>
  <c r="D14" i="2"/>
  <c r="D138" i="2"/>
  <c r="P458" i="2"/>
  <c r="D244" i="6"/>
  <c r="F27" i="5"/>
  <c r="F54" i="7"/>
  <c r="F42" i="7"/>
  <c r="G78" i="7"/>
  <c r="F48" i="7"/>
  <c r="F60" i="7"/>
  <c r="G84" i="7"/>
  <c r="D152" i="2"/>
  <c r="D479" i="2"/>
  <c r="D79" i="5"/>
  <c r="F90" i="7"/>
  <c r="D94" i="8"/>
  <c r="D93" i="8" s="1"/>
  <c r="D78" i="8" s="1"/>
  <c r="D76" i="8" s="1"/>
  <c r="D85" i="8"/>
  <c r="D130" i="2"/>
  <c r="P440" i="2"/>
  <c r="B198" i="1"/>
  <c r="D311" i="2"/>
  <c r="E449" i="2"/>
  <c r="E448" i="2" s="1"/>
  <c r="E435" i="2"/>
  <c r="D278" i="2"/>
  <c r="E461" i="2"/>
  <c r="P483" i="2"/>
  <c r="E474" i="2"/>
  <c r="E482" i="2"/>
  <c r="E481" i="2" s="1"/>
  <c r="D328" i="2"/>
  <c r="D20" i="5"/>
  <c r="D19" i="5" s="1"/>
  <c r="D18" i="5" s="1"/>
  <c r="D75" i="5"/>
  <c r="D73" i="5" s="1"/>
  <c r="D49" i="7"/>
  <c r="B67" i="1"/>
  <c r="D92" i="3"/>
  <c r="B44" i="1"/>
  <c r="F432" i="2"/>
  <c r="E85" i="5"/>
  <c r="E84" i="5" s="1"/>
  <c r="E111" i="5"/>
  <c r="E87" i="5"/>
  <c r="E105" i="5"/>
  <c r="E104" i="5" s="1"/>
  <c r="E81" i="5"/>
  <c r="E99" i="5"/>
  <c r="E98" i="5" s="1"/>
  <c r="E78" i="5"/>
  <c r="D59" i="3"/>
  <c r="E463" i="2"/>
  <c r="D464" i="2"/>
  <c r="D463" i="2" s="1"/>
  <c r="E87" i="2"/>
  <c r="D305" i="2"/>
  <c r="D110" i="2"/>
  <c r="D109" i="2" s="1"/>
  <c r="E96" i="2"/>
  <c r="E89" i="2"/>
  <c r="D433" i="2"/>
  <c r="D312" i="2"/>
  <c r="D286" i="2"/>
  <c r="E437" i="2"/>
  <c r="E445" i="2"/>
  <c r="E430" i="2"/>
  <c r="E428" i="2"/>
  <c r="E459" i="2"/>
  <c r="D247" i="6"/>
  <c r="D246" i="6" s="1"/>
  <c r="D245" i="6" s="1"/>
  <c r="D262" i="6"/>
  <c r="D261" i="6" s="1"/>
  <c r="D110" i="8"/>
  <c r="D88" i="5"/>
  <c r="D87" i="5" s="1"/>
  <c r="D34" i="5"/>
  <c r="D80" i="5"/>
  <c r="D333" i="2"/>
  <c r="D332" i="2" s="1"/>
  <c r="D459" i="2"/>
  <c r="D474" i="2"/>
  <c r="D473" i="2" s="1"/>
  <c r="D472" i="2" s="1"/>
  <c r="D41" i="5"/>
  <c r="D38" i="5" s="1"/>
  <c r="E77" i="5"/>
  <c r="E76" i="5" s="1"/>
  <c r="D21" i="4"/>
  <c r="H10" i="4"/>
  <c r="D36" i="5"/>
  <c r="D33" i="5" s="1"/>
  <c r="D28" i="2"/>
  <c r="D87" i="2"/>
  <c r="D330" i="2"/>
  <c r="D518" i="2"/>
  <c r="D517" i="2" s="1"/>
  <c r="O15" i="1"/>
  <c r="P497" i="2"/>
  <c r="D30" i="6"/>
  <c r="D27" i="6" s="1"/>
  <c r="I242" i="6"/>
  <c r="I241" i="6" s="1"/>
  <c r="K205" i="6"/>
  <c r="D84" i="6"/>
  <c r="D89" i="6"/>
  <c r="N89" i="13" l="1"/>
  <c r="M89" i="13"/>
  <c r="M198" i="6"/>
  <c r="M140" i="6"/>
  <c r="C102" i="1"/>
  <c r="F642" i="2"/>
  <c r="D102" i="1"/>
  <c r="G642" i="2"/>
  <c r="F102" i="1"/>
  <c r="I642" i="2"/>
  <c r="G169" i="7"/>
  <c r="H50" i="8"/>
  <c r="H115" i="8" s="1"/>
  <c r="H117" i="8" s="1"/>
  <c r="I115" i="8"/>
  <c r="I117" i="8" s="1"/>
  <c r="H116" i="8"/>
  <c r="F14" i="8"/>
  <c r="D52" i="8"/>
  <c r="F23" i="8"/>
  <c r="F22" i="8" s="1"/>
  <c r="J103" i="1"/>
  <c r="F12" i="8"/>
  <c r="L115" i="8"/>
  <c r="L117" i="8" s="1"/>
  <c r="J115" i="8"/>
  <c r="J117" i="8" s="1"/>
  <c r="D42" i="8"/>
  <c r="G31" i="8"/>
  <c r="G28" i="8" s="1"/>
  <c r="G21" i="8" s="1"/>
  <c r="F18" i="8"/>
  <c r="F16" i="8" s="1"/>
  <c r="M18" i="8"/>
  <c r="D55" i="8"/>
  <c r="D29" i="8" s="1"/>
  <c r="F29" i="8"/>
  <c r="F28" i="8" s="1"/>
  <c r="M396" i="2"/>
  <c r="L268" i="6"/>
  <c r="H448" i="2"/>
  <c r="J436" i="2"/>
  <c r="G116" i="8"/>
  <c r="G117" i="8" s="1"/>
  <c r="F116" i="8"/>
  <c r="H10" i="8"/>
  <c r="G10" i="8"/>
  <c r="G8" i="8" s="1"/>
  <c r="D45" i="7"/>
  <c r="D43" i="7" s="1"/>
  <c r="K7" i="7"/>
  <c r="N45" i="7"/>
  <c r="N43" i="7" s="1"/>
  <c r="N42" i="7" s="1"/>
  <c r="D7" i="7"/>
  <c r="D172" i="7" s="1"/>
  <c r="D11" i="7"/>
  <c r="H400" i="2"/>
  <c r="N396" i="2"/>
  <c r="E433" i="2"/>
  <c r="G425" i="2"/>
  <c r="G424" i="2" s="1"/>
  <c r="N431" i="2"/>
  <c r="N429" i="2" s="1"/>
  <c r="F448" i="2"/>
  <c r="K429" i="2"/>
  <c r="K436" i="2"/>
  <c r="J433" i="2"/>
  <c r="G34" i="13"/>
  <c r="I30" i="13"/>
  <c r="L7" i="9"/>
  <c r="J7" i="9"/>
  <c r="K7" i="9"/>
  <c r="D176" i="2"/>
  <c r="K70" i="1"/>
  <c r="G83" i="13"/>
  <c r="N84" i="13"/>
  <c r="M84" i="13"/>
  <c r="M83" i="13" s="1"/>
  <c r="E125" i="1"/>
  <c r="E191" i="1" s="1"/>
  <c r="G141" i="1"/>
  <c r="G203" i="1" s="1"/>
  <c r="K30" i="1"/>
  <c r="K130" i="1" s="1"/>
  <c r="I141" i="1"/>
  <c r="I203" i="1" s="1"/>
  <c r="K20" i="1"/>
  <c r="K72" i="1"/>
  <c r="J8" i="8"/>
  <c r="K8" i="8"/>
  <c r="I8" i="8"/>
  <c r="D54" i="8"/>
  <c r="K69" i="1"/>
  <c r="M244" i="6"/>
  <c r="N239" i="6"/>
  <c r="F13" i="5"/>
  <c r="L116" i="5"/>
  <c r="L118" i="5" s="1"/>
  <c r="J116" i="5"/>
  <c r="J118" i="5" s="1"/>
  <c r="K116" i="5"/>
  <c r="K118" i="5" s="1"/>
  <c r="J13" i="5"/>
  <c r="M15" i="5"/>
  <c r="M14" i="5" s="1"/>
  <c r="N22" i="5"/>
  <c r="N17" i="5"/>
  <c r="N16" i="5" s="1"/>
  <c r="N15" i="5"/>
  <c r="M17" i="5"/>
  <c r="M16" i="5" s="1"/>
  <c r="N13" i="13"/>
  <c r="M13" i="13"/>
  <c r="L18" i="13"/>
  <c r="L107" i="13" s="1"/>
  <c r="L88" i="13" s="1"/>
  <c r="F25" i="13"/>
  <c r="G205" i="9"/>
  <c r="G204" i="9" s="1"/>
  <c r="N208" i="9"/>
  <c r="C66" i="1"/>
  <c r="M207" i="9"/>
  <c r="G201" i="9"/>
  <c r="N202" i="9"/>
  <c r="N206" i="9"/>
  <c r="F205" i="9"/>
  <c r="F204" i="9" s="1"/>
  <c r="M208" i="9"/>
  <c r="D66" i="1"/>
  <c r="L66" i="1" s="1"/>
  <c r="N207" i="9"/>
  <c r="N205" i="9" s="1"/>
  <c r="M202" i="9"/>
  <c r="M206" i="9"/>
  <c r="M205" i="9" s="1"/>
  <c r="M204" i="9" s="1"/>
  <c r="K27" i="1"/>
  <c r="F44" i="8"/>
  <c r="F9" i="8" s="1"/>
  <c r="M78" i="8"/>
  <c r="D37" i="8"/>
  <c r="D20" i="8" s="1"/>
  <c r="M37" i="8"/>
  <c r="M20" i="8" s="1"/>
  <c r="D49" i="8"/>
  <c r="D18" i="8" s="1"/>
  <c r="M80" i="8"/>
  <c r="M79" i="8" s="1"/>
  <c r="B72" i="1"/>
  <c r="N72" i="1" s="1"/>
  <c r="E87" i="8"/>
  <c r="E86" i="8" s="1"/>
  <c r="J81" i="1"/>
  <c r="F36" i="8"/>
  <c r="F22" i="1"/>
  <c r="F127" i="1" s="1"/>
  <c r="F188" i="1" s="1"/>
  <c r="M46" i="8"/>
  <c r="C141" i="1"/>
  <c r="C203" i="1" s="1"/>
  <c r="E141" i="1"/>
  <c r="E203" i="1" s="1"/>
  <c r="F125" i="1"/>
  <c r="F191" i="1" s="1"/>
  <c r="G41" i="8"/>
  <c r="G125" i="1"/>
  <c r="G191" i="1" s="1"/>
  <c r="M34" i="8"/>
  <c r="D47" i="8"/>
  <c r="D14" i="8" s="1"/>
  <c r="K80" i="8"/>
  <c r="K79" i="8" s="1"/>
  <c r="N84" i="8"/>
  <c r="N80" i="8" s="1"/>
  <c r="N79" i="8" s="1"/>
  <c r="M77" i="8"/>
  <c r="M76" i="8" s="1"/>
  <c r="F16" i="6"/>
  <c r="M141" i="6"/>
  <c r="M145" i="6"/>
  <c r="F201" i="6"/>
  <c r="F14" i="6"/>
  <c r="M139" i="6"/>
  <c r="L69" i="1"/>
  <c r="D83" i="1"/>
  <c r="D82" i="1" s="1"/>
  <c r="E74" i="1"/>
  <c r="E73" i="1" s="1"/>
  <c r="F15" i="3"/>
  <c r="J45" i="3"/>
  <c r="M46" i="3"/>
  <c r="M45" i="3" s="1"/>
  <c r="F16" i="3"/>
  <c r="M50" i="3"/>
  <c r="M44" i="3" s="1"/>
  <c r="N114" i="2"/>
  <c r="D137" i="2"/>
  <c r="I476" i="2"/>
  <c r="I9" i="2" s="1"/>
  <c r="E14" i="2"/>
  <c r="M14" i="2" s="1"/>
  <c r="M427" i="2"/>
  <c r="M40" i="2"/>
  <c r="M395" i="2"/>
  <c r="N398" i="2"/>
  <c r="M398" i="2"/>
  <c r="M430" i="2"/>
  <c r="M428" i="2"/>
  <c r="G433" i="2"/>
  <c r="G432" i="2" s="1"/>
  <c r="N471" i="2"/>
  <c r="N470" i="2" s="1"/>
  <c r="N467" i="2" s="1"/>
  <c r="M471" i="2"/>
  <c r="M470" i="2" s="1"/>
  <c r="I315" i="2"/>
  <c r="M318" i="2"/>
  <c r="N403" i="2"/>
  <c r="M403" i="2"/>
  <c r="F17" i="2"/>
  <c r="M39" i="2"/>
  <c r="M38" i="2"/>
  <c r="L23" i="1"/>
  <c r="K23" i="1"/>
  <c r="L71" i="1"/>
  <c r="L72" i="1"/>
  <c r="F33" i="5"/>
  <c r="D55" i="3"/>
  <c r="D19" i="3"/>
  <c r="D18" i="3" s="1"/>
  <c r="G301" i="2"/>
  <c r="H476" i="2"/>
  <c r="N38" i="2"/>
  <c r="G32" i="2"/>
  <c r="D126" i="1"/>
  <c r="D187" i="1" s="1"/>
  <c r="G17" i="2"/>
  <c r="N17" i="2" s="1"/>
  <c r="N39" i="2"/>
  <c r="L70" i="1"/>
  <c r="G169" i="2"/>
  <c r="N318" i="2"/>
  <c r="J15" i="2"/>
  <c r="G126" i="1" s="1"/>
  <c r="G187" i="1" s="1"/>
  <c r="N42" i="2"/>
  <c r="L32" i="2"/>
  <c r="H32" i="2"/>
  <c r="D407" i="2"/>
  <c r="D325" i="2" s="1"/>
  <c r="G320" i="2"/>
  <c r="G19" i="2" s="1"/>
  <c r="N401" i="2"/>
  <c r="F11" i="5"/>
  <c r="D171" i="6"/>
  <c r="J139" i="6"/>
  <c r="G139" i="6"/>
  <c r="K148" i="6"/>
  <c r="G231" i="6"/>
  <c r="N110" i="6"/>
  <c r="N111" i="6"/>
  <c r="N114" i="6"/>
  <c r="N133" i="6"/>
  <c r="D123" i="6"/>
  <c r="D215" i="6"/>
  <c r="K186" i="6"/>
  <c r="G242" i="6"/>
  <c r="G241" i="6" s="1"/>
  <c r="N243" i="6"/>
  <c r="D204" i="6"/>
  <c r="N204" i="6"/>
  <c r="G96" i="6"/>
  <c r="G14" i="6" s="1"/>
  <c r="N100" i="6"/>
  <c r="N203" i="6"/>
  <c r="D203" i="6"/>
  <c r="D104" i="6"/>
  <c r="N108" i="6"/>
  <c r="D109" i="6"/>
  <c r="N109" i="6"/>
  <c r="N145" i="6"/>
  <c r="N141" i="6"/>
  <c r="G16" i="6"/>
  <c r="N16" i="6" s="1"/>
  <c r="H14" i="6"/>
  <c r="N25" i="13"/>
  <c r="I17" i="6"/>
  <c r="K17" i="6"/>
  <c r="N17" i="6"/>
  <c r="N140" i="6"/>
  <c r="N139" i="6" s="1"/>
  <c r="G102" i="6"/>
  <c r="G17" i="6" s="1"/>
  <c r="D103" i="6"/>
  <c r="H102" i="6"/>
  <c r="H95" i="6" s="1"/>
  <c r="J102" i="6"/>
  <c r="D110" i="6"/>
  <c r="G106" i="6"/>
  <c r="D111" i="6"/>
  <c r="D113" i="6"/>
  <c r="F121" i="6"/>
  <c r="F17" i="6" s="1"/>
  <c r="D122" i="6"/>
  <c r="D132" i="6"/>
  <c r="H121" i="6"/>
  <c r="J121" i="6"/>
  <c r="L121" i="6"/>
  <c r="G125" i="6"/>
  <c r="N125" i="6" s="1"/>
  <c r="F231" i="6"/>
  <c r="D98" i="6"/>
  <c r="I96" i="6"/>
  <c r="J96" i="6"/>
  <c r="J14" i="6" s="1"/>
  <c r="H106" i="6"/>
  <c r="D108" i="6"/>
  <c r="D114" i="6"/>
  <c r="D133" i="6"/>
  <c r="D128" i="6"/>
  <c r="F125" i="6"/>
  <c r="M125" i="6" s="1"/>
  <c r="N15" i="6"/>
  <c r="N216" i="6"/>
  <c r="N33" i="5"/>
  <c r="I45" i="3"/>
  <c r="I12" i="3"/>
  <c r="E7" i="3"/>
  <c r="K54" i="3"/>
  <c r="N46" i="3"/>
  <c r="N51" i="3"/>
  <c r="G25" i="3"/>
  <c r="N26" i="3"/>
  <c r="L54" i="3"/>
  <c r="J54" i="3"/>
  <c r="H54" i="3"/>
  <c r="D125" i="1"/>
  <c r="D191" i="1" s="1"/>
  <c r="L20" i="1"/>
  <c r="D123" i="1"/>
  <c r="D185" i="1" s="1"/>
  <c r="D130" i="1"/>
  <c r="D192" i="1" s="1"/>
  <c r="L30" i="1"/>
  <c r="L130" i="1" s="1"/>
  <c r="K11" i="13"/>
  <c r="F34" i="13"/>
  <c r="G25" i="13"/>
  <c r="G30" i="13"/>
  <c r="H25" i="13"/>
  <c r="N19" i="8"/>
  <c r="F129" i="2"/>
  <c r="D405" i="2"/>
  <c r="D633" i="2" s="1"/>
  <c r="D141" i="6"/>
  <c r="K102" i="7"/>
  <c r="D38" i="13"/>
  <c r="D59" i="13"/>
  <c r="F62" i="13"/>
  <c r="D58" i="13"/>
  <c r="F56" i="13"/>
  <c r="H66" i="13"/>
  <c r="L11" i="13"/>
  <c r="G17" i="13"/>
  <c r="E117" i="8"/>
  <c r="N78" i="8"/>
  <c r="L44" i="8"/>
  <c r="L9" i="8" s="1"/>
  <c r="D80" i="8"/>
  <c r="D79" i="8" s="1"/>
  <c r="J36" i="1"/>
  <c r="N15" i="8"/>
  <c r="N34" i="8"/>
  <c r="N13" i="8"/>
  <c r="J30" i="1"/>
  <c r="J130" i="1" s="1"/>
  <c r="J192" i="1" s="1"/>
  <c r="K118" i="8"/>
  <c r="J44" i="1"/>
  <c r="J142" i="1" s="1"/>
  <c r="J204" i="1" s="1"/>
  <c r="H44" i="8"/>
  <c r="H9" i="8" s="1"/>
  <c r="D46" i="8"/>
  <c r="D13" i="8" s="1"/>
  <c r="D35" i="8"/>
  <c r="D15" i="8" s="1"/>
  <c r="N14" i="8"/>
  <c r="F117" i="8"/>
  <c r="L27" i="1"/>
  <c r="B66" i="1"/>
  <c r="E80" i="8"/>
  <c r="E79" i="8" s="1"/>
  <c r="K76" i="8"/>
  <c r="J27" i="1"/>
  <c r="L76" i="8"/>
  <c r="N77" i="8"/>
  <c r="N76" i="8" s="1"/>
  <c r="J118" i="8"/>
  <c r="H60" i="1"/>
  <c r="I101" i="1"/>
  <c r="I61" i="1"/>
  <c r="G61" i="1"/>
  <c r="E118" i="8"/>
  <c r="I102" i="7"/>
  <c r="F108" i="7"/>
  <c r="H108" i="7"/>
  <c r="J108" i="7"/>
  <c r="H96" i="7"/>
  <c r="I72" i="7"/>
  <c r="N254" i="6"/>
  <c r="N253" i="6" s="1"/>
  <c r="D255" i="6"/>
  <c r="F226" i="6"/>
  <c r="D217" i="6"/>
  <c r="G226" i="6"/>
  <c r="F175" i="6"/>
  <c r="F174" i="6" s="1"/>
  <c r="D100" i="6"/>
  <c r="D216" i="6"/>
  <c r="N218" i="6"/>
  <c r="D219" i="6"/>
  <c r="D218" i="6" s="1"/>
  <c r="C34" i="1"/>
  <c r="D222" i="6"/>
  <c r="D22" i="6" s="1"/>
  <c r="F223" i="6"/>
  <c r="D224" i="6"/>
  <c r="D102" i="6"/>
  <c r="N77" i="5"/>
  <c r="N76" i="5" s="1"/>
  <c r="I76" i="5"/>
  <c r="N14" i="5"/>
  <c r="N13" i="5" s="1"/>
  <c r="K13" i="5"/>
  <c r="H76" i="5"/>
  <c r="L119" i="5"/>
  <c r="K119" i="5"/>
  <c r="J119" i="5"/>
  <c r="K44" i="5"/>
  <c r="L44" i="5"/>
  <c r="J44" i="5"/>
  <c r="G116" i="5"/>
  <c r="G118" i="5" s="1"/>
  <c r="G119" i="5" s="1"/>
  <c r="H116" i="5"/>
  <c r="H118" i="5" s="1"/>
  <c r="H119" i="5" s="1"/>
  <c r="I116" i="5"/>
  <c r="I118" i="5" s="1"/>
  <c r="I119" i="5" s="1"/>
  <c r="L13" i="5"/>
  <c r="H58" i="5"/>
  <c r="E11" i="5"/>
  <c r="E10" i="5" s="1"/>
  <c r="F116" i="5"/>
  <c r="F118" i="5" s="1"/>
  <c r="F119" i="5" s="1"/>
  <c r="N18" i="4"/>
  <c r="J72" i="1"/>
  <c r="D74" i="1"/>
  <c r="D73" i="1" s="1"/>
  <c r="N31" i="4"/>
  <c r="N30" i="4" s="1"/>
  <c r="C73" i="1"/>
  <c r="N71" i="1"/>
  <c r="J71" i="1"/>
  <c r="D63" i="3"/>
  <c r="F70" i="3"/>
  <c r="D71" i="3"/>
  <c r="D22" i="3" s="1"/>
  <c r="D41" i="3"/>
  <c r="D46" i="3"/>
  <c r="D51" i="3"/>
  <c r="D16" i="3" s="1"/>
  <c r="H85" i="3"/>
  <c r="K91" i="3"/>
  <c r="K145" i="3" s="1"/>
  <c r="I54" i="3"/>
  <c r="G54" i="3"/>
  <c r="N54" i="2"/>
  <c r="F467" i="2"/>
  <c r="F390" i="2"/>
  <c r="N441" i="2"/>
  <c r="N440" i="2" s="1"/>
  <c r="G211" i="2"/>
  <c r="N157" i="2"/>
  <c r="E458" i="2"/>
  <c r="E86" i="2"/>
  <c r="G175" i="2"/>
  <c r="D482" i="2"/>
  <c r="D481" i="2" s="1"/>
  <c r="F424" i="2"/>
  <c r="E16" i="2"/>
  <c r="B50" i="1" s="1"/>
  <c r="E32" i="2"/>
  <c r="E470" i="2"/>
  <c r="E19" i="2"/>
  <c r="D396" i="2"/>
  <c r="D395" i="2" s="1"/>
  <c r="F325" i="2"/>
  <c r="F324" i="2" s="1"/>
  <c r="F321" i="2" s="1"/>
  <c r="E473" i="2"/>
  <c r="E472" i="2" s="1"/>
  <c r="E31" i="2"/>
  <c r="E26" i="2"/>
  <c r="E17" i="2"/>
  <c r="C123" i="1"/>
  <c r="C185" i="1" s="1"/>
  <c r="D561" i="2"/>
  <c r="N20" i="1"/>
  <c r="C130" i="1"/>
  <c r="C192" i="1" s="1"/>
  <c r="N30" i="1"/>
  <c r="J23" i="1"/>
  <c r="N23" i="1"/>
  <c r="J20" i="1"/>
  <c r="N27" i="1"/>
  <c r="H136" i="1"/>
  <c r="H198" i="1" s="1"/>
  <c r="J35" i="1"/>
  <c r="J136" i="1" s="1"/>
  <c r="J198" i="1" s="1"/>
  <c r="F143" i="6"/>
  <c r="F299" i="6"/>
  <c r="D140" i="6"/>
  <c r="E83" i="5"/>
  <c r="D78" i="5"/>
  <c r="D77" i="5" s="1"/>
  <c r="D76" i="5" s="1"/>
  <c r="D86" i="5"/>
  <c r="D84" i="5" s="1"/>
  <c r="D83" i="5" s="1"/>
  <c r="P20" i="5"/>
  <c r="D16" i="5"/>
  <c r="D13" i="5" s="1"/>
  <c r="E116" i="5"/>
  <c r="E118" i="5" s="1"/>
  <c r="E119" i="5" s="1"/>
  <c r="D118" i="5"/>
  <c r="D119" i="5" s="1"/>
  <c r="D11" i="5"/>
  <c r="D10" i="5" s="1"/>
  <c r="F101" i="1"/>
  <c r="J67" i="1"/>
  <c r="H101" i="1"/>
  <c r="N98" i="3"/>
  <c r="N97" i="3" s="1"/>
  <c r="N86" i="3"/>
  <c r="I105" i="6"/>
  <c r="F17" i="7"/>
  <c r="F10" i="7"/>
  <c r="H102" i="7"/>
  <c r="J102" i="7"/>
  <c r="F78" i="7"/>
  <c r="H78" i="7"/>
  <c r="H60" i="7"/>
  <c r="G108" i="7"/>
  <c r="I108" i="7"/>
  <c r="K108" i="7"/>
  <c r="D108" i="7"/>
  <c r="D46" i="7"/>
  <c r="D42" i="7" s="1"/>
  <c r="D27" i="7"/>
  <c r="N55" i="7"/>
  <c r="N54" i="7" s="1"/>
  <c r="D101" i="1"/>
  <c r="K48" i="7"/>
  <c r="F102" i="7"/>
  <c r="D103" i="7"/>
  <c r="D102" i="7" s="1"/>
  <c r="H10" i="7"/>
  <c r="H61" i="1"/>
  <c r="J48" i="7"/>
  <c r="H433" i="2"/>
  <c r="F352" i="2"/>
  <c r="N427" i="2"/>
  <c r="F145" i="2"/>
  <c r="N92" i="2"/>
  <c r="J429" i="2"/>
  <c r="L315" i="2"/>
  <c r="F38" i="1"/>
  <c r="F139" i="1" s="1"/>
  <c r="F201" i="1" s="1"/>
  <c r="D38" i="1"/>
  <c r="I268" i="6"/>
  <c r="F148" i="6"/>
  <c r="F23" i="6"/>
  <c r="D116" i="6"/>
  <c r="D115" i="6" s="1"/>
  <c r="H268" i="6"/>
  <c r="J268" i="6"/>
  <c r="L21" i="6"/>
  <c r="I38" i="1"/>
  <c r="I139" i="1" s="1"/>
  <c r="I201" i="1" s="1"/>
  <c r="G221" i="6"/>
  <c r="G220" i="6" s="1"/>
  <c r="G268" i="6" s="1"/>
  <c r="D34" i="1"/>
  <c r="D573" i="2"/>
  <c r="D572" i="2" s="1"/>
  <c r="D65" i="9"/>
  <c r="I203" i="9"/>
  <c r="G86" i="9"/>
  <c r="F86" i="9"/>
  <c r="H141" i="1"/>
  <c r="H203" i="1" s="1"/>
  <c r="D16" i="6"/>
  <c r="E208" i="9"/>
  <c r="E205" i="9" s="1"/>
  <c r="E204" i="9" s="1"/>
  <c r="N62" i="9"/>
  <c r="D41" i="9"/>
  <c r="D40" i="9" s="1"/>
  <c r="I60" i="1"/>
  <c r="G60" i="1"/>
  <c r="F201" i="9"/>
  <c r="K201" i="9"/>
  <c r="D59" i="9"/>
  <c r="D58" i="9" s="1"/>
  <c r="D97" i="9"/>
  <c r="D92" i="9" s="1"/>
  <c r="D74" i="9"/>
  <c r="F65" i="9"/>
  <c r="L105" i="9"/>
  <c r="J105" i="9"/>
  <c r="L203" i="9"/>
  <c r="L201" i="9" s="1"/>
  <c r="J203" i="9"/>
  <c r="J210" i="9"/>
  <c r="J209" i="9" s="1"/>
  <c r="L210" i="9"/>
  <c r="L209" i="9" s="1"/>
  <c r="N36" i="9"/>
  <c r="F123" i="9"/>
  <c r="D36" i="9"/>
  <c r="F38" i="9"/>
  <c r="F35" i="9" s="1"/>
  <c r="N38" i="9"/>
  <c r="D108" i="9"/>
  <c r="D105" i="9" s="1"/>
  <c r="D56" i="9"/>
  <c r="D38" i="9"/>
  <c r="D136" i="9"/>
  <c r="G26" i="9"/>
  <c r="F53" i="9"/>
  <c r="G58" i="9"/>
  <c r="D214" i="9"/>
  <c r="D213" i="9" s="1"/>
  <c r="D202" i="9" s="1"/>
  <c r="D201" i="9" s="1"/>
  <c r="E202" i="9"/>
  <c r="E201" i="9" s="1"/>
  <c r="N204" i="9"/>
  <c r="N105" i="9"/>
  <c r="H92" i="9"/>
  <c r="F114" i="9"/>
  <c r="H62" i="9"/>
  <c r="G53" i="9"/>
  <c r="G38" i="9"/>
  <c r="G36" i="9"/>
  <c r="N127" i="9"/>
  <c r="D71" i="9"/>
  <c r="H132" i="9"/>
  <c r="N53" i="9"/>
  <c r="I62" i="9"/>
  <c r="G62" i="9"/>
  <c r="J123" i="9"/>
  <c r="I76" i="9"/>
  <c r="G40" i="9"/>
  <c r="H123" i="9"/>
  <c r="L123" i="9"/>
  <c r="H76" i="9"/>
  <c r="F40" i="9"/>
  <c r="G67" i="9"/>
  <c r="H40" i="9"/>
  <c r="F76" i="9"/>
  <c r="F58" i="9"/>
  <c r="H58" i="9"/>
  <c r="G123" i="9"/>
  <c r="I123" i="9"/>
  <c r="K123" i="9"/>
  <c r="D208" i="9"/>
  <c r="D205" i="9" s="1"/>
  <c r="D204" i="9" s="1"/>
  <c r="D127" i="9"/>
  <c r="G80" i="9"/>
  <c r="F105" i="9"/>
  <c r="F80" i="9"/>
  <c r="F27" i="9"/>
  <c r="F141" i="9"/>
  <c r="F232" i="9" s="1"/>
  <c r="H141" i="9"/>
  <c r="H232" i="9" s="1"/>
  <c r="I136" i="9"/>
  <c r="I9" i="9" s="1"/>
  <c r="G136" i="9"/>
  <c r="F127" i="9"/>
  <c r="G127" i="9"/>
  <c r="I141" i="9"/>
  <c r="I232" i="9" s="1"/>
  <c r="G141" i="9"/>
  <c r="F136" i="9"/>
  <c r="H136" i="9"/>
  <c r="H9" i="9" s="1"/>
  <c r="N136" i="9"/>
  <c r="F132" i="9"/>
  <c r="G132" i="9"/>
  <c r="H127" i="9"/>
  <c r="G487" i="2"/>
  <c r="D61" i="1" s="1"/>
  <c r="F440" i="2"/>
  <c r="F10" i="2" s="1"/>
  <c r="G440" i="2"/>
  <c r="G10" i="2" s="1"/>
  <c r="G265" i="2"/>
  <c r="F229" i="2"/>
  <c r="D202" i="2"/>
  <c r="N530" i="2"/>
  <c r="N529" i="2" s="1"/>
  <c r="L476" i="2"/>
  <c r="L9" i="2" s="1"/>
  <c r="L8" i="2" s="1"/>
  <c r="G448" i="2"/>
  <c r="N487" i="2"/>
  <c r="N338" i="2"/>
  <c r="F317" i="2"/>
  <c r="N428" i="2"/>
  <c r="N301" i="2"/>
  <c r="G317" i="2"/>
  <c r="N317" i="2" s="1"/>
  <c r="H487" i="2"/>
  <c r="E61" i="1" s="1"/>
  <c r="I487" i="2"/>
  <c r="F487" i="2"/>
  <c r="C61" i="1" s="1"/>
  <c r="G324" i="2"/>
  <c r="G321" i="2" s="1"/>
  <c r="H324" i="2"/>
  <c r="H321" i="2" s="1"/>
  <c r="I425" i="2"/>
  <c r="H633" i="2"/>
  <c r="I633" i="2"/>
  <c r="H19" i="1"/>
  <c r="H124" i="1" s="1"/>
  <c r="H186" i="1" s="1"/>
  <c r="F19" i="1"/>
  <c r="F124" i="1" s="1"/>
  <c r="F186" i="1" s="1"/>
  <c r="F633" i="2"/>
  <c r="G633" i="2"/>
  <c r="G19" i="1"/>
  <c r="B74" i="1"/>
  <c r="B70" i="1"/>
  <c r="N70" i="1" s="1"/>
  <c r="D69" i="13"/>
  <c r="D23" i="13"/>
  <c r="D21" i="13" s="1"/>
  <c r="D13" i="13"/>
  <c r="D26" i="13"/>
  <c r="D25" i="13" s="1"/>
  <c r="D66" i="13"/>
  <c r="G66" i="13"/>
  <c r="H62" i="13"/>
  <c r="H17" i="13" s="1"/>
  <c r="H15" i="13" s="1"/>
  <c r="N65" i="13"/>
  <c r="G56" i="13"/>
  <c r="N43" i="13"/>
  <c r="L87" i="13"/>
  <c r="L86" i="13" s="1"/>
  <c r="I65" i="1"/>
  <c r="I55" i="13"/>
  <c r="I12" i="13"/>
  <c r="F55" i="13"/>
  <c r="H65" i="1"/>
  <c r="F83" i="13"/>
  <c r="N83" i="13"/>
  <c r="G15" i="13"/>
  <c r="G61" i="13"/>
  <c r="I15" i="13"/>
  <c r="I61" i="13"/>
  <c r="F61" i="13"/>
  <c r="G55" i="13"/>
  <c r="F104" i="13"/>
  <c r="F106" i="13" s="1"/>
  <c r="H104" i="13"/>
  <c r="H106" i="13" s="1"/>
  <c r="H107" i="13" s="1"/>
  <c r="H88" i="13" s="1"/>
  <c r="H87" i="13" s="1"/>
  <c r="H86" i="13" s="1"/>
  <c r="J104" i="13"/>
  <c r="J106" i="13" s="1"/>
  <c r="N37" i="13"/>
  <c r="D37" i="13"/>
  <c r="D34" i="13" s="1"/>
  <c r="N64" i="13"/>
  <c r="H56" i="13"/>
  <c r="H14" i="13" s="1"/>
  <c r="E19" i="1" s="1"/>
  <c r="N35" i="13"/>
  <c r="P41" i="13"/>
  <c r="I104" i="13"/>
  <c r="I106" i="13" s="1"/>
  <c r="I107" i="13" s="1"/>
  <c r="I88" i="13" s="1"/>
  <c r="F65" i="1" s="1"/>
  <c r="F64" i="1" s="1"/>
  <c r="F63" i="1" s="1"/>
  <c r="F85" i="1" s="1"/>
  <c r="G213" i="6"/>
  <c r="D227" i="6"/>
  <c r="D226" i="6" s="1"/>
  <c r="J178" i="6"/>
  <c r="J148" i="6"/>
  <c r="J23" i="6"/>
  <c r="G209" i="6"/>
  <c r="G154" i="6"/>
  <c r="D211" i="6"/>
  <c r="D154" i="6" s="1"/>
  <c r="I296" i="6"/>
  <c r="I298" i="6" s="1"/>
  <c r="I209" i="6"/>
  <c r="I208" i="6" s="1"/>
  <c r="I205" i="6" s="1"/>
  <c r="G146" i="6"/>
  <c r="N146" i="6" s="1"/>
  <c r="G202" i="6"/>
  <c r="M202" i="6" s="1"/>
  <c r="I144" i="6"/>
  <c r="I299" i="6" s="1"/>
  <c r="I202" i="6"/>
  <c r="I201" i="6" s="1"/>
  <c r="D183" i="6"/>
  <c r="E240" i="6"/>
  <c r="E288" i="6"/>
  <c r="N244" i="6"/>
  <c r="F21" i="6"/>
  <c r="H23" i="6"/>
  <c r="D202" i="6"/>
  <c r="D210" i="6"/>
  <c r="D176" i="6"/>
  <c r="D144" i="6" s="1"/>
  <c r="D297" i="6"/>
  <c r="G297" i="6"/>
  <c r="G298" i="6" s="1"/>
  <c r="G152" i="6"/>
  <c r="G194" i="6"/>
  <c r="G193" i="6" s="1"/>
  <c r="I152" i="6"/>
  <c r="I194" i="6"/>
  <c r="I193" i="6" s="1"/>
  <c r="I192" i="6" s="1"/>
  <c r="D191" i="6"/>
  <c r="M191" i="6" s="1"/>
  <c r="N191" i="6"/>
  <c r="H190" i="6"/>
  <c r="H189" i="6" s="1"/>
  <c r="H186" i="6" s="1"/>
  <c r="G144" i="6"/>
  <c r="M144" i="6" s="1"/>
  <c r="F139" i="6"/>
  <c r="F214" i="6"/>
  <c r="F213" i="6" s="1"/>
  <c r="F239" i="6"/>
  <c r="H60" i="6"/>
  <c r="G60" i="6"/>
  <c r="I60" i="6"/>
  <c r="N27" i="6"/>
  <c r="D106" i="6"/>
  <c r="F186" i="6"/>
  <c r="G186" i="6"/>
  <c r="F178" i="6"/>
  <c r="D179" i="6"/>
  <c r="D135" i="6"/>
  <c r="D134" i="6" s="1"/>
  <c r="N214" i="6"/>
  <c r="D223" i="6"/>
  <c r="N198" i="6"/>
  <c r="F298" i="6"/>
  <c r="N226" i="6"/>
  <c r="D232" i="6"/>
  <c r="D231" i="6" s="1"/>
  <c r="D498" i="2"/>
  <c r="H440" i="2"/>
  <c r="H10" i="2" s="1"/>
  <c r="I486" i="2"/>
  <c r="F495" i="2"/>
  <c r="F494" i="2" s="1"/>
  <c r="F643" i="2" s="1"/>
  <c r="I495" i="2"/>
  <c r="I494" i="2" s="1"/>
  <c r="H80" i="1"/>
  <c r="H140" i="1" s="1"/>
  <c r="H202" i="1" s="1"/>
  <c r="K495" i="2"/>
  <c r="K494" i="2" s="1"/>
  <c r="K643" i="2" s="1"/>
  <c r="H490" i="2"/>
  <c r="B78" i="1"/>
  <c r="J78" i="1" s="1"/>
  <c r="H486" i="2"/>
  <c r="N104" i="2"/>
  <c r="G495" i="2"/>
  <c r="G494" i="2" s="1"/>
  <c r="H495" i="2"/>
  <c r="H494" i="2" s="1"/>
  <c r="I80" i="1"/>
  <c r="I140" i="1" s="1"/>
  <c r="I202" i="1" s="1"/>
  <c r="L495" i="2"/>
  <c r="L494" i="2" s="1"/>
  <c r="L643" i="2" s="1"/>
  <c r="G80" i="1"/>
  <c r="G140" i="1" s="1"/>
  <c r="G202" i="1" s="1"/>
  <c r="J495" i="2"/>
  <c r="J494" i="2" s="1"/>
  <c r="J643" i="2" s="1"/>
  <c r="G490" i="2"/>
  <c r="E633" i="2"/>
  <c r="F206" i="2"/>
  <c r="F205" i="2" s="1"/>
  <c r="F490" i="2"/>
  <c r="M490" i="2" s="1"/>
  <c r="B142" i="1"/>
  <c r="B204" i="1" s="1"/>
  <c r="G372" i="2"/>
  <c r="I440" i="2"/>
  <c r="I10" i="2" s="1"/>
  <c r="I448" i="2"/>
  <c r="H174" i="6"/>
  <c r="I148" i="6"/>
  <c r="H139" i="6"/>
  <c r="I186" i="6"/>
  <c r="D182" i="6"/>
  <c r="G178" i="6"/>
  <c r="K170" i="6"/>
  <c r="I170" i="6"/>
  <c r="G170" i="6"/>
  <c r="K142" i="6"/>
  <c r="J298" i="6"/>
  <c r="N61" i="6"/>
  <c r="N60" i="6" s="1"/>
  <c r="J287" i="6"/>
  <c r="D60" i="6"/>
  <c r="D66" i="6"/>
  <c r="L143" i="6"/>
  <c r="L19" i="6" s="1"/>
  <c r="K298" i="6"/>
  <c r="L186" i="6"/>
  <c r="J186" i="6"/>
  <c r="L178" i="6"/>
  <c r="J143" i="6"/>
  <c r="J19" i="6" s="1"/>
  <c r="L139" i="6"/>
  <c r="H298" i="6"/>
  <c r="H143" i="6"/>
  <c r="H19" i="6" s="1"/>
  <c r="H178" i="6"/>
  <c r="D149" i="6"/>
  <c r="E299" i="6"/>
  <c r="K139" i="6"/>
  <c r="D22" i="1"/>
  <c r="H151" i="6"/>
  <c r="H25" i="6" s="1"/>
  <c r="D190" i="6"/>
  <c r="M190" i="6" s="1"/>
  <c r="N187" i="6"/>
  <c r="D187" i="6"/>
  <c r="M187" i="6" s="1"/>
  <c r="K181" i="6"/>
  <c r="K178" i="6" s="1"/>
  <c r="K151" i="6"/>
  <c r="K25" i="6" s="1"/>
  <c r="I181" i="6"/>
  <c r="I178" i="6" s="1"/>
  <c r="I151" i="6"/>
  <c r="I25" i="6" s="1"/>
  <c r="D175" i="6"/>
  <c r="N170" i="6"/>
  <c r="L151" i="6"/>
  <c r="L25" i="6" s="1"/>
  <c r="F151" i="6"/>
  <c r="F25" i="6" s="1"/>
  <c r="I197" i="6"/>
  <c r="L170" i="6"/>
  <c r="J170" i="6"/>
  <c r="H170" i="6"/>
  <c r="F170" i="6"/>
  <c r="I95" i="6"/>
  <c r="I94" i="6" s="1"/>
  <c r="I10" i="6" s="1"/>
  <c r="H287" i="6"/>
  <c r="H114" i="9"/>
  <c r="N114" i="9"/>
  <c r="D115" i="9"/>
  <c r="D114" i="9" s="1"/>
  <c r="G114" i="9"/>
  <c r="J17" i="3"/>
  <c r="D104" i="13"/>
  <c r="D106" i="13" s="1"/>
  <c r="J107" i="13"/>
  <c r="J88" i="13" s="1"/>
  <c r="D221" i="6"/>
  <c r="J95" i="6"/>
  <c r="F95" i="6"/>
  <c r="D89" i="3"/>
  <c r="P89" i="3" s="1"/>
  <c r="D40" i="3"/>
  <c r="F45" i="3"/>
  <c r="G103" i="3"/>
  <c r="G146" i="3" s="1"/>
  <c r="H61" i="3"/>
  <c r="H67" i="3"/>
  <c r="H37" i="3"/>
  <c r="N62" i="3"/>
  <c r="N61" i="3" s="1"/>
  <c r="F62" i="3"/>
  <c r="G40" i="3"/>
  <c r="I40" i="3"/>
  <c r="K14" i="3"/>
  <c r="K50" i="3"/>
  <c r="G50" i="3"/>
  <c r="N50" i="3"/>
  <c r="F79" i="3"/>
  <c r="F146" i="3" s="1"/>
  <c r="F20" i="3"/>
  <c r="F17" i="3" s="1"/>
  <c r="F57" i="3"/>
  <c r="D73" i="3"/>
  <c r="D82" i="3"/>
  <c r="D79" i="3" s="1"/>
  <c r="J37" i="3"/>
  <c r="F26" i="3"/>
  <c r="N29" i="3"/>
  <c r="F67" i="3"/>
  <c r="D62" i="3"/>
  <c r="D70" i="3"/>
  <c r="D67" i="3" s="1"/>
  <c r="L145" i="3"/>
  <c r="F73" i="3"/>
  <c r="L45" i="3"/>
  <c r="G27" i="6"/>
  <c r="K27" i="6"/>
  <c r="D152" i="6"/>
  <c r="G192" i="6"/>
  <c r="J151" i="6"/>
  <c r="J25" i="6" s="1"/>
  <c r="L14" i="3"/>
  <c r="J14" i="3"/>
  <c r="N73" i="3"/>
  <c r="N9" i="3" s="1"/>
  <c r="N80" i="9"/>
  <c r="D84" i="9"/>
  <c r="N129" i="2"/>
  <c r="N83" i="6"/>
  <c r="F77" i="6"/>
  <c r="J27" i="6"/>
  <c r="D250" i="6"/>
  <c r="D249" i="6" s="1"/>
  <c r="D240" i="6" s="1"/>
  <c r="F243" i="6"/>
  <c r="M242" i="6" s="1"/>
  <c r="M241" i="6" s="1"/>
  <c r="F27" i="6"/>
  <c r="H27" i="6"/>
  <c r="N213" i="6"/>
  <c r="G288" i="6"/>
  <c r="G124" i="6"/>
  <c r="I288" i="6"/>
  <c r="I124" i="6"/>
  <c r="K124" i="6"/>
  <c r="K288" i="6"/>
  <c r="F288" i="6"/>
  <c r="F124" i="6"/>
  <c r="H288" i="6"/>
  <c r="H124" i="6"/>
  <c r="J124" i="6"/>
  <c r="J288" i="6"/>
  <c r="L124" i="6"/>
  <c r="L288" i="6"/>
  <c r="K18" i="6"/>
  <c r="F61" i="1"/>
  <c r="I238" i="6"/>
  <c r="F60" i="1"/>
  <c r="E60" i="1"/>
  <c r="H238" i="6"/>
  <c r="G238" i="6"/>
  <c r="N238" i="6"/>
  <c r="L17" i="3"/>
  <c r="H97" i="3"/>
  <c r="H9" i="3" s="1"/>
  <c r="J97" i="3"/>
  <c r="J9" i="3" s="1"/>
  <c r="J11" i="3"/>
  <c r="H45" i="3"/>
  <c r="H11" i="3"/>
  <c r="K11" i="3"/>
  <c r="I11" i="3"/>
  <c r="K97" i="3"/>
  <c r="K9" i="3" s="1"/>
  <c r="G61" i="3"/>
  <c r="D104" i="3"/>
  <c r="G32" i="3"/>
  <c r="G15" i="3" s="1"/>
  <c r="I32" i="3"/>
  <c r="I15" i="3" s="1"/>
  <c r="K103" i="3"/>
  <c r="G20" i="3"/>
  <c r="G17" i="3" s="1"/>
  <c r="I20" i="3"/>
  <c r="I17" i="3" s="1"/>
  <c r="H32" i="3"/>
  <c r="H15" i="3" s="1"/>
  <c r="H20" i="3"/>
  <c r="H17" i="3" s="1"/>
  <c r="N35" i="3"/>
  <c r="D86" i="3"/>
  <c r="D85" i="3" s="1"/>
  <c r="G31" i="3"/>
  <c r="D101" i="3"/>
  <c r="F31" i="3"/>
  <c r="D37" i="3"/>
  <c r="H31" i="3"/>
  <c r="D98" i="3"/>
  <c r="D106" i="3"/>
  <c r="N34" i="3"/>
  <c r="G97" i="3"/>
  <c r="G9" i="3" s="1"/>
  <c r="I97" i="3"/>
  <c r="I9" i="3" s="1"/>
  <c r="N45" i="3"/>
  <c r="N44" i="3" s="1"/>
  <c r="K17" i="3"/>
  <c r="L44" i="3"/>
  <c r="L8" i="3" s="1"/>
  <c r="J44" i="3"/>
  <c r="J8" i="3" s="1"/>
  <c r="F165" i="1"/>
  <c r="I125" i="1"/>
  <c r="I191" i="1" s="1"/>
  <c r="L287" i="6"/>
  <c r="L105" i="6"/>
  <c r="D275" i="6"/>
  <c r="L95" i="6"/>
  <c r="F105" i="6"/>
  <c r="H105" i="6"/>
  <c r="G287" i="6"/>
  <c r="K105" i="6"/>
  <c r="I45" i="1"/>
  <c r="I145" i="1" s="1"/>
  <c r="I207" i="1" s="1"/>
  <c r="H45" i="1"/>
  <c r="H145" i="1" s="1"/>
  <c r="H207" i="1" s="1"/>
  <c r="F45" i="1"/>
  <c r="F145" i="1" s="1"/>
  <c r="F207" i="1" s="1"/>
  <c r="B141" i="1"/>
  <c r="B203" i="1" s="1"/>
  <c r="B130" i="1"/>
  <c r="B192" i="1" s="1"/>
  <c r="E138" i="1"/>
  <c r="E200" i="1" s="1"/>
  <c r="C125" i="1"/>
  <c r="C191" i="1" s="1"/>
  <c r="D141" i="1"/>
  <c r="D203" i="1" s="1"/>
  <c r="F141" i="1"/>
  <c r="F203" i="1" s="1"/>
  <c r="J165" i="1"/>
  <c r="D64" i="2"/>
  <c r="E64" i="2"/>
  <c r="E62" i="2"/>
  <c r="N327" i="2"/>
  <c r="N337" i="2"/>
  <c r="J432" i="2"/>
  <c r="L436" i="2"/>
  <c r="K476" i="2"/>
  <c r="K9" i="2" s="1"/>
  <c r="K8" i="2" s="1"/>
  <c r="N278" i="2"/>
  <c r="N277" i="2" s="1"/>
  <c r="D355" i="2"/>
  <c r="D352" i="2" s="1"/>
  <c r="N358" i="2"/>
  <c r="N193" i="2"/>
  <c r="D327" i="2"/>
  <c r="D298" i="2"/>
  <c r="D295" i="2" s="1"/>
  <c r="D438" i="2"/>
  <c r="D33" i="2" s="1"/>
  <c r="E438" i="2"/>
  <c r="E33" i="2" s="1"/>
  <c r="H33" i="2"/>
  <c r="E43" i="1" s="1"/>
  <c r="E146" i="1" s="1"/>
  <c r="E208" i="1" s="1"/>
  <c r="H436" i="2"/>
  <c r="H432" i="2" s="1"/>
  <c r="I33" i="2"/>
  <c r="F43" i="1" s="1"/>
  <c r="F146" i="1" s="1"/>
  <c r="F208" i="1" s="1"/>
  <c r="I436" i="2"/>
  <c r="I432" i="2" s="1"/>
  <c r="N476" i="2"/>
  <c r="L19" i="2"/>
  <c r="I29" i="1" s="1"/>
  <c r="I128" i="1" s="1"/>
  <c r="I189" i="1" s="1"/>
  <c r="L470" i="2"/>
  <c r="J19" i="2"/>
  <c r="J470" i="2"/>
  <c r="J467" i="2" s="1"/>
  <c r="D530" i="2"/>
  <c r="D529" i="2" s="1"/>
  <c r="H381" i="2"/>
  <c r="F181" i="2"/>
  <c r="G181" i="2"/>
  <c r="D453" i="2"/>
  <c r="D448" i="2" s="1"/>
  <c r="H425" i="2"/>
  <c r="H424" i="2" s="1"/>
  <c r="I429" i="2"/>
  <c r="F342" i="2"/>
  <c r="L148" i="1"/>
  <c r="K30" i="2"/>
  <c r="K29" i="2" s="1"/>
  <c r="K27" i="2"/>
  <c r="H39" i="1" s="1"/>
  <c r="H143" i="1" s="1"/>
  <c r="H205" i="1" s="1"/>
  <c r="K19" i="2"/>
  <c r="H29" i="1" s="1"/>
  <c r="H128" i="1" s="1"/>
  <c r="H189" i="1" s="1"/>
  <c r="K470" i="2"/>
  <c r="K467" i="2" s="1"/>
  <c r="L468" i="2"/>
  <c r="L13" i="2"/>
  <c r="I18" i="1" s="1"/>
  <c r="K26" i="2"/>
  <c r="K433" i="2"/>
  <c r="K432" i="2" s="1"/>
  <c r="L24" i="2"/>
  <c r="I34" i="1" s="1"/>
  <c r="L433" i="2"/>
  <c r="L14" i="2"/>
  <c r="I19" i="1" s="1"/>
  <c r="L425" i="2"/>
  <c r="L424" i="2" s="1"/>
  <c r="D284" i="2"/>
  <c r="D283" i="2" s="1"/>
  <c r="D377" i="2"/>
  <c r="I381" i="2"/>
  <c r="G385" i="2"/>
  <c r="F385" i="2"/>
  <c r="H385" i="2"/>
  <c r="G390" i="2"/>
  <c r="F169" i="2"/>
  <c r="D170" i="2"/>
  <c r="D72" i="2"/>
  <c r="J425" i="2"/>
  <c r="F301" i="2"/>
  <c r="F193" i="2"/>
  <c r="N560" i="2"/>
  <c r="N559" i="2" s="1"/>
  <c r="J476" i="2"/>
  <c r="N458" i="2"/>
  <c r="F337" i="2"/>
  <c r="F346" i="2"/>
  <c r="G235" i="2"/>
  <c r="D161" i="2"/>
  <c r="F157" i="2"/>
  <c r="F199" i="2"/>
  <c r="N181" i="2"/>
  <c r="N367" i="2"/>
  <c r="D211" i="2"/>
  <c r="F211" i="2"/>
  <c r="F217" i="2"/>
  <c r="F223" i="2"/>
  <c r="G241" i="2"/>
  <c r="F235" i="2"/>
  <c r="D154" i="2"/>
  <c r="D151" i="2" s="1"/>
  <c r="E477" i="2"/>
  <c r="E476" i="2" s="1"/>
  <c r="E469" i="2"/>
  <c r="D166" i="2"/>
  <c r="D163" i="2" s="1"/>
  <c r="D178" i="2"/>
  <c r="D175" i="2" s="1"/>
  <c r="F121" i="2"/>
  <c r="D364" i="2"/>
  <c r="D363" i="2" s="1"/>
  <c r="N564" i="2"/>
  <c r="N563" i="2" s="1"/>
  <c r="H308" i="2"/>
  <c r="D182" i="2"/>
  <c r="D181" i="2" s="1"/>
  <c r="D235" i="2"/>
  <c r="E58" i="2"/>
  <c r="D199" i="2"/>
  <c r="D69" i="2"/>
  <c r="E69" i="2"/>
  <c r="D99" i="2"/>
  <c r="E99" i="2"/>
  <c r="D122" i="2"/>
  <c r="D149" i="2"/>
  <c r="D146" i="2"/>
  <c r="F151" i="2"/>
  <c r="F137" i="2"/>
  <c r="F271" i="2"/>
  <c r="D545" i="2"/>
  <c r="D544" i="2" s="1"/>
  <c r="G467" i="2"/>
  <c r="N146" i="2"/>
  <c r="N145" i="2" s="1"/>
  <c r="F358" i="2"/>
  <c r="F367" i="2"/>
  <c r="F372" i="2"/>
  <c r="F376" i="2"/>
  <c r="F187" i="2"/>
  <c r="G223" i="2"/>
  <c r="G229" i="2"/>
  <c r="P476" i="2"/>
  <c r="D125" i="2"/>
  <c r="D437" i="2"/>
  <c r="D436" i="2" s="1"/>
  <c r="D432" i="2" s="1"/>
  <c r="D107" i="2"/>
  <c r="D86" i="2"/>
  <c r="D30" i="2"/>
  <c r="I28" i="1"/>
  <c r="I131" i="1" s="1"/>
  <c r="I193" i="1" s="1"/>
  <c r="F486" i="2"/>
  <c r="H467" i="2"/>
  <c r="D373" i="2"/>
  <c r="D372" i="2" s="1"/>
  <c r="D190" i="2"/>
  <c r="D187" i="2" s="1"/>
  <c r="D197" i="2"/>
  <c r="D193" i="2" s="1"/>
  <c r="D271" i="2"/>
  <c r="G486" i="2"/>
  <c r="D60" i="1" s="1"/>
  <c r="F265" i="2"/>
  <c r="D115" i="2"/>
  <c r="M41" i="2"/>
  <c r="N217" i="2"/>
  <c r="D223" i="2"/>
  <c r="D230" i="2"/>
  <c r="D229" i="2" s="1"/>
  <c r="N241" i="2"/>
  <c r="D406" i="2"/>
  <c r="N205" i="2"/>
  <c r="G205" i="2"/>
  <c r="G217" i="2"/>
  <c r="D242" i="2"/>
  <c r="D241" i="2" s="1"/>
  <c r="F295" i="2"/>
  <c r="F126" i="1"/>
  <c r="F187" i="1" s="1"/>
  <c r="B40" i="1"/>
  <c r="D461" i="2"/>
  <c r="D458" i="2" s="1"/>
  <c r="D430" i="2"/>
  <c r="D24" i="1"/>
  <c r="L24" i="1" s="1"/>
  <c r="G23" i="2"/>
  <c r="D146" i="1"/>
  <c r="D208" i="1" s="1"/>
  <c r="D96" i="2"/>
  <c r="C28" i="1"/>
  <c r="N21" i="2"/>
  <c r="D266" i="2"/>
  <c r="D265" i="2" s="1"/>
  <c r="D340" i="2"/>
  <c r="D343" i="2"/>
  <c r="D342" i="2" s="1"/>
  <c r="D601" i="2"/>
  <c r="D600" i="2" s="1"/>
  <c r="I467" i="2"/>
  <c r="H485" i="2"/>
  <c r="E431" i="2"/>
  <c r="M431" i="2" s="1"/>
  <c r="D105" i="2"/>
  <c r="I424" i="2"/>
  <c r="D502" i="2"/>
  <c r="D501" i="2" s="1"/>
  <c r="E46" i="1"/>
  <c r="D391" i="2"/>
  <c r="D390" i="2" s="1"/>
  <c r="L29" i="2"/>
  <c r="J424" i="2"/>
  <c r="H26" i="2"/>
  <c r="H23" i="2" s="1"/>
  <c r="D361" i="2"/>
  <c r="D379" i="2"/>
  <c r="D158" i="2"/>
  <c r="D157" i="2" s="1"/>
  <c r="F80" i="1"/>
  <c r="F140" i="1" s="1"/>
  <c r="F202" i="1" s="1"/>
  <c r="D247" i="2"/>
  <c r="E80" i="1"/>
  <c r="E140" i="1" s="1"/>
  <c r="E202" i="1" s="1"/>
  <c r="D206" i="2"/>
  <c r="D205" i="2" s="1"/>
  <c r="H568" i="2"/>
  <c r="H567" i="2" s="1"/>
  <c r="H640" i="2" s="1"/>
  <c r="H301" i="2"/>
  <c r="D290" i="2"/>
  <c r="N229" i="2"/>
  <c r="F241" i="2"/>
  <c r="I20" i="2"/>
  <c r="G20" i="2"/>
  <c r="I19" i="2"/>
  <c r="I18" i="2" s="1"/>
  <c r="D217" i="2"/>
  <c r="G247" i="2"/>
  <c r="K13" i="2"/>
  <c r="I13" i="2"/>
  <c r="I12" i="2" s="1"/>
  <c r="H19" i="2"/>
  <c r="H18" i="2" s="1"/>
  <c r="F401" i="2"/>
  <c r="G45" i="1"/>
  <c r="G145" i="1" s="1"/>
  <c r="G207" i="1" s="1"/>
  <c r="F138" i="1"/>
  <c r="F200" i="1" s="1"/>
  <c r="C138" i="1"/>
  <c r="C200" i="1" s="1"/>
  <c r="E126" i="1"/>
  <c r="E187" i="1" s="1"/>
  <c r="C126" i="1"/>
  <c r="C187" i="1" s="1"/>
  <c r="I23" i="2"/>
  <c r="K425" i="2"/>
  <c r="K424" i="2" s="1"/>
  <c r="D138" i="1"/>
  <c r="D200" i="1" s="1"/>
  <c r="H16" i="2"/>
  <c r="C60" i="1"/>
  <c r="D293" i="2"/>
  <c r="K20" i="2"/>
  <c r="J32" i="2"/>
  <c r="F289" i="2"/>
  <c r="L16" i="2"/>
  <c r="J16" i="2"/>
  <c r="J26" i="2"/>
  <c r="F26" i="2"/>
  <c r="N289" i="2"/>
  <c r="I308" i="2"/>
  <c r="D40" i="2"/>
  <c r="D16" i="2" s="1"/>
  <c r="D302" i="2"/>
  <c r="D301" i="2" s="1"/>
  <c r="F16" i="2"/>
  <c r="C22" i="1" s="1"/>
  <c r="N40" i="2"/>
  <c r="D309" i="2"/>
  <c r="D308" i="2" s="1"/>
  <c r="I301" i="2"/>
  <c r="H138" i="1"/>
  <c r="H200" i="1" s="1"/>
  <c r="I126" i="1"/>
  <c r="I187" i="1" s="1"/>
  <c r="I138" i="1"/>
  <c r="I200" i="1" s="1"/>
  <c r="G138" i="1"/>
  <c r="G200" i="1" s="1"/>
  <c r="H126" i="1"/>
  <c r="H187" i="1" s="1"/>
  <c r="N12" i="4"/>
  <c r="G76" i="1"/>
  <c r="G75" i="1" s="1"/>
  <c r="G86" i="1" s="1"/>
  <c r="N11" i="4"/>
  <c r="D49" i="4"/>
  <c r="D48" i="4" s="1"/>
  <c r="N15" i="4"/>
  <c r="N14" i="4" s="1"/>
  <c r="N13" i="4" s="1"/>
  <c r="N12" i="9"/>
  <c r="N11" i="9" s="1"/>
  <c r="K44" i="3"/>
  <c r="K8" i="3" s="1"/>
  <c r="G44" i="3"/>
  <c r="D45" i="3"/>
  <c r="H44" i="3"/>
  <c r="I44" i="3"/>
  <c r="F50" i="3"/>
  <c r="N92" i="9"/>
  <c r="G92" i="9"/>
  <c r="F92" i="9"/>
  <c r="H105" i="9"/>
  <c r="G105" i="9"/>
  <c r="L101" i="9"/>
  <c r="K101" i="9"/>
  <c r="J101" i="9"/>
  <c r="I101" i="9"/>
  <c r="H101" i="9"/>
  <c r="G101" i="9"/>
  <c r="F101" i="9"/>
  <c r="I110" i="9"/>
  <c r="H110" i="9"/>
  <c r="G110" i="9"/>
  <c r="F110" i="9"/>
  <c r="L110" i="9"/>
  <c r="K110" i="9"/>
  <c r="J110" i="9"/>
  <c r="K67" i="9"/>
  <c r="G31" i="9"/>
  <c r="G76" i="9"/>
  <c r="H67" i="9"/>
  <c r="K119" i="6"/>
  <c r="K11" i="6" s="1"/>
  <c r="F25" i="1"/>
  <c r="J105" i="6"/>
  <c r="I287" i="6"/>
  <c r="K95" i="6"/>
  <c r="K94" i="6" s="1"/>
  <c r="L290" i="6"/>
  <c r="L301" i="6" s="1"/>
  <c r="I290" i="6"/>
  <c r="I301" i="6" s="1"/>
  <c r="D276" i="6"/>
  <c r="D277" i="6" s="1"/>
  <c r="H290" i="6"/>
  <c r="H301" i="6" s="1"/>
  <c r="F290" i="6"/>
  <c r="F301" i="6" s="1"/>
  <c r="F287" i="6"/>
  <c r="K287" i="6"/>
  <c r="J290" i="6"/>
  <c r="J301" i="6" s="1"/>
  <c r="G290" i="6"/>
  <c r="K290" i="6"/>
  <c r="K301" i="6" s="1"/>
  <c r="F94" i="6"/>
  <c r="H25" i="1"/>
  <c r="K13" i="6"/>
  <c r="N189" i="6"/>
  <c r="N186" i="6" s="1"/>
  <c r="D189" i="6"/>
  <c r="K21" i="6"/>
  <c r="I21" i="6"/>
  <c r="G21" i="6"/>
  <c r="G119" i="6"/>
  <c r="I119" i="6"/>
  <c r="I11" i="6" s="1"/>
  <c r="D91" i="6"/>
  <c r="D88" i="6" s="1"/>
  <c r="G88" i="6"/>
  <c r="E51" i="1"/>
  <c r="H24" i="6"/>
  <c r="G124" i="1"/>
  <c r="G186" i="1" s="1"/>
  <c r="F137" i="1"/>
  <c r="B34" i="1"/>
  <c r="G395" i="2"/>
  <c r="N395" i="2"/>
  <c r="H395" i="2"/>
  <c r="J316" i="2"/>
  <c r="J315" i="2" s="1"/>
  <c r="J13" i="2"/>
  <c r="F395" i="2"/>
  <c r="L11" i="3"/>
  <c r="E137" i="1"/>
  <c r="F97" i="3"/>
  <c r="D97" i="3"/>
  <c r="N85" i="3"/>
  <c r="G643" i="2" l="1"/>
  <c r="I643" i="2"/>
  <c r="F197" i="6"/>
  <c r="F142" i="6"/>
  <c r="M124" i="6"/>
  <c r="M119" i="6" s="1"/>
  <c r="F8" i="9"/>
  <c r="D8" i="9"/>
  <c r="K231" i="9"/>
  <c r="L231" i="9"/>
  <c r="I98" i="1" s="1"/>
  <c r="I92" i="1" s="1"/>
  <c r="J231" i="9"/>
  <c r="H8" i="9"/>
  <c r="G8" i="9"/>
  <c r="I231" i="9"/>
  <c r="H231" i="9"/>
  <c r="G95" i="6"/>
  <c r="D14" i="6"/>
  <c r="D96" i="6"/>
  <c r="I122" i="1"/>
  <c r="I184" i="1" s="1"/>
  <c r="E102" i="1"/>
  <c r="H642" i="2"/>
  <c r="H643" i="2"/>
  <c r="D139" i="6"/>
  <c r="F11" i="8"/>
  <c r="D23" i="8"/>
  <c r="D51" i="8"/>
  <c r="D50" i="8" s="1"/>
  <c r="D115" i="8" s="1"/>
  <c r="D31" i="8"/>
  <c r="P31" i="8" s="1"/>
  <c r="D41" i="8"/>
  <c r="D38" i="8"/>
  <c r="D116" i="8" s="1"/>
  <c r="F21" i="8"/>
  <c r="F31" i="2"/>
  <c r="C45" i="1" s="1"/>
  <c r="C145" i="1" s="1"/>
  <c r="C207" i="1" s="1"/>
  <c r="M401" i="2"/>
  <c r="M400" i="2" s="1"/>
  <c r="M394" i="2" s="1"/>
  <c r="M105" i="6"/>
  <c r="M95" i="6"/>
  <c r="K10" i="6"/>
  <c r="G232" i="9"/>
  <c r="F231" i="9"/>
  <c r="G231" i="9"/>
  <c r="G9" i="9"/>
  <c r="K11" i="7"/>
  <c r="H64" i="1"/>
  <c r="H63" i="1" s="1"/>
  <c r="H85" i="1" s="1"/>
  <c r="N13" i="7"/>
  <c r="M11" i="7"/>
  <c r="M10" i="7" s="1"/>
  <c r="M43" i="7"/>
  <c r="M42" i="7" s="1"/>
  <c r="N9" i="7"/>
  <c r="N7" i="7" s="1"/>
  <c r="K12" i="6"/>
  <c r="B19" i="1"/>
  <c r="B124" i="1" s="1"/>
  <c r="B186" i="1" s="1"/>
  <c r="N14" i="2"/>
  <c r="I59" i="1"/>
  <c r="I76" i="1"/>
  <c r="I75" i="1" s="1"/>
  <c r="I86" i="1" s="1"/>
  <c r="I100" i="1" s="1"/>
  <c r="I64" i="1"/>
  <c r="I63" i="1" s="1"/>
  <c r="I85" i="1" s="1"/>
  <c r="D33" i="1"/>
  <c r="F489" i="2"/>
  <c r="F488" i="2" s="1"/>
  <c r="D15" i="6"/>
  <c r="I7" i="9"/>
  <c r="H7" i="9"/>
  <c r="H76" i="1"/>
  <c r="H75" i="1" s="1"/>
  <c r="H86" i="1" s="1"/>
  <c r="H100" i="1" s="1"/>
  <c r="B125" i="1"/>
  <c r="B191" i="1" s="1"/>
  <c r="J141" i="1"/>
  <c r="J203" i="1" s="1"/>
  <c r="K66" i="1"/>
  <c r="K125" i="1"/>
  <c r="L125" i="1"/>
  <c r="K61" i="1"/>
  <c r="M81" i="1"/>
  <c r="K21" i="1"/>
  <c r="K126" i="1" s="1"/>
  <c r="D45" i="8"/>
  <c r="L8" i="8"/>
  <c r="H8" i="8"/>
  <c r="D48" i="8"/>
  <c r="D44" i="8" s="1"/>
  <c r="D9" i="8" s="1"/>
  <c r="M489" i="2"/>
  <c r="M488" i="2" s="1"/>
  <c r="F238" i="6"/>
  <c r="M239" i="6"/>
  <c r="M238" i="6" s="1"/>
  <c r="F10" i="5"/>
  <c r="M13" i="5"/>
  <c r="F14" i="13"/>
  <c r="M56" i="13"/>
  <c r="M55" i="13" s="1"/>
  <c r="F17" i="13"/>
  <c r="M17" i="13" s="1"/>
  <c r="M15" i="13" s="1"/>
  <c r="M62" i="13"/>
  <c r="M61" i="13" s="1"/>
  <c r="N62" i="13"/>
  <c r="N61" i="13" s="1"/>
  <c r="N56" i="13"/>
  <c r="I201" i="9"/>
  <c r="M203" i="9"/>
  <c r="M201" i="9" s="1"/>
  <c r="M10" i="9"/>
  <c r="M45" i="8"/>
  <c r="F33" i="8"/>
  <c r="M48" i="8"/>
  <c r="D36" i="8"/>
  <c r="M44" i="1"/>
  <c r="G59" i="1"/>
  <c r="I118" i="8"/>
  <c r="M36" i="8"/>
  <c r="M33" i="8" s="1"/>
  <c r="M16" i="6"/>
  <c r="P16" i="6" s="1"/>
  <c r="D186" i="6"/>
  <c r="M189" i="6"/>
  <c r="M186" i="6" s="1"/>
  <c r="M297" i="6"/>
  <c r="F19" i="6"/>
  <c r="M146" i="6"/>
  <c r="M31" i="3"/>
  <c r="F12" i="3"/>
  <c r="M11" i="3" s="1"/>
  <c r="M25" i="3"/>
  <c r="M24" i="3" s="1"/>
  <c r="M14" i="3"/>
  <c r="L467" i="2"/>
  <c r="M317" i="2"/>
  <c r="M316" i="2" s="1"/>
  <c r="N10" i="2"/>
  <c r="E468" i="2"/>
  <c r="E467" i="2" s="1"/>
  <c r="M469" i="2"/>
  <c r="M468" i="2" s="1"/>
  <c r="M467" i="2" s="1"/>
  <c r="M16" i="2"/>
  <c r="M429" i="2"/>
  <c r="M36" i="2"/>
  <c r="M35" i="2" s="1"/>
  <c r="C24" i="1"/>
  <c r="C129" i="1" s="1"/>
  <c r="C190" i="1" s="1"/>
  <c r="M17" i="2"/>
  <c r="N20" i="2"/>
  <c r="N15" i="2"/>
  <c r="G18" i="2"/>
  <c r="N19" i="2"/>
  <c r="K18" i="2"/>
  <c r="L23" i="2"/>
  <c r="L22" i="2" s="1"/>
  <c r="L634" i="2" s="1"/>
  <c r="L635" i="2" s="1"/>
  <c r="L636" i="2" s="1"/>
  <c r="D289" i="2"/>
  <c r="L60" i="1"/>
  <c r="L432" i="2"/>
  <c r="N320" i="2"/>
  <c r="G319" i="2"/>
  <c r="L68" i="1"/>
  <c r="L123" i="1" s="1"/>
  <c r="L21" i="1"/>
  <c r="L126" i="1" s="1"/>
  <c r="F29" i="2"/>
  <c r="G489" i="2"/>
  <c r="G488" i="2" s="1"/>
  <c r="N490" i="2"/>
  <c r="N489" i="2" s="1"/>
  <c r="N488" i="2" s="1"/>
  <c r="G201" i="6"/>
  <c r="G197" i="6" s="1"/>
  <c r="G11" i="6" s="1"/>
  <c r="N202" i="6"/>
  <c r="N106" i="6"/>
  <c r="N96" i="6"/>
  <c r="N95" i="6" s="1"/>
  <c r="G299" i="6"/>
  <c r="N144" i="6"/>
  <c r="N12" i="8"/>
  <c r="G13" i="6"/>
  <c r="D25" i="1"/>
  <c r="F10" i="6"/>
  <c r="I14" i="6"/>
  <c r="N14" i="6" s="1"/>
  <c r="J120" i="6"/>
  <c r="J17" i="6"/>
  <c r="G25" i="1" s="1"/>
  <c r="L120" i="6"/>
  <c r="L119" i="6" s="1"/>
  <c r="L11" i="6" s="1"/>
  <c r="I14" i="1" s="1"/>
  <c r="L17" i="6"/>
  <c r="H120" i="6"/>
  <c r="H119" i="6" s="1"/>
  <c r="H11" i="6" s="1"/>
  <c r="H17" i="6"/>
  <c r="G105" i="6"/>
  <c r="J13" i="6"/>
  <c r="E25" i="1"/>
  <c r="N10" i="4"/>
  <c r="F9" i="3"/>
  <c r="D9" i="3"/>
  <c r="D50" i="3"/>
  <c r="D44" i="3" s="1"/>
  <c r="N15" i="3"/>
  <c r="N32" i="3"/>
  <c r="F14" i="3"/>
  <c r="G11" i="3"/>
  <c r="N12" i="3"/>
  <c r="D21" i="3"/>
  <c r="N16" i="3"/>
  <c r="N14" i="3" s="1"/>
  <c r="N486" i="2"/>
  <c r="N485" i="2" s="1"/>
  <c r="L61" i="1"/>
  <c r="N105" i="6"/>
  <c r="H18" i="1"/>
  <c r="H122" i="1" s="1"/>
  <c r="K10" i="3"/>
  <c r="H59" i="1"/>
  <c r="N124" i="6"/>
  <c r="N119" i="6" s="1"/>
  <c r="O27" i="1"/>
  <c r="L118" i="8"/>
  <c r="O30" i="1"/>
  <c r="E52" i="1"/>
  <c r="G118" i="8"/>
  <c r="F118" i="8"/>
  <c r="F15" i="13"/>
  <c r="N17" i="13"/>
  <c r="G14" i="13"/>
  <c r="D56" i="13"/>
  <c r="D14" i="13" s="1"/>
  <c r="D62" i="13"/>
  <c r="D17" i="13" s="1"/>
  <c r="P30" i="8"/>
  <c r="P24" i="8"/>
  <c r="D34" i="8"/>
  <c r="D33" i="8" s="1"/>
  <c r="D10" i="8" s="1"/>
  <c r="N45" i="8"/>
  <c r="N44" i="8" s="1"/>
  <c r="D22" i="8"/>
  <c r="N36" i="8"/>
  <c r="N33" i="8" s="1"/>
  <c r="N20" i="8"/>
  <c r="H118" i="8"/>
  <c r="J66" i="1"/>
  <c r="N66" i="1"/>
  <c r="D12" i="8"/>
  <c r="F120" i="6"/>
  <c r="F119" i="6" s="1"/>
  <c r="F11" i="6" s="1"/>
  <c r="D121" i="6"/>
  <c r="J125" i="1"/>
  <c r="M125" i="1" s="1"/>
  <c r="F220" i="6"/>
  <c r="F268" i="6" s="1"/>
  <c r="J34" i="1"/>
  <c r="F59" i="1"/>
  <c r="F106" i="1" s="1"/>
  <c r="D125" i="6"/>
  <c r="O71" i="1"/>
  <c r="G101" i="1"/>
  <c r="G100" i="1" s="1"/>
  <c r="J74" i="1"/>
  <c r="N74" i="1"/>
  <c r="I31" i="3"/>
  <c r="D32" i="3"/>
  <c r="D15" i="3" s="1"/>
  <c r="H14" i="3"/>
  <c r="H10" i="3" s="1"/>
  <c r="E29" i="1"/>
  <c r="E128" i="1" s="1"/>
  <c r="F25" i="3"/>
  <c r="D26" i="3"/>
  <c r="D12" i="3" s="1"/>
  <c r="F61" i="3"/>
  <c r="F320" i="2"/>
  <c r="M320" i="2" s="1"/>
  <c r="M319" i="2" s="1"/>
  <c r="D401" i="2"/>
  <c r="E21" i="2"/>
  <c r="B144" i="1"/>
  <c r="B206" i="1" s="1"/>
  <c r="J40" i="1"/>
  <c r="J144" i="1" s="1"/>
  <c r="J206" i="1" s="1"/>
  <c r="E30" i="2"/>
  <c r="E29" i="2" s="1"/>
  <c r="E20" i="2"/>
  <c r="E18" i="2" s="1"/>
  <c r="N67" i="1"/>
  <c r="O67" i="1" s="1"/>
  <c r="E27" i="2"/>
  <c r="B39" i="1" s="1"/>
  <c r="J39" i="1" s="1"/>
  <c r="B143" i="1"/>
  <c r="B205" i="1" s="1"/>
  <c r="J70" i="1"/>
  <c r="D174" i="6"/>
  <c r="D103" i="3"/>
  <c r="D145" i="2"/>
  <c r="B83" i="1"/>
  <c r="J83" i="1" s="1"/>
  <c r="D30" i="7"/>
  <c r="D29" i="7" s="1"/>
  <c r="D15" i="7"/>
  <c r="K10" i="7"/>
  <c r="N11" i="7"/>
  <c r="N10" i="7" s="1"/>
  <c r="D21" i="7"/>
  <c r="D51" i="7"/>
  <c r="D48" i="7" s="1"/>
  <c r="D25" i="7"/>
  <c r="D24" i="7" s="1"/>
  <c r="R10" i="7" s="1"/>
  <c r="N36" i="2"/>
  <c r="K12" i="2"/>
  <c r="I33" i="1"/>
  <c r="I8" i="2"/>
  <c r="D48" i="2"/>
  <c r="D376" i="2"/>
  <c r="D25" i="2"/>
  <c r="I29" i="2"/>
  <c r="I22" i="2" s="1"/>
  <c r="I634" i="2" s="1"/>
  <c r="L18" i="2"/>
  <c r="E72" i="2"/>
  <c r="E68" i="2" s="1"/>
  <c r="D119" i="2"/>
  <c r="D114" i="2" s="1"/>
  <c r="E61" i="2"/>
  <c r="D62" i="2"/>
  <c r="N425" i="2"/>
  <c r="N424" i="2" s="1"/>
  <c r="H38" i="1"/>
  <c r="H139" i="1" s="1"/>
  <c r="H201" i="1" s="1"/>
  <c r="B22" i="1"/>
  <c r="C38" i="1"/>
  <c r="C33" i="1" s="1"/>
  <c r="P37" i="6"/>
  <c r="D36" i="6"/>
  <c r="D35" i="6" s="1"/>
  <c r="O72" i="1"/>
  <c r="H150" i="6"/>
  <c r="D193" i="6"/>
  <c r="D192" i="6" s="1"/>
  <c r="D220" i="6"/>
  <c r="D127" i="1"/>
  <c r="D188" i="1" s="1"/>
  <c r="D214" i="6"/>
  <c r="D213" i="6" s="1"/>
  <c r="G143" i="6"/>
  <c r="G19" i="6" s="1"/>
  <c r="H21" i="6"/>
  <c r="H20" i="6" s="1"/>
  <c r="E38" i="1"/>
  <c r="J21" i="6"/>
  <c r="G38" i="1"/>
  <c r="G139" i="1" s="1"/>
  <c r="G201" i="1" s="1"/>
  <c r="H22" i="1"/>
  <c r="H127" i="1" s="1"/>
  <c r="H188" i="1" s="1"/>
  <c r="G485" i="2"/>
  <c r="D522" i="2"/>
  <c r="D521" i="2" s="1"/>
  <c r="G22" i="1"/>
  <c r="G127" i="1" s="1"/>
  <c r="G188" i="1" s="1"/>
  <c r="I22" i="1"/>
  <c r="I127" i="1" s="1"/>
  <c r="I188" i="1" s="1"/>
  <c r="E22" i="1"/>
  <c r="E127" i="1" s="1"/>
  <c r="E188" i="1" s="1"/>
  <c r="D15" i="9"/>
  <c r="D63" i="9"/>
  <c r="D62" i="9" s="1"/>
  <c r="H31" i="1"/>
  <c r="H132" i="1" s="1"/>
  <c r="H194" i="1" s="1"/>
  <c r="D35" i="9"/>
  <c r="D209" i="6"/>
  <c r="H14" i="1"/>
  <c r="L94" i="6"/>
  <c r="L10" i="6" s="1"/>
  <c r="I233" i="9"/>
  <c r="I234" i="9" s="1"/>
  <c r="N203" i="9"/>
  <c r="N201" i="9" s="1"/>
  <c r="D54" i="9"/>
  <c r="D53" i="9" s="1"/>
  <c r="J201" i="9"/>
  <c r="G35" i="9"/>
  <c r="N35" i="9"/>
  <c r="F62" i="9"/>
  <c r="E233" i="9"/>
  <c r="E234" i="9" s="1"/>
  <c r="E211" i="9" s="1"/>
  <c r="D22" i="9"/>
  <c r="D18" i="9" s="1"/>
  <c r="G71" i="9"/>
  <c r="F26" i="9"/>
  <c r="N16" i="9"/>
  <c r="N15" i="9" s="1"/>
  <c r="N10" i="9" s="1"/>
  <c r="K233" i="9"/>
  <c r="K234" i="9" s="1"/>
  <c r="H98" i="1"/>
  <c r="H92" i="1" s="1"/>
  <c r="J233" i="9"/>
  <c r="J234" i="9" s="1"/>
  <c r="L233" i="9"/>
  <c r="L234" i="9" s="1"/>
  <c r="E75" i="2"/>
  <c r="E74" i="2" s="1"/>
  <c r="E9" i="2"/>
  <c r="M36" i="1"/>
  <c r="H31" i="2"/>
  <c r="G31" i="2"/>
  <c r="J9" i="2"/>
  <c r="J8" i="2" s="1"/>
  <c r="C59" i="1"/>
  <c r="O20" i="1"/>
  <c r="E76" i="1"/>
  <c r="E75" i="1" s="1"/>
  <c r="E86" i="1" s="1"/>
  <c r="K23" i="2"/>
  <c r="K22" i="2" s="1"/>
  <c r="F76" i="1"/>
  <c r="F75" i="1" s="1"/>
  <c r="F86" i="1" s="1"/>
  <c r="F100" i="1" s="1"/>
  <c r="I485" i="2"/>
  <c r="H61" i="13"/>
  <c r="N15" i="13"/>
  <c r="G142" i="6"/>
  <c r="N190" i="6"/>
  <c r="G301" i="6"/>
  <c r="F138" i="6"/>
  <c r="I143" i="6"/>
  <c r="I19" i="6" s="1"/>
  <c r="D299" i="6"/>
  <c r="B73" i="1"/>
  <c r="N73" i="1" s="1"/>
  <c r="G104" i="13"/>
  <c r="G106" i="13" s="1"/>
  <c r="G107" i="13" s="1"/>
  <c r="G88" i="13" s="1"/>
  <c r="N34" i="13"/>
  <c r="H55" i="13"/>
  <c r="G54" i="13"/>
  <c r="N55" i="13"/>
  <c r="N54" i="13" s="1"/>
  <c r="F54" i="13"/>
  <c r="I11" i="13"/>
  <c r="D61" i="13"/>
  <c r="F12" i="13"/>
  <c r="N14" i="13"/>
  <c r="N12" i="13" s="1"/>
  <c r="I54" i="13"/>
  <c r="I137" i="1"/>
  <c r="I199" i="1" s="1"/>
  <c r="D124" i="6"/>
  <c r="D280" i="6" s="1"/>
  <c r="D86" i="6"/>
  <c r="D83" i="6" s="1"/>
  <c r="D73" i="6"/>
  <c r="D72" i="6" s="1"/>
  <c r="E239" i="6"/>
  <c r="E238" i="6" s="1"/>
  <c r="N297" i="6"/>
  <c r="D194" i="6"/>
  <c r="D296" i="6"/>
  <c r="M296" i="6" s="1"/>
  <c r="G208" i="6"/>
  <c r="G151" i="6"/>
  <c r="C101" i="1"/>
  <c r="D382" i="2"/>
  <c r="D381" i="2" s="1"/>
  <c r="D492" i="2"/>
  <c r="H489" i="2"/>
  <c r="H488" i="2" s="1"/>
  <c r="E65" i="1"/>
  <c r="E64" i="1" s="1"/>
  <c r="E63" i="1" s="1"/>
  <c r="E85" i="1" s="1"/>
  <c r="B43" i="1"/>
  <c r="D29" i="1"/>
  <c r="D128" i="1" s="1"/>
  <c r="D170" i="6"/>
  <c r="L150" i="6"/>
  <c r="H142" i="6"/>
  <c r="H138" i="6" s="1"/>
  <c r="J142" i="6"/>
  <c r="J18" i="6"/>
  <c r="L142" i="6"/>
  <c r="E268" i="6"/>
  <c r="I150" i="6"/>
  <c r="K150" i="6"/>
  <c r="F150" i="6"/>
  <c r="D181" i="6"/>
  <c r="D178" i="6" s="1"/>
  <c r="D146" i="6" s="1"/>
  <c r="K138" i="6"/>
  <c r="F24" i="3"/>
  <c r="G14" i="3"/>
  <c r="D31" i="3"/>
  <c r="H24" i="3"/>
  <c r="H8" i="3" s="1"/>
  <c r="N25" i="3"/>
  <c r="J87" i="13"/>
  <c r="J86" i="13" s="1"/>
  <c r="G65" i="1"/>
  <c r="G64" i="1" s="1"/>
  <c r="G63" i="1" s="1"/>
  <c r="G85" i="1" s="1"/>
  <c r="I87" i="13"/>
  <c r="I86" i="13" s="1"/>
  <c r="J94" i="6"/>
  <c r="J10" i="6" s="1"/>
  <c r="I14" i="3"/>
  <c r="I10" i="3" s="1"/>
  <c r="F29" i="1"/>
  <c r="F128" i="1" s="1"/>
  <c r="E146" i="3"/>
  <c r="L147" i="3"/>
  <c r="L148" i="3" s="1"/>
  <c r="J145" i="3"/>
  <c r="D146" i="3"/>
  <c r="F54" i="3"/>
  <c r="F145" i="3" s="1"/>
  <c r="F147" i="3" s="1"/>
  <c r="F148" i="3" s="1"/>
  <c r="H145" i="3"/>
  <c r="F11" i="3"/>
  <c r="N31" i="3"/>
  <c r="K146" i="3"/>
  <c r="D65" i="3"/>
  <c r="D61" i="3" s="1"/>
  <c r="I37" i="3"/>
  <c r="G37" i="3"/>
  <c r="J24" i="6"/>
  <c r="J20" i="6" s="1"/>
  <c r="J150" i="6"/>
  <c r="H147" i="6"/>
  <c r="I51" i="1"/>
  <c r="I46" i="1"/>
  <c r="L24" i="6"/>
  <c r="L20" i="6" s="1"/>
  <c r="E59" i="1"/>
  <c r="L7" i="3"/>
  <c r="D14" i="3"/>
  <c r="L10" i="3"/>
  <c r="J10" i="3"/>
  <c r="J7" i="3"/>
  <c r="D134" i="2"/>
  <c r="D129" i="2" s="1"/>
  <c r="P136" i="2"/>
  <c r="D80" i="9"/>
  <c r="J119" i="6"/>
  <c r="J11" i="6" s="1"/>
  <c r="N242" i="6"/>
  <c r="N241" i="6" s="1"/>
  <c r="F242" i="6"/>
  <c r="F241" i="6" s="1"/>
  <c r="E147" i="1"/>
  <c r="E209" i="1" s="1"/>
  <c r="D94" i="3"/>
  <c r="D91" i="3" s="1"/>
  <c r="D290" i="6" s="1"/>
  <c r="M290" i="6" s="1"/>
  <c r="N11" i="3"/>
  <c r="G24" i="3"/>
  <c r="G8" i="3" s="1"/>
  <c r="G7" i="3" s="1"/>
  <c r="D57" i="3"/>
  <c r="D54" i="3" s="1"/>
  <c r="I24" i="3"/>
  <c r="I8" i="3" s="1"/>
  <c r="F291" i="6"/>
  <c r="F302" i="6" s="1"/>
  <c r="H94" i="6"/>
  <c r="H10" i="6" s="1"/>
  <c r="O70" i="1"/>
  <c r="P467" i="2"/>
  <c r="D61" i="2"/>
  <c r="B45" i="1"/>
  <c r="D93" i="2"/>
  <c r="D92" i="2" s="1"/>
  <c r="E93" i="2"/>
  <c r="E92" i="2" s="1"/>
  <c r="G29" i="1"/>
  <c r="G128" i="1" s="1"/>
  <c r="G189" i="1" s="1"/>
  <c r="J18" i="2"/>
  <c r="D560" i="2"/>
  <c r="D559" i="2" s="1"/>
  <c r="D486" i="2" s="1"/>
  <c r="E81" i="2"/>
  <c r="E436" i="2"/>
  <c r="D173" i="2"/>
  <c r="D169" i="2" s="1"/>
  <c r="D388" i="2"/>
  <c r="J102" i="1"/>
  <c r="D350" i="2"/>
  <c r="E426" i="2"/>
  <c r="M426" i="2" s="1"/>
  <c r="M425" i="2" s="1"/>
  <c r="M424" i="2" s="1"/>
  <c r="E441" i="2"/>
  <c r="B24" i="1"/>
  <c r="J24" i="1" s="1"/>
  <c r="D338" i="2"/>
  <c r="D337" i="2" s="1"/>
  <c r="E55" i="2"/>
  <c r="P424" i="2"/>
  <c r="D469" i="2"/>
  <c r="D468" i="2" s="1"/>
  <c r="D467" i="2" s="1"/>
  <c r="D477" i="2"/>
  <c r="D476" i="2" s="1"/>
  <c r="F33" i="1"/>
  <c r="I11" i="2"/>
  <c r="F485" i="2"/>
  <c r="D59" i="1"/>
  <c r="D359" i="2"/>
  <c r="D358" i="2" s="1"/>
  <c r="E101" i="2"/>
  <c r="E98" i="2" s="1"/>
  <c r="D104" i="2"/>
  <c r="D68" i="2"/>
  <c r="D121" i="2"/>
  <c r="D386" i="2"/>
  <c r="D368" i="2"/>
  <c r="D367" i="2" s="1"/>
  <c r="N41" i="2"/>
  <c r="F20" i="2"/>
  <c r="D84" i="2"/>
  <c r="E84" i="2"/>
  <c r="F19" i="2"/>
  <c r="N319" i="2"/>
  <c r="F319" i="2"/>
  <c r="E429" i="2"/>
  <c r="D129" i="1"/>
  <c r="D190" i="1" s="1"/>
  <c r="L129" i="1"/>
  <c r="F400" i="2"/>
  <c r="N400" i="2"/>
  <c r="N394" i="2" s="1"/>
  <c r="E101" i="1"/>
  <c r="D431" i="2"/>
  <c r="D21" i="2" s="1"/>
  <c r="D445" i="2"/>
  <c r="B29" i="1"/>
  <c r="C131" i="1"/>
  <c r="C193" i="1" s="1"/>
  <c r="L28" i="1"/>
  <c r="L131" i="1" s="1"/>
  <c r="L12" i="2"/>
  <c r="J29" i="2"/>
  <c r="G51" i="1"/>
  <c r="G46" i="1"/>
  <c r="F23" i="2"/>
  <c r="F22" i="2" s="1"/>
  <c r="J23" i="2"/>
  <c r="N16" i="2"/>
  <c r="D26" i="2"/>
  <c r="B77" i="1"/>
  <c r="D39" i="4"/>
  <c r="D24" i="4"/>
  <c r="D23" i="4" s="1"/>
  <c r="D38" i="4"/>
  <c r="B69" i="1"/>
  <c r="N69" i="1" s="1"/>
  <c r="J68" i="1"/>
  <c r="F44" i="3"/>
  <c r="K291" i="6"/>
  <c r="K302" i="6" s="1"/>
  <c r="I291" i="6"/>
  <c r="I302" i="6" s="1"/>
  <c r="E287" i="6"/>
  <c r="C137" i="1"/>
  <c r="G137" i="1"/>
  <c r="D137" i="1"/>
  <c r="H137" i="1"/>
  <c r="N316" i="2"/>
  <c r="F316" i="2"/>
  <c r="F13" i="2"/>
  <c r="H316" i="2"/>
  <c r="H315" i="2" s="1"/>
  <c r="H13" i="2"/>
  <c r="E18" i="1" s="1"/>
  <c r="G316" i="2"/>
  <c r="G13" i="2"/>
  <c r="J12" i="2"/>
  <c r="H394" i="2"/>
  <c r="G394" i="2"/>
  <c r="I124" i="1"/>
  <c r="E199" i="1"/>
  <c r="F199" i="1"/>
  <c r="M201" i="6" l="1"/>
  <c r="G138" i="6"/>
  <c r="F18" i="6"/>
  <c r="M19" i="6"/>
  <c r="P19" i="6" s="1"/>
  <c r="M143" i="6"/>
  <c r="M14" i="6"/>
  <c r="P14" i="6" s="1"/>
  <c r="M8" i="3"/>
  <c r="M7" i="3" s="1"/>
  <c r="J12" i="6"/>
  <c r="F18" i="1"/>
  <c r="F122" i="1" s="1"/>
  <c r="F184" i="1" s="1"/>
  <c r="H269" i="6"/>
  <c r="N201" i="6"/>
  <c r="N197" i="6" s="1"/>
  <c r="N11" i="6" s="1"/>
  <c r="D201" i="6"/>
  <c r="P23" i="8"/>
  <c r="P14" i="8"/>
  <c r="D117" i="8"/>
  <c r="M94" i="6"/>
  <c r="M10" i="6" s="1"/>
  <c r="G7" i="9"/>
  <c r="F9" i="9"/>
  <c r="M9" i="9" s="1"/>
  <c r="F10" i="8"/>
  <c r="M10" i="8" s="1"/>
  <c r="I106" i="1"/>
  <c r="H106" i="1"/>
  <c r="K68" i="1"/>
  <c r="K123" i="1" s="1"/>
  <c r="H123" i="1"/>
  <c r="H185" i="1" s="1"/>
  <c r="I13" i="6"/>
  <c r="F8" i="3"/>
  <c r="G315" i="2"/>
  <c r="K11" i="2"/>
  <c r="D15" i="13"/>
  <c r="P23" i="13"/>
  <c r="K59" i="1"/>
  <c r="M10" i="2"/>
  <c r="K24" i="1"/>
  <c r="K129" i="1" s="1"/>
  <c r="M315" i="2"/>
  <c r="F7" i="9"/>
  <c r="M8" i="9"/>
  <c r="K22" i="1"/>
  <c r="K127" i="1" s="1"/>
  <c r="F8" i="8"/>
  <c r="M9" i="8"/>
  <c r="M11" i="5"/>
  <c r="M10" i="5" s="1"/>
  <c r="N11" i="5"/>
  <c r="G87" i="13"/>
  <c r="G86" i="13" s="1"/>
  <c r="N88" i="13"/>
  <c r="M54" i="13"/>
  <c r="M14" i="13"/>
  <c r="M12" i="13" s="1"/>
  <c r="M11" i="13" s="1"/>
  <c r="C19" i="1"/>
  <c r="C124" i="1" s="1"/>
  <c r="C186" i="1" s="1"/>
  <c r="H17" i="1"/>
  <c r="M16" i="8"/>
  <c r="M11" i="8" s="1"/>
  <c r="M44" i="8"/>
  <c r="J191" i="1"/>
  <c r="G106" i="1"/>
  <c r="N299" i="6"/>
  <c r="M299" i="6"/>
  <c r="M142" i="6"/>
  <c r="M138" i="6" s="1"/>
  <c r="D197" i="6"/>
  <c r="M197" i="6"/>
  <c r="M11" i="6" s="1"/>
  <c r="P11" i="6" s="1"/>
  <c r="M13" i="6"/>
  <c r="M10" i="3"/>
  <c r="G10" i="3"/>
  <c r="N35" i="2"/>
  <c r="B28" i="1"/>
  <c r="K28" i="1" s="1"/>
  <c r="K131" i="1" s="1"/>
  <c r="M21" i="2"/>
  <c r="C18" i="1"/>
  <c r="M12" i="2"/>
  <c r="C31" i="1"/>
  <c r="C132" i="1" s="1"/>
  <c r="C194" i="1" s="1"/>
  <c r="M18" i="2"/>
  <c r="O66" i="1"/>
  <c r="F10" i="3"/>
  <c r="P488" i="2"/>
  <c r="D18" i="1"/>
  <c r="N13" i="2"/>
  <c r="D151" i="6"/>
  <c r="D25" i="6" s="1"/>
  <c r="G25" i="6"/>
  <c r="N94" i="6"/>
  <c r="N10" i="6" s="1"/>
  <c r="N9" i="6" s="1"/>
  <c r="L13" i="6"/>
  <c r="I25" i="1"/>
  <c r="I17" i="1" s="1"/>
  <c r="N143" i="6"/>
  <c r="N142" i="6" s="1"/>
  <c r="N138" i="6" s="1"/>
  <c r="H13" i="6"/>
  <c r="G94" i="6"/>
  <c r="G10" i="6" s="1"/>
  <c r="P10" i="6" s="1"/>
  <c r="G18" i="1"/>
  <c r="G17" i="1" s="1"/>
  <c r="P32" i="3"/>
  <c r="N315" i="2"/>
  <c r="L29" i="1"/>
  <c r="L22" i="1"/>
  <c r="L127" i="1" s="1"/>
  <c r="H13" i="1"/>
  <c r="N13" i="6"/>
  <c r="L11" i="2"/>
  <c r="N10" i="3"/>
  <c r="F11" i="13"/>
  <c r="I9" i="6"/>
  <c r="H26" i="1"/>
  <c r="N16" i="8"/>
  <c r="N11" i="8" s="1"/>
  <c r="D65" i="1"/>
  <c r="L65" i="1" s="1"/>
  <c r="D19" i="1"/>
  <c r="G12" i="13"/>
  <c r="G11" i="13" s="1"/>
  <c r="N9" i="8"/>
  <c r="D8" i="8"/>
  <c r="D28" i="8"/>
  <c r="D21" i="8" s="1"/>
  <c r="P21" i="8"/>
  <c r="P15" i="8"/>
  <c r="P25" i="8"/>
  <c r="P29" i="8"/>
  <c r="P16" i="8"/>
  <c r="D16" i="8"/>
  <c r="D11" i="8" s="1"/>
  <c r="F9" i="6"/>
  <c r="N10" i="5"/>
  <c r="K7" i="3"/>
  <c r="H7" i="3"/>
  <c r="D25" i="3"/>
  <c r="D24" i="3" s="1"/>
  <c r="D8" i="3" s="1"/>
  <c r="E13" i="2"/>
  <c r="E12" i="2" s="1"/>
  <c r="E11" i="2" s="1"/>
  <c r="F14" i="1"/>
  <c r="F90" i="1" s="1"/>
  <c r="B146" i="1"/>
  <c r="B208" i="1" s="1"/>
  <c r="J43" i="1"/>
  <c r="J146" i="1" s="1"/>
  <c r="J208" i="1" s="1"/>
  <c r="N28" i="1"/>
  <c r="N68" i="1"/>
  <c r="E23" i="2"/>
  <c r="E22" i="2" s="1"/>
  <c r="B137" i="1"/>
  <c r="B199" i="1" s="1"/>
  <c r="J77" i="1"/>
  <c r="M77" i="1" s="1"/>
  <c r="J69" i="1"/>
  <c r="B128" i="1"/>
  <c r="B189" i="1" s="1"/>
  <c r="J21" i="1"/>
  <c r="N21" i="1"/>
  <c r="B127" i="1"/>
  <c r="B188" i="1" s="1"/>
  <c r="J22" i="1"/>
  <c r="N24" i="1"/>
  <c r="J138" i="6"/>
  <c r="N22" i="1"/>
  <c r="D143" i="6"/>
  <c r="D19" i="6" s="1"/>
  <c r="E104" i="13"/>
  <c r="E106" i="13" s="1"/>
  <c r="E107" i="13" s="1"/>
  <c r="D10" i="7"/>
  <c r="D288" i="6"/>
  <c r="J82" i="1"/>
  <c r="B82" i="1"/>
  <c r="G31" i="1"/>
  <c r="G132" i="1" s="1"/>
  <c r="G194" i="1" s="1"/>
  <c r="J11" i="2"/>
  <c r="H33" i="1"/>
  <c r="J22" i="2"/>
  <c r="J634" i="2" s="1"/>
  <c r="J635" i="2" s="1"/>
  <c r="J636" i="2" s="1"/>
  <c r="L59" i="1"/>
  <c r="D490" i="2"/>
  <c r="B38" i="1"/>
  <c r="J38" i="1" s="1"/>
  <c r="D31" i="1"/>
  <c r="D26" i="1" s="1"/>
  <c r="G18" i="6"/>
  <c r="G12" i="6" s="1"/>
  <c r="D496" i="2"/>
  <c r="D495" i="2" s="1"/>
  <c r="D494" i="2" s="1"/>
  <c r="G13" i="1"/>
  <c r="G89" i="1" s="1"/>
  <c r="E100" i="1"/>
  <c r="F315" i="2"/>
  <c r="H233" i="9"/>
  <c r="H234" i="9" s="1"/>
  <c r="D233" i="9"/>
  <c r="D234" i="9" s="1"/>
  <c r="G233" i="9"/>
  <c r="G234" i="9" s="1"/>
  <c r="G211" i="9" s="1"/>
  <c r="G210" i="9" s="1"/>
  <c r="G209" i="9" s="1"/>
  <c r="J291" i="6"/>
  <c r="J302" i="6" s="1"/>
  <c r="G14" i="1"/>
  <c r="L291" i="6"/>
  <c r="L302" i="6" s="1"/>
  <c r="F233" i="9"/>
  <c r="F234" i="9" s="1"/>
  <c r="F211" i="9" s="1"/>
  <c r="D14" i="1"/>
  <c r="D27" i="9"/>
  <c r="D26" i="9" s="1"/>
  <c r="E14" i="1"/>
  <c r="E90" i="1" s="1"/>
  <c r="E210" i="9"/>
  <c r="E209" i="9" s="1"/>
  <c r="D75" i="2"/>
  <c r="D74" i="2" s="1"/>
  <c r="P39" i="2"/>
  <c r="D429" i="2"/>
  <c r="D320" i="2"/>
  <c r="D31" i="2"/>
  <c r="G29" i="2"/>
  <c r="G22" i="2" s="1"/>
  <c r="G634" i="2" s="1"/>
  <c r="G635" i="2" s="1"/>
  <c r="G636" i="2" s="1"/>
  <c r="D45" i="1"/>
  <c r="D145" i="1" s="1"/>
  <c r="D207" i="1" s="1"/>
  <c r="G9" i="2"/>
  <c r="H9" i="2"/>
  <c r="F394" i="2"/>
  <c r="D317" i="2"/>
  <c r="D385" i="2"/>
  <c r="B61" i="1"/>
  <c r="N61" i="1" s="1"/>
  <c r="E45" i="1"/>
  <c r="H29" i="2"/>
  <c r="H22" i="2" s="1"/>
  <c r="H634" i="2" s="1"/>
  <c r="H635" i="2" s="1"/>
  <c r="H636" i="2" s="1"/>
  <c r="E54" i="2"/>
  <c r="D55" i="2"/>
  <c r="D54" i="2" s="1"/>
  <c r="D514" i="2"/>
  <c r="D513" i="2" s="1"/>
  <c r="H90" i="1"/>
  <c r="P62" i="13"/>
  <c r="P194" i="6"/>
  <c r="I142" i="6"/>
  <c r="J73" i="1"/>
  <c r="O73" i="1" s="1"/>
  <c r="O74" i="1"/>
  <c r="E106" i="1"/>
  <c r="I9" i="13"/>
  <c r="I8" i="13" s="1"/>
  <c r="F9" i="13"/>
  <c r="G9" i="13"/>
  <c r="G8" i="13" s="1"/>
  <c r="H54" i="13"/>
  <c r="N11" i="13"/>
  <c r="D55" i="13"/>
  <c r="D54" i="13" s="1"/>
  <c r="P56" i="13"/>
  <c r="H12" i="13"/>
  <c r="H11" i="13" s="1"/>
  <c r="D208" i="6"/>
  <c r="D205" i="6" s="1"/>
  <c r="G205" i="6"/>
  <c r="G150" i="6"/>
  <c r="D298" i="6"/>
  <c r="N296" i="6"/>
  <c r="D254" i="6"/>
  <c r="D253" i="6" s="1"/>
  <c r="D239" i="6" s="1"/>
  <c r="D238" i="6" s="1"/>
  <c r="D243" i="6"/>
  <c r="D242" i="6" s="1"/>
  <c r="D241" i="6" s="1"/>
  <c r="C25" i="1"/>
  <c r="F13" i="6"/>
  <c r="E440" i="2"/>
  <c r="E10" i="2" s="1"/>
  <c r="E432" i="2"/>
  <c r="L147" i="6"/>
  <c r="I31" i="1"/>
  <c r="L18" i="6"/>
  <c r="L12" i="6" s="1"/>
  <c r="E31" i="1"/>
  <c r="H18" i="6"/>
  <c r="L138" i="6"/>
  <c r="D78" i="6"/>
  <c r="D77" i="6" s="1"/>
  <c r="G33" i="1"/>
  <c r="F147" i="6"/>
  <c r="K147" i="6"/>
  <c r="F46" i="1"/>
  <c r="I24" i="6"/>
  <c r="I20" i="6" s="1"/>
  <c r="F51" i="1"/>
  <c r="D148" i="6"/>
  <c r="D23" i="6"/>
  <c r="D21" i="6" s="1"/>
  <c r="C51" i="1"/>
  <c r="C46" i="1"/>
  <c r="F24" i="6"/>
  <c r="F20" i="6" s="1"/>
  <c r="K24" i="6"/>
  <c r="K20" i="6" s="1"/>
  <c r="H46" i="1"/>
  <c r="H51" i="1"/>
  <c r="I147" i="6"/>
  <c r="N24" i="3"/>
  <c r="N8" i="3" s="1"/>
  <c r="K634" i="2"/>
  <c r="K635" i="2" s="1"/>
  <c r="K636" i="2" s="1"/>
  <c r="I635" i="2"/>
  <c r="I636" i="2" s="1"/>
  <c r="D301" i="6"/>
  <c r="M301" i="6" s="1"/>
  <c r="D145" i="3"/>
  <c r="D11" i="3"/>
  <c r="D10" i="3" s="1"/>
  <c r="K147" i="3"/>
  <c r="K148" i="3" s="1"/>
  <c r="H147" i="3"/>
  <c r="H148" i="3" s="1"/>
  <c r="E98" i="1"/>
  <c r="E92" i="1" s="1"/>
  <c r="J147" i="3"/>
  <c r="J148" i="3" s="1"/>
  <c r="G98" i="1"/>
  <c r="G92" i="1" s="1"/>
  <c r="G145" i="3"/>
  <c r="I145" i="3"/>
  <c r="C98" i="1"/>
  <c r="I147" i="1"/>
  <c r="I41" i="1"/>
  <c r="I52" i="1"/>
  <c r="J147" i="6"/>
  <c r="P22" i="3"/>
  <c r="J143" i="1"/>
  <c r="J205" i="1" s="1"/>
  <c r="E145" i="3"/>
  <c r="H9" i="6"/>
  <c r="H291" i="6"/>
  <c r="H302" i="6" s="1"/>
  <c r="B60" i="1"/>
  <c r="N60" i="1" s="1"/>
  <c r="D441" i="2"/>
  <c r="D440" i="2" s="1"/>
  <c r="D10" i="2" s="1"/>
  <c r="D426" i="2"/>
  <c r="D425" i="2" s="1"/>
  <c r="D424" i="2" s="1"/>
  <c r="D568" i="2"/>
  <c r="D567" i="2" s="1"/>
  <c r="B145" i="1"/>
  <c r="B207" i="1" s="1"/>
  <c r="E425" i="2"/>
  <c r="B80" i="1"/>
  <c r="D15" i="2"/>
  <c r="D81" i="2"/>
  <c r="D80" i="2" s="1"/>
  <c r="B129" i="1"/>
  <c r="B190" i="1" s="1"/>
  <c r="D17" i="2"/>
  <c r="D101" i="2"/>
  <c r="D98" i="2" s="1"/>
  <c r="P42" i="2"/>
  <c r="D538" i="2"/>
  <c r="D537" i="2" s="1"/>
  <c r="J37" i="1"/>
  <c r="E139" i="1"/>
  <c r="E33" i="1"/>
  <c r="D281" i="2"/>
  <c r="D277" i="2" s="1"/>
  <c r="E80" i="2"/>
  <c r="D400" i="2"/>
  <c r="D394" i="2" s="1"/>
  <c r="D9" i="2" s="1"/>
  <c r="P407" i="2"/>
  <c r="B131" i="1"/>
  <c r="B193" i="1" s="1"/>
  <c r="D347" i="2"/>
  <c r="D346" i="2" s="1"/>
  <c r="F18" i="2"/>
  <c r="C29" i="1"/>
  <c r="K29" i="1" s="1"/>
  <c r="B51" i="1"/>
  <c r="B46" i="1"/>
  <c r="G147" i="1"/>
  <c r="G209" i="1" s="1"/>
  <c r="G41" i="1"/>
  <c r="G52" i="1"/>
  <c r="C127" i="1"/>
  <c r="C188" i="1" s="1"/>
  <c r="P26" i="2"/>
  <c r="D20" i="4"/>
  <c r="D31" i="4"/>
  <c r="D30" i="4" s="1"/>
  <c r="B123" i="1"/>
  <c r="B185" i="1" s="1"/>
  <c r="B126" i="1"/>
  <c r="B187" i="1" s="1"/>
  <c r="D120" i="6"/>
  <c r="D119" i="6" s="1"/>
  <c r="D11" i="6" s="1"/>
  <c r="D17" i="6"/>
  <c r="B25" i="1"/>
  <c r="K9" i="6"/>
  <c r="E291" i="6"/>
  <c r="E302" i="6" s="1"/>
  <c r="D105" i="6"/>
  <c r="B31" i="1"/>
  <c r="I90" i="1"/>
  <c r="C199" i="1"/>
  <c r="D199" i="1"/>
  <c r="H199" i="1"/>
  <c r="G199" i="1"/>
  <c r="H8" i="2"/>
  <c r="H184" i="1"/>
  <c r="H133" i="1"/>
  <c r="G12" i="2"/>
  <c r="G11" i="2" s="1"/>
  <c r="H12" i="2"/>
  <c r="H11" i="2" s="1"/>
  <c r="N12" i="2"/>
  <c r="F12" i="2"/>
  <c r="I186" i="1"/>
  <c r="E189" i="1"/>
  <c r="F189" i="1"/>
  <c r="D189" i="1"/>
  <c r="M18" i="6" l="1"/>
  <c r="M12" i="6" s="1"/>
  <c r="F17" i="1"/>
  <c r="F12" i="6"/>
  <c r="M9" i="6"/>
  <c r="M102" i="1"/>
  <c r="D640" i="2"/>
  <c r="D642" i="2" s="1"/>
  <c r="D643" i="2" s="1"/>
  <c r="C92" i="1"/>
  <c r="L269" i="6"/>
  <c r="J269" i="6"/>
  <c r="I269" i="6"/>
  <c r="K269" i="6"/>
  <c r="R11" i="7"/>
  <c r="N288" i="6"/>
  <c r="M288" i="6"/>
  <c r="H195" i="1"/>
  <c r="D142" i="6"/>
  <c r="D138" i="6" s="1"/>
  <c r="H12" i="6"/>
  <c r="J28" i="1"/>
  <c r="K19" i="1"/>
  <c r="J33" i="1"/>
  <c r="H16" i="1"/>
  <c r="H48" i="1" s="1"/>
  <c r="K18" i="1"/>
  <c r="L18" i="1"/>
  <c r="C14" i="1"/>
  <c r="C90" i="1" s="1"/>
  <c r="N10" i="8"/>
  <c r="N8" i="8" s="1"/>
  <c r="P8" i="8"/>
  <c r="N298" i="6"/>
  <c r="M298" i="6"/>
  <c r="J14" i="1"/>
  <c r="M11" i="2"/>
  <c r="L19" i="1"/>
  <c r="L124" i="1" s="1"/>
  <c r="K124" i="1"/>
  <c r="N29" i="1"/>
  <c r="G122" i="1"/>
  <c r="G184" i="1" s="1"/>
  <c r="G195" i="1" s="1"/>
  <c r="N9" i="2"/>
  <c r="N8" i="2" s="1"/>
  <c r="D268" i="6"/>
  <c r="M98" i="1" s="1"/>
  <c r="G9" i="6"/>
  <c r="G291" i="6"/>
  <c r="G302" i="6" s="1"/>
  <c r="N19" i="6"/>
  <c r="N18" i="6" s="1"/>
  <c r="N12" i="6" s="1"/>
  <c r="N7" i="3"/>
  <c r="P7" i="3" s="1"/>
  <c r="D132" i="1"/>
  <c r="D194" i="1" s="1"/>
  <c r="D64" i="1"/>
  <c r="D63" i="1" s="1"/>
  <c r="D85" i="1" s="1"/>
  <c r="D106" i="1" s="1"/>
  <c r="L14" i="1"/>
  <c r="N18" i="2"/>
  <c r="G26" i="1"/>
  <c r="D118" i="8"/>
  <c r="F13" i="1"/>
  <c r="J19" i="1"/>
  <c r="D124" i="1"/>
  <c r="D186" i="1" s="1"/>
  <c r="N19" i="1"/>
  <c r="D7" i="3"/>
  <c r="P17" i="3" s="1"/>
  <c r="D13" i="2"/>
  <c r="N25" i="1"/>
  <c r="J25" i="1"/>
  <c r="J29" i="1"/>
  <c r="B76" i="1"/>
  <c r="B75" i="1" s="1"/>
  <c r="B86" i="1" s="1"/>
  <c r="J80" i="1"/>
  <c r="J140" i="1" s="1"/>
  <c r="J202" i="1" s="1"/>
  <c r="J45" i="1"/>
  <c r="B65" i="1"/>
  <c r="D9" i="13"/>
  <c r="D8" i="13" s="1"/>
  <c r="M101" i="1"/>
  <c r="B139" i="1"/>
  <c r="B201" i="1" s="1"/>
  <c r="F269" i="6"/>
  <c r="F270" i="6" s="1"/>
  <c r="F271" i="6" s="1"/>
  <c r="F7" i="3"/>
  <c r="D10" i="9"/>
  <c r="P325" i="2"/>
  <c r="D324" i="2"/>
  <c r="D321" i="2" s="1"/>
  <c r="G210" i="1"/>
  <c r="I13" i="1"/>
  <c r="I89" i="1" s="1"/>
  <c r="I88" i="1" s="1"/>
  <c r="L9" i="6"/>
  <c r="F210" i="9"/>
  <c r="C76" i="1"/>
  <c r="C75" i="1" s="1"/>
  <c r="C86" i="1" s="1"/>
  <c r="C139" i="1"/>
  <c r="C201" i="1" s="1"/>
  <c r="M79" i="1"/>
  <c r="D7" i="9"/>
  <c r="M7" i="9"/>
  <c r="D116" i="1"/>
  <c r="D112" i="1"/>
  <c r="D90" i="1"/>
  <c r="D13" i="1"/>
  <c r="N8" i="9"/>
  <c r="N9" i="9"/>
  <c r="D76" i="1"/>
  <c r="D75" i="1" s="1"/>
  <c r="D86" i="1" s="1"/>
  <c r="D100" i="1" s="1"/>
  <c r="D139" i="1"/>
  <c r="D201" i="1" s="1"/>
  <c r="D27" i="2"/>
  <c r="D23" i="2" s="1"/>
  <c r="D44" i="2"/>
  <c r="E145" i="1"/>
  <c r="E207" i="1" s="1"/>
  <c r="E41" i="1"/>
  <c r="F9" i="2"/>
  <c r="F8" i="2" s="1"/>
  <c r="E32" i="1"/>
  <c r="E49" i="1" s="1"/>
  <c r="D487" i="2"/>
  <c r="J61" i="1" s="1"/>
  <c r="O61" i="1" s="1"/>
  <c r="B59" i="1"/>
  <c r="N59" i="1" s="1"/>
  <c r="I18" i="6"/>
  <c r="I12" i="6" s="1"/>
  <c r="F31" i="1"/>
  <c r="J31" i="1" s="1"/>
  <c r="I138" i="6"/>
  <c r="D12" i="13"/>
  <c r="D11" i="13" s="1"/>
  <c r="H9" i="13"/>
  <c r="N9" i="13" s="1"/>
  <c r="N8" i="13" s="1"/>
  <c r="F8" i="13"/>
  <c r="E124" i="1"/>
  <c r="E186" i="1" s="1"/>
  <c r="F11" i="2"/>
  <c r="D287" i="6"/>
  <c r="G24" i="6"/>
  <c r="G20" i="6" s="1"/>
  <c r="D51" i="1"/>
  <c r="J51" i="1" s="1"/>
  <c r="D46" i="1"/>
  <c r="J46" i="1" s="1"/>
  <c r="G147" i="6"/>
  <c r="B13" i="1"/>
  <c r="I132" i="1"/>
  <c r="I26" i="1"/>
  <c r="I16" i="1" s="1"/>
  <c r="I48" i="1" s="1"/>
  <c r="I121" i="1" s="1"/>
  <c r="E132" i="1"/>
  <c r="E194" i="1" s="1"/>
  <c r="E26" i="1"/>
  <c r="P25" i="6"/>
  <c r="H147" i="1"/>
  <c r="H52" i="1"/>
  <c r="H41" i="1"/>
  <c r="C147" i="1"/>
  <c r="C41" i="1"/>
  <c r="C32" i="1" s="1"/>
  <c r="C52" i="1"/>
  <c r="F52" i="1"/>
  <c r="F147" i="1"/>
  <c r="F41" i="1"/>
  <c r="F32" i="1" s="1"/>
  <c r="F49" i="1" s="1"/>
  <c r="F91" i="1" s="1"/>
  <c r="E634" i="2"/>
  <c r="F634" i="2"/>
  <c r="N102" i="1"/>
  <c r="H270" i="6"/>
  <c r="H271" i="6" s="1"/>
  <c r="E99" i="1"/>
  <c r="E147" i="3"/>
  <c r="E148" i="3" s="1"/>
  <c r="B98" i="1"/>
  <c r="D147" i="3"/>
  <c r="N301" i="6"/>
  <c r="F98" i="1"/>
  <c r="I147" i="3"/>
  <c r="I148" i="3" s="1"/>
  <c r="D98" i="1"/>
  <c r="J98" i="1" s="1"/>
  <c r="G147" i="3"/>
  <c r="G148" i="3" s="1"/>
  <c r="N290" i="6"/>
  <c r="D150" i="6"/>
  <c r="D147" i="6" s="1"/>
  <c r="P20" i="6" s="1"/>
  <c r="D24" i="6"/>
  <c r="D20" i="6" s="1"/>
  <c r="I32" i="1"/>
  <c r="E269" i="6"/>
  <c r="B99" i="1" s="1"/>
  <c r="I209" i="1"/>
  <c r="I210" i="1" s="1"/>
  <c r="I148" i="1"/>
  <c r="D20" i="3"/>
  <c r="D17" i="3" s="1"/>
  <c r="J9" i="6"/>
  <c r="D95" i="6"/>
  <c r="D94" i="6" s="1"/>
  <c r="D10" i="6" s="1"/>
  <c r="D283" i="6"/>
  <c r="D13" i="6"/>
  <c r="I7" i="3"/>
  <c r="G148" i="1"/>
  <c r="D489" i="2"/>
  <c r="D488" i="2" s="1"/>
  <c r="O21" i="1"/>
  <c r="B140" i="1"/>
  <c r="B202" i="1" s="1"/>
  <c r="E424" i="2"/>
  <c r="P38" i="2"/>
  <c r="P25" i="2"/>
  <c r="D36" i="2"/>
  <c r="O24" i="1"/>
  <c r="J129" i="1"/>
  <c r="J190" i="1" s="1"/>
  <c r="M39" i="1"/>
  <c r="E201" i="1"/>
  <c r="B138" i="1"/>
  <c r="B200" i="1" s="1"/>
  <c r="B33" i="1"/>
  <c r="D32" i="2"/>
  <c r="D29" i="2" s="1"/>
  <c r="D49" i="2"/>
  <c r="D20" i="2"/>
  <c r="D41" i="2"/>
  <c r="N11" i="2"/>
  <c r="C26" i="1"/>
  <c r="C128" i="1"/>
  <c r="C189" i="1" s="1"/>
  <c r="D316" i="2"/>
  <c r="D19" i="2"/>
  <c r="P29" i="2" s="1"/>
  <c r="D319" i="2"/>
  <c r="B18" i="1"/>
  <c r="J131" i="1"/>
  <c r="J193" i="1" s="1"/>
  <c r="O28" i="1"/>
  <c r="M43" i="1"/>
  <c r="B52" i="1"/>
  <c r="B147" i="1"/>
  <c r="B41" i="1"/>
  <c r="J139" i="1"/>
  <c r="J201" i="1" s="1"/>
  <c r="G32" i="1"/>
  <c r="J127" i="1"/>
  <c r="J188" i="1" s="1"/>
  <c r="M38" i="1"/>
  <c r="O22" i="1"/>
  <c r="J137" i="1"/>
  <c r="N103" i="1"/>
  <c r="B101" i="1"/>
  <c r="J60" i="1"/>
  <c r="D10" i="4"/>
  <c r="O69" i="1"/>
  <c r="M78" i="1"/>
  <c r="J126" i="1"/>
  <c r="J187" i="1" s="1"/>
  <c r="O68" i="1"/>
  <c r="J123" i="1"/>
  <c r="J185" i="1" s="1"/>
  <c r="H12" i="1"/>
  <c r="H107" i="1" s="1"/>
  <c r="H89" i="1"/>
  <c r="H88" i="1" s="1"/>
  <c r="H134" i="1" s="1"/>
  <c r="B132" i="1"/>
  <c r="B26" i="1"/>
  <c r="D18" i="6"/>
  <c r="D279" i="6"/>
  <c r="D281" i="6" s="1"/>
  <c r="C17" i="1"/>
  <c r="D122" i="1"/>
  <c r="D17" i="1"/>
  <c r="D16" i="1" s="1"/>
  <c r="D48" i="1" s="1"/>
  <c r="G8" i="2"/>
  <c r="E17" i="1"/>
  <c r="E122" i="1"/>
  <c r="P18" i="6" l="1"/>
  <c r="P9" i="6"/>
  <c r="G269" i="6"/>
  <c r="H121" i="1"/>
  <c r="H183" i="1" s="1"/>
  <c r="G133" i="1"/>
  <c r="N287" i="6"/>
  <c r="M287" i="6"/>
  <c r="J76" i="1"/>
  <c r="J75" i="1" s="1"/>
  <c r="C112" i="1"/>
  <c r="C116" i="1"/>
  <c r="K14" i="1"/>
  <c r="K31" i="1"/>
  <c r="K132" i="1" s="1"/>
  <c r="M45" i="1"/>
  <c r="M9" i="13"/>
  <c r="M8" i="13" s="1"/>
  <c r="C13" i="1"/>
  <c r="M9" i="2"/>
  <c r="M8" i="2" s="1"/>
  <c r="J145" i="1"/>
  <c r="J207" i="1" s="1"/>
  <c r="K128" i="1"/>
  <c r="K17" i="1"/>
  <c r="B100" i="1"/>
  <c r="J86" i="1"/>
  <c r="L31" i="1"/>
  <c r="L132" i="1" s="1"/>
  <c r="L85" i="1"/>
  <c r="G16" i="1"/>
  <c r="G48" i="1" s="1"/>
  <c r="G121" i="1" s="1"/>
  <c r="D285" i="6"/>
  <c r="E210" i="1"/>
  <c r="J13" i="1"/>
  <c r="E13" i="1"/>
  <c r="N7" i="9"/>
  <c r="D43" i="2"/>
  <c r="I12" i="1"/>
  <c r="I107" i="1" s="1"/>
  <c r="E635" i="2"/>
  <c r="E636" i="2" s="1"/>
  <c r="C100" i="1"/>
  <c r="N18" i="1"/>
  <c r="J18" i="1"/>
  <c r="J17" i="1" s="1"/>
  <c r="J92" i="1"/>
  <c r="B64" i="1"/>
  <c r="B63" i="1" s="1"/>
  <c r="B85" i="1" s="1"/>
  <c r="B106" i="1" s="1"/>
  <c r="N31" i="1"/>
  <c r="O31" i="1" s="1"/>
  <c r="D12" i="2"/>
  <c r="D22" i="2"/>
  <c r="D634" i="2" s="1"/>
  <c r="D635" i="2" s="1"/>
  <c r="D636" i="2" s="1"/>
  <c r="E148" i="1"/>
  <c r="B92" i="1"/>
  <c r="M46" i="1"/>
  <c r="D269" i="6"/>
  <c r="D270" i="6" s="1"/>
  <c r="D271" i="6" s="1"/>
  <c r="C49" i="1"/>
  <c r="C91" i="1" s="1"/>
  <c r="D8" i="2"/>
  <c r="F209" i="9"/>
  <c r="B14" i="1"/>
  <c r="D485" i="2"/>
  <c r="P27" i="2"/>
  <c r="F135" i="1"/>
  <c r="F212" i="1" s="1"/>
  <c r="F132" i="1"/>
  <c r="F26" i="1"/>
  <c r="F16" i="1" s="1"/>
  <c r="F48" i="1" s="1"/>
  <c r="J124" i="1"/>
  <c r="J186" i="1" s="1"/>
  <c r="O19" i="1"/>
  <c r="H8" i="13"/>
  <c r="D147" i="1"/>
  <c r="D41" i="1"/>
  <c r="D32" i="1" s="1"/>
  <c r="D49" i="1" s="1"/>
  <c r="D52" i="1"/>
  <c r="D35" i="2"/>
  <c r="I99" i="1"/>
  <c r="L270" i="6"/>
  <c r="L271" i="6" s="1"/>
  <c r="I194" i="1"/>
  <c r="I133" i="1"/>
  <c r="I134" i="1" s="1"/>
  <c r="D12" i="6"/>
  <c r="H32" i="1"/>
  <c r="H49" i="1" s="1"/>
  <c r="H209" i="1"/>
  <c r="H210" i="1" s="1"/>
  <c r="H148" i="1"/>
  <c r="F209" i="1"/>
  <c r="F210" i="1" s="1"/>
  <c r="F148" i="1"/>
  <c r="F149" i="1" s="1"/>
  <c r="I270" i="6"/>
  <c r="I271" i="6" s="1"/>
  <c r="F99" i="1"/>
  <c r="F93" i="1" s="1"/>
  <c r="K270" i="6"/>
  <c r="K271" i="6" s="1"/>
  <c r="H99" i="1"/>
  <c r="C209" i="1"/>
  <c r="C210" i="1" s="1"/>
  <c r="C148" i="1"/>
  <c r="J101" i="1"/>
  <c r="N101" i="1"/>
  <c r="F635" i="2"/>
  <c r="F636" i="2" s="1"/>
  <c r="C99" i="1"/>
  <c r="J270" i="6"/>
  <c r="J271" i="6" s="1"/>
  <c r="G99" i="1"/>
  <c r="E97" i="1"/>
  <c r="E96" i="1" s="1"/>
  <c r="E93" i="1"/>
  <c r="D92" i="1"/>
  <c r="F92" i="1"/>
  <c r="F94" i="1" s="1"/>
  <c r="D148" i="3"/>
  <c r="C16" i="1"/>
  <c r="I49" i="1"/>
  <c r="P31" i="2"/>
  <c r="D18" i="2"/>
  <c r="G90" i="1"/>
  <c r="G88" i="1" s="1"/>
  <c r="G12" i="1"/>
  <c r="F89" i="1"/>
  <c r="F88" i="1" s="1"/>
  <c r="F12" i="1"/>
  <c r="B32" i="1"/>
  <c r="B49" i="1" s="1"/>
  <c r="B91" i="1" s="1"/>
  <c r="J116" i="1"/>
  <c r="J90" i="1"/>
  <c r="E135" i="1"/>
  <c r="E91" i="1"/>
  <c r="J138" i="1"/>
  <c r="J200" i="1" s="1"/>
  <c r="M37" i="1"/>
  <c r="E8" i="2"/>
  <c r="B17" i="1"/>
  <c r="B16" i="1" s="1"/>
  <c r="B48" i="1" s="1"/>
  <c r="B122" i="1"/>
  <c r="B184" i="1" s="1"/>
  <c r="D315" i="2"/>
  <c r="O29" i="1"/>
  <c r="J128" i="1"/>
  <c r="J189" i="1" s="1"/>
  <c r="L128" i="1"/>
  <c r="G49" i="1"/>
  <c r="J41" i="1"/>
  <c r="J32" i="1" s="1"/>
  <c r="J147" i="1"/>
  <c r="J209" i="1" s="1"/>
  <c r="B209" i="1"/>
  <c r="B210" i="1" s="1"/>
  <c r="B148" i="1"/>
  <c r="O25" i="1"/>
  <c r="J59" i="1"/>
  <c r="O59" i="1" s="1"/>
  <c r="O60" i="1"/>
  <c r="J199" i="1"/>
  <c r="D291" i="6"/>
  <c r="J26" i="1"/>
  <c r="J132" i="1"/>
  <c r="J194" i="1" s="1"/>
  <c r="B194" i="1"/>
  <c r="E16" i="1"/>
  <c r="D111" i="1"/>
  <c r="D115" i="1"/>
  <c r="D114" i="1" s="1"/>
  <c r="D12" i="1"/>
  <c r="D89" i="1"/>
  <c r="D88" i="1" s="1"/>
  <c r="D121" i="1"/>
  <c r="D117" i="1"/>
  <c r="L17" i="1"/>
  <c r="E184" i="1"/>
  <c r="E195" i="1" s="1"/>
  <c r="E133" i="1"/>
  <c r="D184" i="1"/>
  <c r="D195" i="1" s="1"/>
  <c r="D133" i="1"/>
  <c r="I196" i="1"/>
  <c r="I183" i="1"/>
  <c r="C89" i="1" l="1"/>
  <c r="C88" i="1" s="1"/>
  <c r="K13" i="1"/>
  <c r="H196" i="1"/>
  <c r="K26" i="1"/>
  <c r="K16" i="1" s="1"/>
  <c r="G134" i="1"/>
  <c r="C12" i="1"/>
  <c r="M14" i="1"/>
  <c r="K90" i="1"/>
  <c r="B93" i="1"/>
  <c r="J49" i="1"/>
  <c r="J135" i="1" s="1"/>
  <c r="J212" i="1" s="1"/>
  <c r="C115" i="1"/>
  <c r="C114" i="1" s="1"/>
  <c r="M13" i="1"/>
  <c r="C111" i="1"/>
  <c r="N291" i="6"/>
  <c r="M291" i="6"/>
  <c r="N13" i="1"/>
  <c r="I195" i="1"/>
  <c r="K194" i="1"/>
  <c r="N98" i="1"/>
  <c r="J100" i="1"/>
  <c r="L13" i="1"/>
  <c r="L89" i="1" s="1"/>
  <c r="C119" i="1"/>
  <c r="O18" i="1"/>
  <c r="C149" i="1"/>
  <c r="C135" i="1"/>
  <c r="C197" i="1" s="1"/>
  <c r="B121" i="1"/>
  <c r="B94" i="1"/>
  <c r="N17" i="1"/>
  <c r="O17" i="1" s="1"/>
  <c r="C48" i="1"/>
  <c r="N16" i="1"/>
  <c r="N14" i="1"/>
  <c r="O14" i="1" s="1"/>
  <c r="N26" i="1"/>
  <c r="O26" i="1" s="1"/>
  <c r="D11" i="2"/>
  <c r="F121" i="1"/>
  <c r="F196" i="1" s="1"/>
  <c r="F213" i="1"/>
  <c r="F197" i="1"/>
  <c r="L26" i="1"/>
  <c r="L16" i="1" s="1"/>
  <c r="F97" i="1"/>
  <c r="F96" i="1" s="1"/>
  <c r="D118" i="1"/>
  <c r="F194" i="1"/>
  <c r="F195" i="1" s="1"/>
  <c r="F133" i="1"/>
  <c r="F134" i="1" s="1"/>
  <c r="E12" i="1"/>
  <c r="E89" i="1"/>
  <c r="E88" i="1" s="1"/>
  <c r="D119" i="1"/>
  <c r="D135" i="1"/>
  <c r="D91" i="1"/>
  <c r="G270" i="6"/>
  <c r="G271" i="6" s="1"/>
  <c r="D99" i="1"/>
  <c r="J99" i="1" s="1"/>
  <c r="J97" i="1" s="1"/>
  <c r="J96" i="1" s="1"/>
  <c r="D209" i="1"/>
  <c r="D210" i="1" s="1"/>
  <c r="D148" i="1"/>
  <c r="D149" i="1" s="1"/>
  <c r="J148" i="1"/>
  <c r="I97" i="1"/>
  <c r="I96" i="1" s="1"/>
  <c r="I93" i="1"/>
  <c r="H135" i="1"/>
  <c r="H91" i="1"/>
  <c r="H149" i="1" s="1"/>
  <c r="H97" i="1"/>
  <c r="H93" i="1"/>
  <c r="H94" i="1" s="1"/>
  <c r="C93" i="1"/>
  <c r="C94" i="1" s="1"/>
  <c r="C97" i="1"/>
  <c r="M99" i="1"/>
  <c r="M97" i="1" s="1"/>
  <c r="E270" i="6"/>
  <c r="E271" i="6" s="1"/>
  <c r="G97" i="1"/>
  <c r="G96" i="1" s="1"/>
  <c r="G93" i="1"/>
  <c r="I135" i="1"/>
  <c r="I91" i="1"/>
  <c r="B195" i="1"/>
  <c r="G107" i="1"/>
  <c r="L90" i="1"/>
  <c r="B149" i="1"/>
  <c r="D134" i="1"/>
  <c r="F107" i="1"/>
  <c r="B133" i="1"/>
  <c r="B135" i="1"/>
  <c r="E94" i="1"/>
  <c r="E104" i="1"/>
  <c r="E212" i="1"/>
  <c r="E213" i="1" s="1"/>
  <c r="E197" i="1"/>
  <c r="E149" i="1"/>
  <c r="B90" i="1"/>
  <c r="G135" i="1"/>
  <c r="G91" i="1"/>
  <c r="J210" i="1"/>
  <c r="J197" i="1"/>
  <c r="B89" i="1"/>
  <c r="B12" i="1"/>
  <c r="D302" i="6"/>
  <c r="L194" i="1"/>
  <c r="Q194" i="1"/>
  <c r="D9" i="6"/>
  <c r="D196" i="1"/>
  <c r="D183" i="1"/>
  <c r="D107" i="1"/>
  <c r="J16" i="1"/>
  <c r="J48" i="1" s="1"/>
  <c r="G196" i="1"/>
  <c r="G183" i="1"/>
  <c r="E48" i="1"/>
  <c r="L48" i="1" s="1"/>
  <c r="E134" i="1" l="1"/>
  <c r="C107" i="1"/>
  <c r="J119" i="1"/>
  <c r="J91" i="1"/>
  <c r="M48" i="1"/>
  <c r="K12" i="1"/>
  <c r="K89" i="1"/>
  <c r="K88" i="1" s="1"/>
  <c r="K48" i="1"/>
  <c r="N302" i="6"/>
  <c r="M302" i="6"/>
  <c r="L12" i="1"/>
  <c r="F183" i="1"/>
  <c r="C212" i="1"/>
  <c r="C213" i="1" s="1"/>
  <c r="N12" i="1"/>
  <c r="B107" i="1"/>
  <c r="F104" i="1"/>
  <c r="E107" i="1"/>
  <c r="D93" i="1"/>
  <c r="D94" i="1" s="1"/>
  <c r="D97" i="1"/>
  <c r="D197" i="1"/>
  <c r="D212" i="1"/>
  <c r="D213" i="1" s="1"/>
  <c r="L88" i="1"/>
  <c r="H96" i="1"/>
  <c r="H104" i="1"/>
  <c r="H197" i="1"/>
  <c r="H212" i="1"/>
  <c r="H213" i="1" s="1"/>
  <c r="C96" i="1"/>
  <c r="C104" i="1"/>
  <c r="B97" i="1"/>
  <c r="B96" i="1" s="1"/>
  <c r="O16" i="1"/>
  <c r="I212" i="1"/>
  <c r="I213" i="1" s="1"/>
  <c r="I197" i="1"/>
  <c r="I104" i="1"/>
  <c r="I149" i="1"/>
  <c r="I94" i="1"/>
  <c r="B88" i="1"/>
  <c r="B134" i="1" s="1"/>
  <c r="B197" i="1"/>
  <c r="B212" i="1"/>
  <c r="B213" i="1" s="1"/>
  <c r="J213" i="1"/>
  <c r="G104" i="1"/>
  <c r="G94" i="1"/>
  <c r="G149" i="1"/>
  <c r="G197" i="1"/>
  <c r="G212" i="1"/>
  <c r="G213" i="1" s="1"/>
  <c r="J115" i="1"/>
  <c r="J114" i="1" s="1"/>
  <c r="J89" i="1"/>
  <c r="J88" i="1" s="1"/>
  <c r="J12" i="1"/>
  <c r="J107" i="1" s="1"/>
  <c r="O13" i="1"/>
  <c r="B196" i="1"/>
  <c r="B183" i="1"/>
  <c r="E121" i="1"/>
  <c r="J149" i="1" l="1"/>
  <c r="D96" i="1"/>
  <c r="D104" i="1"/>
  <c r="N99" i="1"/>
  <c r="N97" i="1" s="1"/>
  <c r="J93" i="1"/>
  <c r="J94" i="1" s="1"/>
  <c r="B104" i="1"/>
  <c r="O12" i="1"/>
  <c r="M50" i="1"/>
  <c r="N50" i="1" s="1"/>
  <c r="N48" i="1"/>
  <c r="E196" i="1"/>
  <c r="E183" i="1"/>
  <c r="D14" i="4"/>
  <c r="D13" i="4" s="1"/>
  <c r="J104" i="1" l="1"/>
  <c r="F19" i="13" l="1"/>
  <c r="D19" i="13"/>
  <c r="D18" i="13" s="1"/>
  <c r="M91" i="1" s="1"/>
  <c r="F18" i="13"/>
  <c r="F107" i="13"/>
  <c r="F88" i="13" s="1"/>
  <c r="M88" i="13" s="1"/>
  <c r="M87" i="13" s="1"/>
  <c r="M86" i="13" s="1"/>
  <c r="M92" i="1" l="1"/>
  <c r="M93" i="1"/>
  <c r="P20" i="13"/>
  <c r="F87" i="13"/>
  <c r="F86" i="13" s="1"/>
  <c r="N87" i="13"/>
  <c r="N86" i="13" s="1"/>
  <c r="C65" i="1"/>
  <c r="K65" i="1" s="1"/>
  <c r="D107" i="13"/>
  <c r="D88" i="13" s="1"/>
  <c r="D87" i="13" s="1"/>
  <c r="D86" i="13" s="1"/>
  <c r="K64" i="1" l="1"/>
  <c r="K63" i="1" s="1"/>
  <c r="K122" i="1"/>
  <c r="K133" i="1" s="1"/>
  <c r="J65" i="1"/>
  <c r="N65" i="1"/>
  <c r="N96" i="1"/>
  <c r="C122" i="1"/>
  <c r="C64" i="1"/>
  <c r="N64" i="1" s="1"/>
  <c r="O65" i="1" l="1"/>
  <c r="J122" i="1"/>
  <c r="J64" i="1"/>
  <c r="C63" i="1"/>
  <c r="N63" i="1" s="1"/>
  <c r="C184" i="1"/>
  <c r="C195" i="1" s="1"/>
  <c r="C133" i="1"/>
  <c r="C134" i="1" s="1"/>
  <c r="L64" i="1"/>
  <c r="L63" i="1" s="1"/>
  <c r="M59" i="1" s="1"/>
  <c r="L122" i="1"/>
  <c r="L133" i="1" s="1"/>
  <c r="C85" i="1" l="1"/>
  <c r="J63" i="1"/>
  <c r="O64" i="1"/>
  <c r="J133" i="1"/>
  <c r="J134" i="1" s="1"/>
  <c r="J184" i="1"/>
  <c r="J195" i="1" s="1"/>
  <c r="K85" i="1" l="1"/>
  <c r="K121" i="1" s="1"/>
  <c r="M85" i="1"/>
  <c r="C106" i="1"/>
  <c r="J85" i="1"/>
  <c r="J106" i="1" s="1"/>
  <c r="O63" i="1"/>
  <c r="C117" i="1"/>
  <c r="C118" i="1" s="1"/>
  <c r="L121" i="1"/>
  <c r="C121" i="1"/>
  <c r="J121" i="1" l="1"/>
  <c r="J117" i="1"/>
  <c r="J118" i="1" s="1"/>
  <c r="N85" i="1"/>
  <c r="C196" i="1"/>
  <c r="C183" i="1"/>
  <c r="J196" i="1" l="1"/>
  <c r="J183" i="1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19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<sst xmlns="http://schemas.openxmlformats.org/spreadsheetml/2006/main" count="3304" uniqueCount="524">
  <si>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</si>
  <si>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</si>
  <si>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</si>
  <si>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</si>
  <si>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</si>
  <si>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</si>
  <si>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</si>
  <si>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</si>
  <si>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</si>
  <si>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</si>
  <si>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</si>
  <si>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</si>
  <si>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</si>
  <si>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</si>
  <si>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</si>
  <si>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</si>
  <si>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</si>
  <si>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</si>
  <si>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</si>
  <si>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</si>
  <si>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</si>
  <si>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</si>
  <si>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</si>
  <si>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</si>
  <si>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</si>
  <si>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</si>
  <si>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</si>
  <si>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</si>
  <si>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</si>
  <si>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</si>
  <si>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</si>
  <si>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</si>
  <si>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</si>
  <si>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</si>
  <si>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</si>
  <si>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</si>
  <si>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</si>
  <si>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</si>
  <si>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</si>
  <si>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</si>
  <si>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</si>
  <si>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</si>
  <si>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</si>
  <si>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</si>
  <si>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</si>
  <si>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</si>
  <si>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</si>
  <si>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</si>
  <si>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</si>
  <si>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</si>
  <si>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</si>
  <si>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</si>
  <si>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</si>
  <si>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</si>
  <si>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</si>
  <si>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</si>
  <si>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</si>
  <si>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</si>
  <si>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</si>
  <si>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</si>
  <si>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</si>
  <si>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</si>
  <si>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</si>
  <si>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</si>
  <si>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</si>
  <si>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</si>
  <si>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</si>
  <si>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</si>
  <si>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</si>
  <si>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</si>
  <si>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</si>
  <si>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</si>
  <si>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</si>
  <si>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</si>
  <si>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</si>
  <si>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</si>
  <si>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</si>
  <si>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</si>
  <si>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</si>
  <si>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</si>
  <si>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</si>
  <si>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</si>
  <si>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</si>
  <si>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</si>
  <si>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</si>
  <si>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</si>
  <si>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</si>
  <si>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</si>
  <si>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</si>
  <si>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</si>
  <si>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</si>
  <si>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</si>
  <si>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</si>
  <si>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</si>
  <si>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</si>
  <si>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</si>
  <si>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</si>
  <si>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</si>
  <si>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</si>
  <si>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</si>
  <si>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</si>
  <si>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</si>
  <si>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</si>
  <si>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</si>
  <si>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</si>
  <si>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</si>
  <si>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</si>
  <si>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</si>
  <si>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</si>
  <si>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</si>
  <si>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</si>
  <si>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</si>
  <si>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</si>
  <si>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</si>
  <si>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</si>
  <si>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</si>
  <si>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</si>
  <si>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</si>
  <si>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</si>
  <si>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</si>
  <si>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</si>
  <si>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</si>
  <si>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</si>
  <si>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</si>
  <si>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</si>
  <si>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</si>
  <si>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</si>
  <si>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</si>
  <si>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</si>
  <si>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</si>
  <si>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</si>
  <si>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</si>
  <si>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</si>
  <si>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</si>
  <si>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</si>
  <si>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</si>
  <si>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</si>
  <si>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</si>
  <si>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</si>
  <si>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</si>
  <si>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</si>
  <si>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</si>
  <si>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</si>
  <si>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</si>
  <si>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</si>
  <si>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</si>
  <si>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</si>
  <si>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</si>
  <si>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</si>
  <si>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</si>
  <si>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</si>
  <si>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</si>
  <si>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</si>
  <si>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</si>
  <si>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</si>
  <si>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</si>
  <si>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</si>
  <si>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>Biuro Geodety Województwa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</si>
  <si>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</si>
  <si>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</si>
  <si>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</si>
  <si>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</si>
  <si>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</si>
  <si>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</si>
  <si>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</si>
  <si>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</si>
  <si>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</si>
  <si>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</si>
  <si>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</si>
  <si>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</si>
  <si>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</si>
  <si>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</si>
  <si>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</si>
  <si>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</si>
  <si>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</si>
  <si>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</si>
  <si>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</si>
  <si>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</si>
  <si>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</si>
  <si>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</si>
  <si>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rodz. 71095</t>
  </si>
  <si>
    <t>rodz. 75862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</si>
  <si>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</si>
  <si>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</si>
  <si>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</si>
  <si>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</si>
  <si>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</si>
  <si>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</si>
  <si>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</si>
  <si>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</si>
  <si>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</si>
  <si>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</si>
  <si>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</si>
  <si>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</si>
  <si>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</si>
  <si>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</si>
  <si>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</si>
  <si>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</si>
  <si>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</si>
  <si>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</si>
  <si>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</si>
  <si>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</si>
  <si>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</si>
  <si>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</si>
  <si>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</si>
  <si>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</si>
  <si>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</si>
  <si>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</si>
  <si>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</si>
  <si>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</si>
  <si>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</si>
  <si>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</si>
  <si>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</si>
  <si>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</si>
  <si>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</si>
  <si>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</si>
  <si>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</si>
  <si>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</si>
  <si>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</si>
  <si>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</si>
  <si>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</si>
  <si>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</si>
  <si>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</si>
  <si>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</si>
  <si>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</si>
  <si>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</si>
  <si>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</si>
  <si>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</si>
  <si>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</si>
  <si>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</si>
  <si>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</si>
  <si>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</si>
  <si>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</si>
  <si>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</si>
  <si>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</si>
  <si>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</si>
  <si>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</si>
  <si>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</si>
  <si>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</si>
  <si>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</si>
  <si>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</si>
  <si>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</si>
  <si>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</si>
  <si>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</si>
  <si>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</si>
  <si>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</si>
  <si>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</si>
  <si>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</si>
  <si>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</si>
  <si>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</si>
  <si>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</si>
  <si>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</si>
  <si>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</si>
  <si>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</si>
  <si>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</si>
  <si>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</si>
  <si>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</si>
  <si>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</si>
  <si>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</si>
  <si>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</si>
  <si>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</si>
  <si>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</si>
  <si>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</si>
  <si>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</si>
  <si>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</si>
  <si>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</si>
  <si>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</si>
  <si>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</si>
  <si>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</si>
  <si>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</si>
  <si>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</si>
  <si>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</si>
  <si>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</si>
  <si>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</si>
  <si>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</si>
  <si>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</si>
  <si>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</si>
  <si>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t>środki z budżetu województwa (subwencja)</t>
  </si>
  <si>
    <t xml:space="preserve">rozdz. 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</si>
  <si>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</si>
  <si>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</si>
  <si>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</si>
  <si>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</si>
  <si>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</si>
  <si>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Decyzja o dofinansowaniu projektu Nr RPZP.05.06.00-32-0001/16-00 z 1.08.2016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</si>
  <si>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</si>
  <si>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</si>
  <si>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</si>
  <si>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</si>
  <si>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</si>
  <si>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</si>
  <si>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</si>
  <si>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</si>
  <si>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</si>
  <si>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</si>
  <si>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</si>
  <si>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WWT/
WOiRZL</t>
  </si>
  <si>
    <t>ROPS/
WOiRZL</t>
  </si>
  <si>
    <t>WUP
 w Szczecinie
pod nadzorem WZS</t>
  </si>
  <si>
    <t>SPS ZOZ ZDROJE Szczecin 
pod nadzorem WZ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</si>
  <si>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</si>
  <si>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</si>
  <si>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</si>
  <si>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</si>
  <si>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</si>
  <si>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</si>
  <si>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</si>
  <si>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</si>
  <si>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</si>
  <si>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</si>
  <si>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Studium wykonalności Zachodniego Drogowego Obejścia Miasta Szczecina wraz z Raportem oddziaływania na środowisko (2009-2017)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</si>
  <si>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</si>
  <si>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</si>
  <si>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</si>
  <si>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</si>
  <si>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</si>
  <si>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</si>
  <si>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</si>
  <si>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</si>
  <si>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</si>
  <si>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</si>
  <si>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</si>
  <si>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</si>
  <si>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</t>
    </r>
    <r>
      <rPr>
        <b/>
        <sz val="9"/>
        <rFont val="Arial CE"/>
        <charset val="238"/>
      </rPr>
      <t>2017</t>
    </r>
    <r>
      <rPr>
        <b/>
        <sz val="9"/>
        <rFont val="Arial CE"/>
        <family val="2"/>
        <charset val="238"/>
      </rPr>
      <t>)</t>
    </r>
  </si>
  <si>
    <t>rozdz. 
71012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</si>
  <si>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</si>
  <si>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</si>
  <si>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</si>
  <si>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Oś Priorytetowa VI, Pomoc Techniczna w ramach  PO WER 2014 - 2020 (2015-2020)</t>
  </si>
  <si>
    <t>Oś Priorytetowa VI, Pomoc Techniczna w ramach  PO WER 2014-2020 - wydatki majątkowe (2015-2020)</t>
  </si>
  <si>
    <t>Modernizacja i remont dziedzińców Zamku Książąt Pomorskich w Szczecinie (2017-2018)</t>
  </si>
  <si>
    <t>Zlecanie wykonania i udostępniania map topograficznych i tematycznych opracowań numerycznych, prowadzenie wojewódzkich baz danych oraz standardowych opracowań kartograficznych (2016-2017)</t>
  </si>
  <si>
    <t>Gospodarowanie nieruchomościami należącymi do zasobu Województwa Zachodniopomorskiego (2010-2017)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</si>
  <si>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</si>
  <si>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</si>
  <si>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</si>
  <si>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</si>
  <si>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Ekonomia społeczna kluczem do sukcesu w ramach działania 7.5 RPO WZ (2016-2017)</t>
  </si>
  <si>
    <t>rozdz. 01078</t>
  </si>
  <si>
    <t>Utrzymanie szlaków rowerowych na wybranych odcinkach wałów przeciwpowodziowych w Województwie Zachodniopomorskim</t>
  </si>
  <si>
    <t>Rozbudowa Szpitala Dziecięcego SPS ZOZ "Zdroje" w Szczecinie - utworzenie Zachodniopomorskiego Centrum Opieki Nad Kobietą i Dzieckiem (2010-2017)</t>
  </si>
  <si>
    <t>Przebudowa i rozbudowa przejścia drogi wojewódzkiej nr 120 przez m. Wełtyń w ramach IW INTERREG V A (2016-2017)</t>
  </si>
  <si>
    <t>RPO WZ NA LATA 2007-2013</t>
  </si>
  <si>
    <t>Projekt ochrony przeciwpowodziowej w dorzeczu Odry i Wisły - komponent 1.A Ochrona przed powodzią obszarów na terenie Województwa Zachodniopomorskiego (2017 - 2022)</t>
  </si>
  <si>
    <t>Utrzymanie szlaków rowerowych na wybranych odcinkach wałów przeciwpowodziowych w Województwie Zachodniopomorskim (2019 - 2023)</t>
  </si>
  <si>
    <t xml:space="preserve">Budowa niebieskiego korytarza ekologicznego wzdłuż doliny rzeki Regi  i jej dopływów w ramach Instrumentu Finansowego LIFE+ (2012-2019) 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</si>
  <si>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</si>
  <si>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</si>
  <si>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</si>
  <si>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Pomoc Techniczna  w ramach PROW 2014 - 2020 (2015-2023)</t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</si>
  <si>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</si>
  <si>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</si>
  <si>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</si>
  <si>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</si>
  <si>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</si>
  <si>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</si>
  <si>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bez umowy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</si>
  <si>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</si>
  <si>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</si>
  <si>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</si>
  <si>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</si>
  <si>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</si>
  <si>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t>Fish Markets - dziedzictwo rybołówstwa przybrzeżnego jako potencjał rozwoju turystyki w ramach Programu INTERREG Południowy Bałtyk 2014-2020 (2017-2019)</t>
  </si>
  <si>
    <t>Biking South Baltic! Promocja i rozwój Trasy Rowerowej Morza Bałtyckiego (EuroVelo 10) w Danii, Niemczech, Litwie, Polsce i Szwecji w ramach Programu Interreg Południowy Bałtyk (2017-2019) - zakupy inwestycyjne</t>
  </si>
  <si>
    <t>Biking South Baltic! Promocja i rozwój Trasy Rowerowej Morza Bałtyckiego (EuroVelo 10) w Danii, Niemczech, Litwie, Polsce i Szwecji w ramach Programu Interreg Południowy Bałtyk (2017-2019)</t>
  </si>
  <si>
    <t>rozdz. 75018
75095
90011*</t>
  </si>
  <si>
    <t xml:space="preserve"> * dotyczy wykonania wydatków WFOŚiGW</t>
  </si>
  <si>
    <t>WZS, WWRPO, WOiRZL, GM, WWŚRPO</t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</si>
  <si>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 ra</t>
    </r>
    <r>
      <rPr>
        <sz val="9"/>
        <rFont val="Arial CE"/>
        <family val="2"/>
        <charset val="238"/>
      </rPr>
      <t>mach RPO WZ, Osi IV</t>
    </r>
    <r>
      <rPr>
        <b/>
        <sz val="9"/>
        <rFont val="Arial CE"/>
        <family val="2"/>
        <charset val="238"/>
      </rPr>
      <t xml:space="preserve"> (2016-2018)</t>
    </r>
  </si>
  <si>
    <t xml:space="preserve">Wzmacnianie ochrony bociana białego i nietoperzy oraz realizacja zadań czynnej ochrony w rezerwatach przyrody na obszarach parków krajobrazowych województwa zachodniopomorskiego- bieżące" w ramach Osi IV RPO (2017-2020) 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</si>
  <si>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</si>
  <si>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</si>
  <si>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</si>
  <si>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</si>
  <si>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</si>
  <si>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</si>
  <si>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</si>
  <si>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</si>
  <si>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</si>
  <si>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</si>
  <si>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</si>
  <si>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</si>
  <si>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</si>
  <si>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</si>
  <si>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</si>
  <si>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</si>
  <si>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</si>
  <si>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</si>
  <si>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</si>
  <si>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</si>
  <si>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</si>
  <si>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</si>
  <si>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</si>
  <si>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</si>
  <si>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</si>
  <si>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</si>
  <si>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</si>
  <si>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</si>
  <si>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</si>
  <si>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t xml:space="preserve">► różnica </t>
  </si>
  <si>
    <t>Decyzja jest - do uzupełnienia - po 5 czerwca</t>
  </si>
  <si>
    <t>rozdz.
60095</t>
  </si>
  <si>
    <t>rozdz. 60095
75018</t>
  </si>
  <si>
    <t>TalkNET - Sieć zainteresowanych podmiotów z sektora transportu i logistyki w ramach IW INTERREG VB (2017-2020)</t>
  </si>
  <si>
    <t>Wsparcie techniczne Interreg VA Południowy Bałtyk - wydatki majątkowe (2015-2020)</t>
  </si>
  <si>
    <t>Regionalny Punkt Kontaktowy - Pomoc Techniczna w ramach Programu Współpracy INTERREG VA - wydatki bieżące (2016-2020)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</si>
  <si>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</si>
  <si>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</si>
  <si>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</si>
  <si>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</si>
  <si>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</si>
  <si>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</si>
  <si>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</si>
  <si>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bez umwoy</t>
  </si>
  <si>
    <t>umowa</t>
  </si>
  <si>
    <t>kontynuowane</t>
  </si>
  <si>
    <t>Bałtyckie trasy dziedzictwa w ramach Programu Interreg Południowy Bałtyk (2017-2020)</t>
  </si>
  <si>
    <t>BALTIC STORIES - Rozwój turystyki poprzez profesjonalizację wydarzeń w regionie południowego bałtyku w ramach Programu Interreg Południowy Bałtyk (2017-2020)</t>
  </si>
  <si>
    <t>Regionalny Punkt Kontaktowy - Pomoc Techniczna w ramach Programu Współpracy INTERREG VA - wydatki majątkowe  (2016-2020)</t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</si>
  <si>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</si>
  <si>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</t>
    </r>
    <r>
      <rPr>
        <b/>
        <sz val="9"/>
        <rFont val="Arial CE"/>
        <charset val="238"/>
      </rPr>
      <t>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</si>
  <si>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</t>
    </r>
    <r>
      <rPr>
        <b/>
        <sz val="9"/>
        <rFont val="Arial CE"/>
        <charset val="238"/>
      </rPr>
      <t>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</si>
  <si>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</si>
  <si>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</si>
  <si>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</si>
  <si>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</si>
  <si>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</si>
  <si>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</si>
  <si>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33.257.445 zł</t>
    </r>
    <r>
      <rPr>
        <i/>
        <sz val="8"/>
        <rFont val="Arial CE"/>
        <charset val="238"/>
      </rPr>
      <t>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</si>
  <si>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</si>
  <si>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</si>
  <si>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</si>
  <si>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</si>
  <si>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</si>
  <si>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</si>
  <si>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8a</t>
  </si>
  <si>
    <t>8b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</si>
  <si>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</si>
  <si>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</si>
  <si>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</si>
  <si>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</si>
  <si>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Przebudowa i rozbudowa przejścia drogowego przez m. Tanowo na drodze woj. Nr 115 w ramach IW INTERREG V A (2010-2018)</t>
  </si>
  <si>
    <t>Przebudowa i rozbudowa przejścia drogi woj. nr 125 przez m. Golice i m. Klępicz w ramach IW INTERREG V A (2016-2018)</t>
  </si>
  <si>
    <t>Przebudowa i rozbudowa przejścia drogi woj. nr 114 przez m. Brzózki w ramach IW INTERREG V A (2016-2018)</t>
  </si>
  <si>
    <t>decyzja z 25.09.17</t>
  </si>
  <si>
    <t xml:space="preserve">* kwota wykonania 2016 r. (250 844 zł) jednak nie jest zgodna ze sprawozdaniem RB, wynika z faktycznie poniesionych przez jednostkę wydatków 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</si>
  <si>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</si>
  <si>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</si>
  <si>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</si>
  <si>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Świdwin - Łobez </t>
    </r>
    <r>
      <rPr>
        <sz val="9"/>
        <rFont val="Arial CE"/>
        <family val="2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(2013-2017)</t>
    </r>
  </si>
  <si>
    <r>
      <t xml:space="preserve">Przebudowa ul. Jagiełły w ciągu drogi wojewódzkiej nr 160 i ul. Dąbrowszczaków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</si>
  <si>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sieci tras rowerowych Pomorza Zachodniego - Trasa Pojezierna </t>
    </r>
    <r>
      <rPr>
        <sz val="9"/>
        <rFont val="Arial CE"/>
        <family val="2"/>
        <charset val="238"/>
      </rPr>
      <t xml:space="preserve">w ramach Osi IV RPO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</si>
  <si>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</si>
  <si>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t>Prognozowane nakłady inwestycyjne /dochody 
w latach 2018 - 2023</t>
  </si>
  <si>
    <t>Plan po zmianach 
2017 r.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</si>
  <si>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</si>
  <si>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</si>
  <si>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</si>
  <si>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</si>
  <si>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</si>
  <si>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</si>
  <si>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Plan po zmianach na 2017 r.</t>
  </si>
  <si>
    <t>Limity zobowiązań 2018-2023  i lata następne</t>
  </si>
  <si>
    <t>DOCHODY ŁĄCZNIE - 
stan na 30 października 2017 r.</t>
  </si>
  <si>
    <t>WYDATKI ŁĄCZNIE - 
stan na 30 października 2017 r.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</si>
  <si>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</si>
  <si>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</si>
  <si>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</si>
  <si>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GM/
COIiE/
WWT</t>
  </si>
  <si>
    <t>Specjalistyczny Szpital im. A. Sokołowskiego 
w Szczecinie - Zdunowo - następca prawny SPWSZ 
w Szczecinie   
pod nadzorem WZ</t>
  </si>
  <si>
    <t>ZZMiUW w Szczecinie 
w likwidacji 
pod nadzorem WRiR</t>
  </si>
  <si>
    <t>ZZMiUW w Szczecinie
w likwidacji   
pod nadzorem WRiR</t>
  </si>
  <si>
    <t>ZZMiUW w Szczecinie
w likwidacji 
pod nadzorem WRiR</t>
  </si>
  <si>
    <r>
      <t xml:space="preserve">Dokumentacje techniczne na budowę sieci tras rowerowych Pomorza Zachodniego </t>
    </r>
    <r>
      <rPr>
        <sz val="9"/>
        <rFont val="Arial CE"/>
        <family val="2"/>
        <charset val="238"/>
      </rPr>
      <t>w ramach Osi IV RPO</t>
    </r>
    <r>
      <rPr>
        <b/>
        <sz val="9"/>
        <rFont val="Arial CE"/>
        <family val="2"/>
        <charset val="238"/>
      </rPr>
      <t xml:space="preserve"> (2017-2019)</t>
    </r>
  </si>
  <si>
    <t>Wyposażenie w nowoczesny sprzęt Zachodniopomorskiej Książnicy Cyfrowej w Szczecinie w ramach Osi VIII PO IiŚ (2017-2018)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</si>
  <si>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</si>
  <si>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</si>
  <si>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</si>
  <si>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</si>
  <si>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</si>
  <si>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</si>
  <si>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</si>
  <si>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25.</t>
  </si>
  <si>
    <t>26.</t>
  </si>
  <si>
    <t>WYDATKI ŁĄCZNIE - 
stan na 19 grudnia 2017 r.</t>
  </si>
  <si>
    <t>DOCHODY ŁĄCZNIE - 
stan na 19 grudnia 2017 r.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</si>
  <si>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</si>
  <si>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</si>
  <si>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</si>
  <si>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</si>
  <si>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27.</t>
  </si>
  <si>
    <t>WPF - Likwidacja skutków katastrofy budowlanej w skrzydle północnym Zamku Książąt Pomorskich w Szczecinie (2017-2018)</t>
  </si>
  <si>
    <t>Konserwatorskie Niebo - zakup wyposażenia do Pracowni Działu Konserwacji Muzeum Narodowego w Szczecinie w ramach POIiŚ 2014 - 2020 (2017-2019)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</si>
  <si>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</si>
  <si>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</si>
  <si>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rozdz. 92505</t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</si>
  <si>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</si>
  <si>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</si>
  <si>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</si>
  <si>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</si>
  <si>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</si>
  <si>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>dotacje celowe / płatności z UE ***</t>
  </si>
  <si>
    <t>*** W kolumnie 4 uwzględniono dochody w kwocie 5.028.154 zł, których wpływ zaplanowano na 2024 r.</t>
  </si>
  <si>
    <t>** W kolumnie 4 uwzględniono dochody w kwocie 11.590 zł, których wpływ zaplanowano na 2024 r.</t>
  </si>
  <si>
    <t>Zrównoważona turystyka wodna w unikalnej Dolinie Dolnej Odry w ramach programu Interreg V A - wydatki majątkowe (2016-2020)</t>
  </si>
  <si>
    <t>Zrównoważona turystyka wodna w unikalnej Dolinie Dolnej Odry w ramach programu Interreg V A (2018-2020)</t>
  </si>
  <si>
    <t>Wzmacnianie ochrony bociana białego i nietoperzy oraz realizacja zadań czynnej ochrony w rezerwatach przyrody na obszarach parków krajobrazowych województwa zachodniopomorskiego - majątkowe w ramach Osi IV RPO (2016-2020)</t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</si>
  <si>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</si>
  <si>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(2010-2018)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</si>
  <si>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</si>
  <si>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</si>
  <si>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</si>
  <si>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(2017-2018)</t>
    </r>
  </si>
  <si>
    <r>
      <t>TENTacle – wykorzystanie korytarzy sieci bazowej TEN-T w ramach IW INTERREG VB (2016-2019)</t>
    </r>
    <r>
      <rPr>
        <b/>
        <sz val="10"/>
        <rFont val="Arial CE"/>
        <charset val="238"/>
      </rPr>
      <t>**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</si>
  <si>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</si>
  <si>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Wspólny Sekretariat - Pomoc Techniczna w ramach  Programu Współpracy INTERREG VA (2016-2022)</t>
    </r>
    <r>
      <rPr>
        <b/>
        <sz val="10"/>
        <rFont val="Arial CE"/>
        <charset val="238"/>
      </rPr>
      <t>**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</si>
  <si>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</si>
  <si>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</si>
  <si>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Zielonego Pogranicza odc. Gryfino - Trzcińsko Zdrój </t>
    </r>
    <r>
      <rPr>
        <sz val="9"/>
        <rFont val="Arial CE"/>
        <charset val="238"/>
      </rPr>
      <t xml:space="preserve">w ramach Osi IV RPO WZ </t>
    </r>
    <r>
      <rPr>
        <b/>
        <sz val="9"/>
        <rFont val="Arial CE"/>
        <family val="2"/>
        <charset val="238"/>
      </rPr>
      <t>(2017-2018)</t>
    </r>
  </si>
  <si>
    <r>
      <t xml:space="preserve">Budowa infrastruktury turystycznej w Parkach Krajobrazowych województwa zachodniopomorskiego w celu zmniejszenia antropopresji - II etap </t>
    </r>
    <r>
      <rPr>
        <sz val="9"/>
        <rFont val="Arial CE"/>
        <charset val="238"/>
      </rPr>
      <t>w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>ramach RPO WZ, Osi IV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</si>
  <si>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</si>
  <si>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</si>
  <si>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Wspólne dziedzictwo wspólna przyszłość w ramach programu INTERREG VA (2014-2020)</t>
  </si>
  <si>
    <t>Wspólne dziedzictwo wspólna przyszłość w ramach programu INTERREG VA - wydatki majątkowe (2014-2020)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</si>
</sst>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</numFmts>
  <fonts count="7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7.5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</fills>
  <borders count="2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8" applyNumberFormat="0" applyProtection="0">
      <alignment vertical="center"/>
    </xf>
    <xf numFmtId="4" fontId="52" fillId="13" borderId="88" applyNumberFormat="0" applyProtection="0">
      <alignment vertical="center"/>
    </xf>
    <xf numFmtId="4" fontId="51" fillId="13" borderId="88" applyNumberFormat="0" applyProtection="0">
      <alignment horizontal="left" vertical="center" indent="1"/>
    </xf>
    <xf numFmtId="4" fontId="51" fillId="1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35" borderId="88" applyNumberFormat="0" applyProtection="0">
      <alignment horizontal="right" vertical="center"/>
    </xf>
    <xf numFmtId="4" fontId="51" fillId="43" borderId="88" applyNumberFormat="0" applyProtection="0">
      <alignment horizontal="right" vertical="center"/>
    </xf>
    <xf numFmtId="4" fontId="51" fillId="44" borderId="88" applyNumberFormat="0" applyProtection="0">
      <alignment horizontal="right" vertical="center"/>
    </xf>
    <xf numFmtId="4" fontId="51" fillId="12" borderId="88" applyNumberFormat="0" applyProtection="0">
      <alignment horizontal="right" vertical="center"/>
    </xf>
    <xf numFmtId="4" fontId="51" fillId="45" borderId="88" applyNumberFormat="0" applyProtection="0">
      <alignment horizontal="right" vertical="center"/>
    </xf>
    <xf numFmtId="4" fontId="51" fillId="15" borderId="88" applyNumberFormat="0" applyProtection="0">
      <alignment horizontal="right" vertical="center"/>
    </xf>
    <xf numFmtId="4" fontId="51" fillId="17" borderId="88" applyNumberFormat="0" applyProtection="0">
      <alignment horizontal="right" vertical="center"/>
    </xf>
    <xf numFmtId="4" fontId="51" fillId="16" borderId="88" applyNumberFormat="0" applyProtection="0">
      <alignment horizontal="right" vertical="center"/>
    </xf>
    <xf numFmtId="4" fontId="51" fillId="19" borderId="88" applyNumberFormat="0" applyProtection="0">
      <alignment horizontal="right" vertical="center"/>
    </xf>
    <xf numFmtId="4" fontId="53" fillId="46" borderId="88" applyNumberFormat="0" applyProtection="0">
      <alignment horizontal="left" vertical="center" indent="1"/>
    </xf>
    <xf numFmtId="4" fontId="51" fillId="47" borderId="89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" fillId="47" borderId="88" applyNumberFormat="0" applyProtection="0">
      <alignment horizontal="left" vertical="center" indent="1"/>
    </xf>
    <xf numFmtId="4" fontId="5" fillId="49" borderId="88" applyNumberFormat="0" applyProtection="0">
      <alignment horizontal="left" vertical="center" indent="1"/>
    </xf>
    <xf numFmtId="0" fontId="4" fillId="49" borderId="88" applyNumberFormat="0" applyProtection="0">
      <alignment horizontal="left" vertical="center" indent="1"/>
    </xf>
    <xf numFmtId="0" fontId="4" fillId="49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0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4" fontId="51" fillId="20" borderId="88" applyNumberFormat="0" applyProtection="0">
      <alignment vertical="center"/>
    </xf>
    <xf numFmtId="4" fontId="52" fillId="20" borderId="88" applyNumberFormat="0" applyProtection="0">
      <alignment vertical="center"/>
    </xf>
    <xf numFmtId="4" fontId="51" fillId="20" borderId="88" applyNumberFormat="0" applyProtection="0">
      <alignment horizontal="left" vertical="center" indent="1"/>
    </xf>
    <xf numFmtId="4" fontId="51" fillId="20" borderId="88" applyNumberFormat="0" applyProtection="0">
      <alignment horizontal="left" vertical="center" indent="1"/>
    </xf>
    <xf numFmtId="4" fontId="51" fillId="47" borderId="88" applyNumberFormat="0" applyProtection="0">
      <alignment horizontal="right" vertical="center"/>
    </xf>
    <xf numFmtId="4" fontId="52" fillId="47" borderId="88" applyNumberFormat="0" applyProtection="0">
      <alignment horizontal="right" vertical="center"/>
    </xf>
    <xf numFmtId="0" fontId="4" fillId="11" borderId="88" applyNumberFormat="0" applyProtection="0">
      <alignment horizontal="left" vertical="center" indent="1"/>
    </xf>
    <xf numFmtId="0" fontId="4" fillId="11" borderId="88" applyNumberFormat="0" applyProtection="0">
      <alignment horizontal="left" vertical="center" indent="1"/>
    </xf>
    <xf numFmtId="0" fontId="55" fillId="0" borderId="0"/>
    <xf numFmtId="4" fontId="56" fillId="47" borderId="88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8" applyNumberFormat="0" applyProtection="0">
      <alignment vertical="center"/>
    </xf>
    <xf numFmtId="4" fontId="52" fillId="13" borderId="98" applyNumberFormat="0" applyProtection="0">
      <alignment vertical="center"/>
    </xf>
    <xf numFmtId="4" fontId="51" fillId="13" borderId="98" applyNumberFormat="0" applyProtection="0">
      <alignment horizontal="left" vertical="center" indent="1"/>
    </xf>
    <xf numFmtId="4" fontId="51" fillId="1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35" borderId="98" applyNumberFormat="0" applyProtection="0">
      <alignment horizontal="right" vertical="center"/>
    </xf>
    <xf numFmtId="4" fontId="51" fillId="43" borderId="98" applyNumberFormat="0" applyProtection="0">
      <alignment horizontal="right" vertical="center"/>
    </xf>
    <xf numFmtId="4" fontId="51" fillId="44" borderId="98" applyNumberFormat="0" applyProtection="0">
      <alignment horizontal="right" vertical="center"/>
    </xf>
    <xf numFmtId="4" fontId="51" fillId="12" borderId="98" applyNumberFormat="0" applyProtection="0">
      <alignment horizontal="right" vertical="center"/>
    </xf>
    <xf numFmtId="4" fontId="51" fillId="45" borderId="98" applyNumberFormat="0" applyProtection="0">
      <alignment horizontal="right" vertical="center"/>
    </xf>
    <xf numFmtId="4" fontId="51" fillId="15" borderId="98" applyNumberFormat="0" applyProtection="0">
      <alignment horizontal="right" vertical="center"/>
    </xf>
    <xf numFmtId="4" fontId="51" fillId="17" borderId="98" applyNumberFormat="0" applyProtection="0">
      <alignment horizontal="right" vertical="center"/>
    </xf>
    <xf numFmtId="4" fontId="51" fillId="16" borderId="98" applyNumberFormat="0" applyProtection="0">
      <alignment horizontal="right" vertical="center"/>
    </xf>
    <xf numFmtId="4" fontId="51" fillId="19" borderId="98" applyNumberFormat="0" applyProtection="0">
      <alignment horizontal="right" vertical="center"/>
    </xf>
    <xf numFmtId="4" fontId="53" fillId="46" borderId="98" applyNumberFormat="0" applyProtection="0">
      <alignment horizontal="left" vertical="center" indent="1"/>
    </xf>
    <xf numFmtId="4" fontId="51" fillId="47" borderId="99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" fillId="47" borderId="98" applyNumberFormat="0" applyProtection="0">
      <alignment horizontal="left" vertical="center" indent="1"/>
    </xf>
    <xf numFmtId="4" fontId="5" fillId="49" borderId="98" applyNumberFormat="0" applyProtection="0">
      <alignment horizontal="left" vertical="center" indent="1"/>
    </xf>
    <xf numFmtId="0" fontId="4" fillId="49" borderId="98" applyNumberFormat="0" applyProtection="0">
      <alignment horizontal="left" vertical="center" indent="1"/>
    </xf>
    <xf numFmtId="0" fontId="4" fillId="49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0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33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1" fillId="20" borderId="98" applyNumberFormat="0" applyProtection="0">
      <alignment vertical="center"/>
    </xf>
    <xf numFmtId="4" fontId="52" fillId="20" borderId="98" applyNumberFormat="0" applyProtection="0">
      <alignment vertical="center"/>
    </xf>
    <xf numFmtId="4" fontId="51" fillId="20" borderId="98" applyNumberFormat="0" applyProtection="0">
      <alignment horizontal="left" vertical="center" indent="1"/>
    </xf>
    <xf numFmtId="4" fontId="51" fillId="20" borderId="98" applyNumberFormat="0" applyProtection="0">
      <alignment horizontal="left" vertical="center" indent="1"/>
    </xf>
    <xf numFmtId="4" fontId="51" fillId="47" borderId="98" applyNumberFormat="0" applyProtection="0">
      <alignment horizontal="right" vertical="center"/>
    </xf>
    <xf numFmtId="4" fontId="52" fillId="47" borderId="98" applyNumberFormat="0" applyProtection="0">
      <alignment horizontal="right" vertical="center"/>
    </xf>
    <xf numFmtId="0" fontId="4" fillId="11" borderId="98" applyNumberFormat="0" applyProtection="0">
      <alignment horizontal="left" vertical="center" indent="1"/>
    </xf>
    <xf numFmtId="0" fontId="4" fillId="11" borderId="98" applyNumberFormat="0" applyProtection="0">
      <alignment horizontal="left" vertical="center" indent="1"/>
    </xf>
    <xf numFmtId="4" fontId="56" fillId="47" borderId="98" applyNumberFormat="0" applyProtection="0">
      <alignment horizontal="right" vertical="center"/>
    </xf>
    <xf numFmtId="0" fontId="4" fillId="0" borderId="0"/>
    <xf numFmtId="4" fontId="51" fillId="13" borderId="151" applyNumberFormat="0" applyProtection="0">
      <alignment horizontal="left" vertical="center" indent="1"/>
    </xf>
    <xf numFmtId="4" fontId="51" fillId="12" borderId="160" applyNumberFormat="0" applyProtection="0">
      <alignment horizontal="right" vertical="center"/>
    </xf>
    <xf numFmtId="4" fontId="51" fillId="13" borderId="151" applyNumberFormat="0" applyProtection="0">
      <alignment horizontal="left" vertical="center" indent="1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vertical="center"/>
    </xf>
    <xf numFmtId="4" fontId="51" fillId="17" borderId="160" applyNumberFormat="0" applyProtection="0">
      <alignment horizontal="right" vertical="center"/>
    </xf>
    <xf numFmtId="4" fontId="53" fillId="46" borderId="160" applyNumberFormat="0" applyProtection="0">
      <alignment horizontal="left" vertical="center" indent="1"/>
    </xf>
    <xf numFmtId="0" fontId="2" fillId="0" borderId="0"/>
    <xf numFmtId="4" fontId="51" fillId="13" borderId="159" applyNumberFormat="0" applyProtection="0">
      <alignment vertical="center"/>
    </xf>
    <xf numFmtId="4" fontId="52" fillId="13" borderId="159" applyNumberFormat="0" applyProtection="0">
      <alignment vertical="center"/>
    </xf>
    <xf numFmtId="4" fontId="51" fillId="13" borderId="159" applyNumberFormat="0" applyProtection="0">
      <alignment horizontal="left" vertical="center" indent="1"/>
    </xf>
    <xf numFmtId="4" fontId="51" fillId="1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35" borderId="159" applyNumberFormat="0" applyProtection="0">
      <alignment horizontal="right" vertical="center"/>
    </xf>
    <xf numFmtId="4" fontId="51" fillId="43" borderId="159" applyNumberFormat="0" applyProtection="0">
      <alignment horizontal="right" vertical="center"/>
    </xf>
    <xf numFmtId="4" fontId="51" fillId="44" borderId="159" applyNumberFormat="0" applyProtection="0">
      <alignment horizontal="right" vertical="center"/>
    </xf>
    <xf numFmtId="4" fontId="51" fillId="12" borderId="159" applyNumberFormat="0" applyProtection="0">
      <alignment horizontal="right" vertical="center"/>
    </xf>
    <xf numFmtId="4" fontId="51" fillId="45" borderId="159" applyNumberFormat="0" applyProtection="0">
      <alignment horizontal="right" vertical="center"/>
    </xf>
    <xf numFmtId="4" fontId="51" fillId="15" borderId="159" applyNumberFormat="0" applyProtection="0">
      <alignment horizontal="right" vertical="center"/>
    </xf>
    <xf numFmtId="4" fontId="51" fillId="17" borderId="159" applyNumberFormat="0" applyProtection="0">
      <alignment horizontal="right" vertical="center"/>
    </xf>
    <xf numFmtId="4" fontId="51" fillId="16" borderId="159" applyNumberFormat="0" applyProtection="0">
      <alignment horizontal="right" vertical="center"/>
    </xf>
    <xf numFmtId="4" fontId="51" fillId="19" borderId="159" applyNumberFormat="0" applyProtection="0">
      <alignment horizontal="right" vertical="center"/>
    </xf>
    <xf numFmtId="4" fontId="53" fillId="46" borderId="159" applyNumberFormat="0" applyProtection="0">
      <alignment horizontal="left" vertical="center" indent="1"/>
    </xf>
    <xf numFmtId="0" fontId="4" fillId="30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33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20" borderId="159" applyNumberFormat="0" applyProtection="0">
      <alignment vertical="center"/>
    </xf>
    <xf numFmtId="4" fontId="52" fillId="20" borderId="159" applyNumberFormat="0" applyProtection="0">
      <alignment vertical="center"/>
    </xf>
    <xf numFmtId="4" fontId="51" fillId="20" borderId="159" applyNumberFormat="0" applyProtection="0">
      <alignment horizontal="left" vertical="center" indent="1"/>
    </xf>
    <xf numFmtId="4" fontId="51" fillId="20" borderId="159" applyNumberFormat="0" applyProtection="0">
      <alignment horizontal="left" vertical="center" indent="1"/>
    </xf>
    <xf numFmtId="4" fontId="51" fillId="47" borderId="159" applyNumberFormat="0" applyProtection="0">
      <alignment horizontal="right" vertical="center"/>
    </xf>
    <xf numFmtId="4" fontId="52" fillId="47" borderId="159" applyNumberFormat="0" applyProtection="0">
      <alignment horizontal="right" vertical="center"/>
    </xf>
    <xf numFmtId="4" fontId="51" fillId="13" borderId="165" applyNumberFormat="0" applyProtection="0">
      <alignment vertical="center"/>
    </xf>
    <xf numFmtId="4" fontId="56" fillId="47" borderId="159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" fillId="47" borderId="159" applyNumberFormat="0" applyProtection="0">
      <alignment horizontal="left" vertical="center" indent="1"/>
    </xf>
    <xf numFmtId="0" fontId="4" fillId="49" borderId="159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4" fillId="11" borderId="159" applyNumberFormat="0" applyProtection="0">
      <alignment horizontal="left" vertical="center" indent="1"/>
    </xf>
    <xf numFmtId="0" fontId="4" fillId="0" borderId="0"/>
    <xf numFmtId="4" fontId="51" fillId="13" borderId="149" applyNumberFormat="0" applyProtection="0">
      <alignment vertical="center"/>
    </xf>
    <xf numFmtId="4" fontId="52" fillId="13" borderId="149" applyNumberFormat="0" applyProtection="0">
      <alignment vertical="center"/>
    </xf>
    <xf numFmtId="4" fontId="51" fillId="13" borderId="149" applyNumberFormat="0" applyProtection="0">
      <alignment horizontal="left" vertical="center" indent="1"/>
    </xf>
    <xf numFmtId="4" fontId="51" fillId="1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35" borderId="149" applyNumberFormat="0" applyProtection="0">
      <alignment horizontal="right" vertical="center"/>
    </xf>
    <xf numFmtId="4" fontId="51" fillId="43" borderId="149" applyNumberFormat="0" applyProtection="0">
      <alignment horizontal="right" vertical="center"/>
    </xf>
    <xf numFmtId="4" fontId="51" fillId="44" borderId="149" applyNumberFormat="0" applyProtection="0">
      <alignment horizontal="right" vertical="center"/>
    </xf>
    <xf numFmtId="4" fontId="51" fillId="12" borderId="149" applyNumberFormat="0" applyProtection="0">
      <alignment horizontal="right" vertical="center"/>
    </xf>
    <xf numFmtId="4" fontId="51" fillId="45" borderId="149" applyNumberFormat="0" applyProtection="0">
      <alignment horizontal="right" vertical="center"/>
    </xf>
    <xf numFmtId="4" fontId="51" fillId="15" borderId="149" applyNumberFormat="0" applyProtection="0">
      <alignment horizontal="right" vertical="center"/>
    </xf>
    <xf numFmtId="4" fontId="51" fillId="17" borderId="149" applyNumberFormat="0" applyProtection="0">
      <alignment horizontal="right" vertical="center"/>
    </xf>
    <xf numFmtId="4" fontId="51" fillId="16" borderId="149" applyNumberFormat="0" applyProtection="0">
      <alignment horizontal="right" vertical="center"/>
    </xf>
    <xf numFmtId="4" fontId="51" fillId="19" borderId="149" applyNumberFormat="0" applyProtection="0">
      <alignment horizontal="right" vertical="center"/>
    </xf>
    <xf numFmtId="4" fontId="53" fillId="46" borderId="149" applyNumberFormat="0" applyProtection="0">
      <alignment horizontal="left" vertical="center" indent="1"/>
    </xf>
    <xf numFmtId="4" fontId="51" fillId="47" borderId="150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" fillId="47" borderId="149" applyNumberFormat="0" applyProtection="0">
      <alignment horizontal="left" vertical="center" indent="1"/>
    </xf>
    <xf numFmtId="4" fontId="5" fillId="49" borderId="149" applyNumberFormat="0" applyProtection="0">
      <alignment horizontal="left" vertical="center" indent="1"/>
    </xf>
    <xf numFmtId="0" fontId="4" fillId="49" borderId="149" applyNumberFormat="0" applyProtection="0">
      <alignment horizontal="left" vertical="center" indent="1"/>
    </xf>
    <xf numFmtId="0" fontId="4" fillId="49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0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33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1" fillId="20" borderId="149" applyNumberFormat="0" applyProtection="0">
      <alignment vertical="center"/>
    </xf>
    <xf numFmtId="4" fontId="52" fillId="20" borderId="149" applyNumberFormat="0" applyProtection="0">
      <alignment vertical="center"/>
    </xf>
    <xf numFmtId="4" fontId="51" fillId="20" borderId="149" applyNumberFormat="0" applyProtection="0">
      <alignment horizontal="left" vertical="center" indent="1"/>
    </xf>
    <xf numFmtId="4" fontId="51" fillId="20" borderId="149" applyNumberFormat="0" applyProtection="0">
      <alignment horizontal="left" vertical="center" indent="1"/>
    </xf>
    <xf numFmtId="4" fontId="51" fillId="47" borderId="149" applyNumberFormat="0" applyProtection="0">
      <alignment horizontal="right" vertical="center"/>
    </xf>
    <xf numFmtId="4" fontId="52" fillId="47" borderId="149" applyNumberFormat="0" applyProtection="0">
      <alignment horizontal="right" vertical="center"/>
    </xf>
    <xf numFmtId="0" fontId="4" fillId="11" borderId="149" applyNumberFormat="0" applyProtection="0">
      <alignment horizontal="left" vertical="center" indent="1"/>
    </xf>
    <xf numFmtId="0" fontId="4" fillId="11" borderId="149" applyNumberFormat="0" applyProtection="0">
      <alignment horizontal="left" vertical="center" indent="1"/>
    </xf>
    <xf numFmtId="4" fontId="56" fillId="47" borderId="149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3" borderId="151" applyNumberFormat="0" applyProtection="0">
      <alignment horizontal="right" vertical="center"/>
    </xf>
    <xf numFmtId="4" fontId="51" fillId="44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45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46" borderId="151" applyNumberFormat="0" applyProtection="0">
      <alignment horizontal="left" vertical="center" indent="1"/>
    </xf>
    <xf numFmtId="4" fontId="51" fillId="47" borderId="152" applyNumberFormat="0" applyProtection="0">
      <alignment horizontal="left" vertical="center" indent="1"/>
    </xf>
    <xf numFmtId="4" fontId="51" fillId="47" borderId="157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47" borderId="151" applyNumberFormat="0" applyProtection="0">
      <alignment horizontal="left" vertical="center" indent="1"/>
    </xf>
    <xf numFmtId="4" fontId="5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47" borderId="151" applyNumberFormat="0" applyProtection="0">
      <alignment horizontal="right" vertical="center"/>
    </xf>
    <xf numFmtId="4" fontId="52" fillId="47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49" borderId="160" applyNumberFormat="0" applyProtection="0">
      <alignment horizontal="left" vertical="center" indent="1"/>
    </xf>
    <xf numFmtId="4" fontId="56" fillId="47" borderId="151" applyNumberFormat="0" applyProtection="0">
      <alignment horizontal="right" vertical="center"/>
    </xf>
    <xf numFmtId="0" fontId="4" fillId="30" borderId="159" applyNumberFormat="0" applyProtection="0">
      <alignment horizontal="left" vertical="center" indent="1"/>
    </xf>
    <xf numFmtId="4" fontId="5" fillId="49" borderId="159" applyNumberFormat="0" applyProtection="0">
      <alignment horizontal="left" vertical="center" indent="1"/>
    </xf>
    <xf numFmtId="0" fontId="4" fillId="11" borderId="159" applyNumberFormat="0" applyProtection="0">
      <alignment horizontal="left" vertical="center" indent="1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3" borderId="151" applyNumberFormat="0" applyProtection="0">
      <alignment horizontal="right" vertical="center"/>
    </xf>
    <xf numFmtId="4" fontId="51" fillId="44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45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46" borderId="151" applyNumberFormat="0" applyProtection="0">
      <alignment horizontal="left" vertical="center" indent="1"/>
    </xf>
    <xf numFmtId="4" fontId="51" fillId="47" borderId="153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47" borderId="151" applyNumberFormat="0" applyProtection="0">
      <alignment horizontal="left" vertical="center" indent="1"/>
    </xf>
    <xf numFmtId="4" fontId="5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47" borderId="151" applyNumberFormat="0" applyProtection="0">
      <alignment horizontal="right" vertical="center"/>
    </xf>
    <xf numFmtId="4" fontId="52" fillId="47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47" borderId="151" applyNumberFormat="0" applyProtection="0">
      <alignment horizontal="right" vertical="center"/>
    </xf>
    <xf numFmtId="0" fontId="4" fillId="49" borderId="159" applyNumberFormat="0" applyProtection="0">
      <alignment horizontal="left" vertical="center" indent="1"/>
    </xf>
    <xf numFmtId="4" fontId="51" fillId="13" borderId="160" applyNumberFormat="0" applyProtection="0">
      <alignment vertical="center"/>
    </xf>
    <xf numFmtId="4" fontId="52" fillId="13" borderId="160" applyNumberFormat="0" applyProtection="0">
      <alignment vertical="center"/>
    </xf>
    <xf numFmtId="4" fontId="51" fillId="13" borderId="160" applyNumberFormat="0" applyProtection="0">
      <alignment horizontal="left" vertical="center" indent="1"/>
    </xf>
    <xf numFmtId="4" fontId="51" fillId="1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1" fillId="35" borderId="160" applyNumberFormat="0" applyProtection="0">
      <alignment horizontal="right" vertical="center"/>
    </xf>
    <xf numFmtId="4" fontId="51" fillId="43" borderId="160" applyNumberFormat="0" applyProtection="0">
      <alignment horizontal="right" vertical="center"/>
    </xf>
    <xf numFmtId="4" fontId="51" fillId="47" borderId="154" applyNumberFormat="0" applyProtection="0">
      <alignment horizontal="left" vertical="center" indent="1"/>
    </xf>
    <xf numFmtId="4" fontId="51" fillId="47" borderId="161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" fillId="47" borderId="160" applyNumberFormat="0" applyProtection="0">
      <alignment horizontal="left" vertical="center" indent="1"/>
    </xf>
    <xf numFmtId="0" fontId="4" fillId="49" borderId="160" applyNumberFormat="0" applyProtection="0">
      <alignment horizontal="left" vertical="center" indent="1"/>
    </xf>
    <xf numFmtId="0" fontId="4" fillId="49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0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33" borderId="160" applyNumberFormat="0" applyProtection="0">
      <alignment horizontal="left" vertical="center" indent="1"/>
    </xf>
    <xf numFmtId="0" fontId="4" fillId="11" borderId="160" applyNumberFormat="0" applyProtection="0">
      <alignment horizontal="left" vertical="center" indent="1"/>
    </xf>
    <xf numFmtId="4" fontId="52" fillId="20" borderId="160" applyNumberFormat="0" applyProtection="0">
      <alignment vertical="center"/>
    </xf>
    <xf numFmtId="4" fontId="51" fillId="20" borderId="160" applyNumberFormat="0" applyProtection="0">
      <alignment horizontal="left" vertical="center" indent="1"/>
    </xf>
    <xf numFmtId="4" fontId="51" fillId="20" borderId="160" applyNumberFormat="0" applyProtection="0">
      <alignment horizontal="left" vertical="center" indent="1"/>
    </xf>
    <xf numFmtId="4" fontId="51" fillId="47" borderId="160" applyNumberFormat="0" applyProtection="0">
      <alignment horizontal="right" vertical="center"/>
    </xf>
    <xf numFmtId="4" fontId="52" fillId="47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45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15" borderId="160" applyNumberFormat="0" applyProtection="0">
      <alignment horizontal="right" vertical="center"/>
    </xf>
    <xf numFmtId="4" fontId="51" fillId="16" borderId="160" applyNumberFormat="0" applyProtection="0">
      <alignment horizontal="right" vertical="center"/>
    </xf>
    <xf numFmtId="4" fontId="51" fillId="44" borderId="160" applyNumberFormat="0" applyProtection="0">
      <alignment horizontal="right" vertical="center"/>
    </xf>
    <xf numFmtId="0" fontId="4" fillId="11" borderId="160" applyNumberFormat="0" applyProtection="0">
      <alignment horizontal="left" vertical="center" indent="1"/>
    </xf>
    <xf numFmtId="4" fontId="51" fillId="20" borderId="160" applyNumberFormat="0" applyProtection="0">
      <alignment vertical="center"/>
    </xf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3" borderId="155" applyNumberFormat="0" applyProtection="0">
      <alignment horizontal="right" vertical="center"/>
    </xf>
    <xf numFmtId="4" fontId="51" fillId="44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45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46" borderId="155" applyNumberFormat="0" applyProtection="0">
      <alignment horizontal="left" vertical="center" indent="1"/>
    </xf>
    <xf numFmtId="4" fontId="51" fillId="47" borderId="156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47" borderId="155" applyNumberFormat="0" applyProtection="0">
      <alignment horizontal="left" vertical="center" indent="1"/>
    </xf>
    <xf numFmtId="4" fontId="5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47" borderId="155" applyNumberFormat="0" applyProtection="0">
      <alignment horizontal="right" vertical="center"/>
    </xf>
    <xf numFmtId="4" fontId="52" fillId="47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6" fillId="47" borderId="155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58" applyNumberFormat="0" applyProtection="0">
      <alignment horizontal="left" vertical="center" indent="1"/>
    </xf>
    <xf numFmtId="4" fontId="51" fillId="19" borderId="160" applyNumberFormat="0" applyProtection="0">
      <alignment horizontal="right" vertical="center"/>
    </xf>
    <xf numFmtId="4" fontId="56" fillId="47" borderId="160" applyNumberFormat="0" applyProtection="0">
      <alignment horizontal="right" vertical="center"/>
    </xf>
    <xf numFmtId="4" fontId="51" fillId="13" borderId="162" applyNumberFormat="0" applyProtection="0">
      <alignment vertical="center"/>
    </xf>
    <xf numFmtId="4" fontId="52" fillId="13" borderId="162" applyNumberFormat="0" applyProtection="0">
      <alignment vertical="center"/>
    </xf>
    <xf numFmtId="4" fontId="51" fillId="13" borderId="162" applyNumberFormat="0" applyProtection="0">
      <alignment horizontal="left" vertical="center" indent="1"/>
    </xf>
    <xf numFmtId="4" fontId="51" fillId="1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35" borderId="162" applyNumberFormat="0" applyProtection="0">
      <alignment horizontal="right" vertical="center"/>
    </xf>
    <xf numFmtId="4" fontId="51" fillId="43" borderId="162" applyNumberFormat="0" applyProtection="0">
      <alignment horizontal="right" vertical="center"/>
    </xf>
    <xf numFmtId="4" fontId="51" fillId="44" borderId="162" applyNumberFormat="0" applyProtection="0">
      <alignment horizontal="right" vertical="center"/>
    </xf>
    <xf numFmtId="4" fontId="51" fillId="12" borderId="162" applyNumberFormat="0" applyProtection="0">
      <alignment horizontal="right" vertical="center"/>
    </xf>
    <xf numFmtId="4" fontId="51" fillId="45" borderId="162" applyNumberFormat="0" applyProtection="0">
      <alignment horizontal="right" vertical="center"/>
    </xf>
    <xf numFmtId="4" fontId="51" fillId="15" borderId="162" applyNumberFormat="0" applyProtection="0">
      <alignment horizontal="right" vertical="center"/>
    </xf>
    <xf numFmtId="4" fontId="51" fillId="17" borderId="162" applyNumberFormat="0" applyProtection="0">
      <alignment horizontal="right" vertical="center"/>
    </xf>
    <xf numFmtId="4" fontId="51" fillId="16" borderId="162" applyNumberFormat="0" applyProtection="0">
      <alignment horizontal="right" vertical="center"/>
    </xf>
    <xf numFmtId="4" fontId="51" fillId="19" borderId="162" applyNumberFormat="0" applyProtection="0">
      <alignment horizontal="right" vertical="center"/>
    </xf>
    <xf numFmtId="4" fontId="53" fillId="46" borderId="162" applyNumberFormat="0" applyProtection="0">
      <alignment horizontal="left" vertical="center" indent="1"/>
    </xf>
    <xf numFmtId="4" fontId="51" fillId="47" borderId="163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" fillId="47" borderId="162" applyNumberFormat="0" applyProtection="0">
      <alignment horizontal="left" vertical="center" indent="1"/>
    </xf>
    <xf numFmtId="4" fontId="5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49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0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33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1" fillId="20" borderId="162" applyNumberFormat="0" applyProtection="0">
      <alignment vertical="center"/>
    </xf>
    <xf numFmtId="4" fontId="52" fillId="20" borderId="162" applyNumberFormat="0" applyProtection="0">
      <alignment vertical="center"/>
    </xf>
    <xf numFmtId="4" fontId="51" fillId="20" borderId="162" applyNumberFormat="0" applyProtection="0">
      <alignment horizontal="left" vertical="center" indent="1"/>
    </xf>
    <xf numFmtId="4" fontId="51" fillId="20" borderId="162" applyNumberFormat="0" applyProtection="0">
      <alignment horizontal="left" vertical="center" indent="1"/>
    </xf>
    <xf numFmtId="4" fontId="51" fillId="47" borderId="162" applyNumberFormat="0" applyProtection="0">
      <alignment horizontal="right" vertical="center"/>
    </xf>
    <xf numFmtId="4" fontId="52" fillId="47" borderId="162" applyNumberFormat="0" applyProtection="0">
      <alignment horizontal="right" vertical="center"/>
    </xf>
    <xf numFmtId="0" fontId="4" fillId="11" borderId="162" applyNumberFormat="0" applyProtection="0">
      <alignment horizontal="left" vertical="center" indent="1"/>
    </xf>
    <xf numFmtId="0" fontId="4" fillId="11" borderId="162" applyNumberFormat="0" applyProtection="0">
      <alignment horizontal="left" vertical="center" indent="1"/>
    </xf>
    <xf numFmtId="4" fontId="56" fillId="47" borderId="162" applyNumberFormat="0" applyProtection="0">
      <alignment horizontal="right" vertical="center"/>
    </xf>
    <xf numFmtId="4" fontId="52" fillId="13" borderId="165" applyNumberFormat="0" applyProtection="0">
      <alignment vertical="center"/>
    </xf>
    <xf numFmtId="4" fontId="51" fillId="13" borderId="165" applyNumberFormat="0" applyProtection="0">
      <alignment horizontal="left" vertical="center" indent="1"/>
    </xf>
    <xf numFmtId="4" fontId="51" fillId="1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35" borderId="165" applyNumberFormat="0" applyProtection="0">
      <alignment horizontal="right" vertical="center"/>
    </xf>
    <xf numFmtId="4" fontId="51" fillId="43" borderId="165" applyNumberFormat="0" applyProtection="0">
      <alignment horizontal="right" vertical="center"/>
    </xf>
    <xf numFmtId="4" fontId="51" fillId="44" borderId="165" applyNumberFormat="0" applyProtection="0">
      <alignment horizontal="right" vertical="center"/>
    </xf>
    <xf numFmtId="4" fontId="51" fillId="12" borderId="165" applyNumberFormat="0" applyProtection="0">
      <alignment horizontal="right" vertical="center"/>
    </xf>
    <xf numFmtId="4" fontId="51" fillId="45" borderId="165" applyNumberFormat="0" applyProtection="0">
      <alignment horizontal="right" vertical="center"/>
    </xf>
    <xf numFmtId="4" fontId="51" fillId="15" borderId="165" applyNumberFormat="0" applyProtection="0">
      <alignment horizontal="right" vertical="center"/>
    </xf>
    <xf numFmtId="4" fontId="51" fillId="17" borderId="165" applyNumberFormat="0" applyProtection="0">
      <alignment horizontal="right" vertical="center"/>
    </xf>
    <xf numFmtId="4" fontId="51" fillId="16" borderId="165" applyNumberFormat="0" applyProtection="0">
      <alignment horizontal="right" vertical="center"/>
    </xf>
    <xf numFmtId="4" fontId="51" fillId="19" borderId="165" applyNumberFormat="0" applyProtection="0">
      <alignment horizontal="right" vertical="center"/>
    </xf>
    <xf numFmtId="4" fontId="53" fillId="46" borderId="165" applyNumberFormat="0" applyProtection="0">
      <alignment horizontal="left" vertical="center" indent="1"/>
    </xf>
    <xf numFmtId="4" fontId="51" fillId="47" borderId="166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" fillId="47" borderId="165" applyNumberFormat="0" applyProtection="0">
      <alignment horizontal="left" vertical="center" indent="1"/>
    </xf>
    <xf numFmtId="4" fontId="5" fillId="49" borderId="165" applyNumberFormat="0" applyProtection="0">
      <alignment horizontal="left" vertical="center" indent="1"/>
    </xf>
    <xf numFmtId="0" fontId="4" fillId="49" borderId="165" applyNumberFormat="0" applyProtection="0">
      <alignment horizontal="left" vertical="center" indent="1"/>
    </xf>
    <xf numFmtId="0" fontId="4" fillId="49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0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33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1" fillId="20" borderId="165" applyNumberFormat="0" applyProtection="0">
      <alignment vertical="center"/>
    </xf>
    <xf numFmtId="4" fontId="52" fillId="20" borderId="165" applyNumberFormat="0" applyProtection="0">
      <alignment vertical="center"/>
    </xf>
    <xf numFmtId="4" fontId="51" fillId="20" borderId="165" applyNumberFormat="0" applyProtection="0">
      <alignment horizontal="left" vertical="center" indent="1"/>
    </xf>
    <xf numFmtId="4" fontId="51" fillId="20" borderId="165" applyNumberFormat="0" applyProtection="0">
      <alignment horizontal="left" vertical="center" indent="1"/>
    </xf>
    <xf numFmtId="4" fontId="51" fillId="47" borderId="165" applyNumberFormat="0" applyProtection="0">
      <alignment horizontal="right" vertical="center"/>
    </xf>
    <xf numFmtId="4" fontId="52" fillId="47" borderId="165" applyNumberFormat="0" applyProtection="0">
      <alignment horizontal="right" vertical="center"/>
    </xf>
    <xf numFmtId="0" fontId="4" fillId="11" borderId="165" applyNumberFormat="0" applyProtection="0">
      <alignment horizontal="left" vertical="center" indent="1"/>
    </xf>
    <xf numFmtId="0" fontId="4" fillId="11" borderId="165" applyNumberFormat="0" applyProtection="0">
      <alignment horizontal="left" vertical="center" indent="1"/>
    </xf>
    <xf numFmtId="4" fontId="56" fillId="47" borderId="165" applyNumberFormat="0" applyProtection="0">
      <alignment horizontal="right" vertical="center"/>
    </xf>
    <xf numFmtId="0" fontId="1" fillId="0" borderId="0"/>
    <xf numFmtId="4" fontId="51" fillId="13" borderId="179" applyNumberFormat="0" applyProtection="0">
      <alignment vertical="center"/>
    </xf>
    <xf numFmtId="4" fontId="52" fillId="13" borderId="179" applyNumberFormat="0" applyProtection="0">
      <alignment vertical="center"/>
    </xf>
    <xf numFmtId="4" fontId="51" fillId="13" borderId="179" applyNumberFormat="0" applyProtection="0">
      <alignment horizontal="left" vertical="center" indent="1"/>
    </xf>
    <xf numFmtId="4" fontId="51" fillId="1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35" borderId="179" applyNumberFormat="0" applyProtection="0">
      <alignment horizontal="right" vertical="center"/>
    </xf>
    <xf numFmtId="4" fontId="51" fillId="43" borderId="179" applyNumberFormat="0" applyProtection="0">
      <alignment horizontal="right" vertical="center"/>
    </xf>
    <xf numFmtId="4" fontId="51" fillId="44" borderId="179" applyNumberFormat="0" applyProtection="0">
      <alignment horizontal="right" vertical="center"/>
    </xf>
    <xf numFmtId="4" fontId="51" fillId="12" borderId="179" applyNumberFormat="0" applyProtection="0">
      <alignment horizontal="right" vertical="center"/>
    </xf>
    <xf numFmtId="4" fontId="51" fillId="45" borderId="179" applyNumberFormat="0" applyProtection="0">
      <alignment horizontal="right" vertical="center"/>
    </xf>
    <xf numFmtId="4" fontId="51" fillId="15" borderId="179" applyNumberFormat="0" applyProtection="0">
      <alignment horizontal="right" vertical="center"/>
    </xf>
    <xf numFmtId="4" fontId="51" fillId="17" borderId="179" applyNumberFormat="0" applyProtection="0">
      <alignment horizontal="right" vertical="center"/>
    </xf>
    <xf numFmtId="4" fontId="51" fillId="16" borderId="179" applyNumberFormat="0" applyProtection="0">
      <alignment horizontal="right" vertical="center"/>
    </xf>
    <xf numFmtId="4" fontId="51" fillId="19" borderId="179" applyNumberFormat="0" applyProtection="0">
      <alignment horizontal="right" vertical="center"/>
    </xf>
    <xf numFmtId="4" fontId="53" fillId="46" borderId="179" applyNumberFormat="0" applyProtection="0">
      <alignment horizontal="left" vertical="center" indent="1"/>
    </xf>
    <xf numFmtId="4" fontId="51" fillId="47" borderId="180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" fillId="47" borderId="179" applyNumberFormat="0" applyProtection="0">
      <alignment horizontal="left" vertical="center" indent="1"/>
    </xf>
    <xf numFmtId="4" fontId="5" fillId="49" borderId="179" applyNumberFormat="0" applyProtection="0">
      <alignment horizontal="left" vertical="center" indent="1"/>
    </xf>
    <xf numFmtId="0" fontId="4" fillId="49" borderId="179" applyNumberFormat="0" applyProtection="0">
      <alignment horizontal="left" vertical="center" indent="1"/>
    </xf>
    <xf numFmtId="0" fontId="4" fillId="49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0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33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1" fillId="20" borderId="179" applyNumberFormat="0" applyProtection="0">
      <alignment vertical="center"/>
    </xf>
    <xf numFmtId="4" fontId="52" fillId="20" borderId="179" applyNumberFormat="0" applyProtection="0">
      <alignment vertical="center"/>
    </xf>
    <xf numFmtId="4" fontId="51" fillId="20" borderId="179" applyNumberFormat="0" applyProtection="0">
      <alignment horizontal="left" vertical="center" indent="1"/>
    </xf>
    <xf numFmtId="4" fontId="51" fillId="20" borderId="179" applyNumberFormat="0" applyProtection="0">
      <alignment horizontal="left" vertical="center" indent="1"/>
    </xf>
    <xf numFmtId="4" fontId="51" fillId="47" borderId="179" applyNumberFormat="0" applyProtection="0">
      <alignment horizontal="right" vertical="center"/>
    </xf>
    <xf numFmtId="4" fontId="52" fillId="47" borderId="179" applyNumberFormat="0" applyProtection="0">
      <alignment horizontal="right" vertical="center"/>
    </xf>
    <xf numFmtId="0" fontId="4" fillId="11" borderId="179" applyNumberFormat="0" applyProtection="0">
      <alignment horizontal="left" vertical="center" indent="1"/>
    </xf>
    <xf numFmtId="0" fontId="4" fillId="11" borderId="179" applyNumberFormat="0" applyProtection="0">
      <alignment horizontal="left" vertical="center" indent="1"/>
    </xf>
    <xf numFmtId="4" fontId="56" fillId="47" borderId="179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1" fillId="12" borderId="181" applyNumberFormat="0" applyProtection="0">
      <alignment horizontal="right" vertical="center"/>
    </xf>
    <xf numFmtId="4" fontId="51" fillId="13" borderId="181" applyNumberFormat="0" applyProtection="0">
      <alignment horizontal="left" vertical="center" indent="1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1" fillId="17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0" fontId="1" fillId="0" borderId="0"/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6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0" fontId="4" fillId="30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0" fontId="4" fillId="49" borderId="181" applyNumberFormat="0" applyProtection="0">
      <alignment horizontal="left" vertical="center" indent="1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7" borderId="182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45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15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4" fontId="51" fillId="47" borderId="182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4" fontId="51" fillId="19" borderId="181" applyNumberFormat="0" applyProtection="0">
      <alignment horizontal="right" vertical="center"/>
    </xf>
    <xf numFmtId="4" fontId="56" fillId="47" borderId="181" applyNumberFormat="0" applyProtection="0">
      <alignment horizontal="right" vertical="center"/>
    </xf>
    <xf numFmtId="4" fontId="51" fillId="13" borderId="181" applyNumberFormat="0" applyProtection="0">
      <alignment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  <xf numFmtId="4" fontId="52" fillId="13" borderId="181" applyNumberFormat="0" applyProtection="0">
      <alignment vertical="center"/>
    </xf>
    <xf numFmtId="4" fontId="51" fillId="13" borderId="181" applyNumberFormat="0" applyProtection="0">
      <alignment horizontal="left" vertical="center" indent="1"/>
    </xf>
    <xf numFmtId="4" fontId="51" fillId="1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35" borderId="181" applyNumberFormat="0" applyProtection="0">
      <alignment horizontal="right" vertical="center"/>
    </xf>
    <xf numFmtId="4" fontId="51" fillId="43" borderId="181" applyNumberFormat="0" applyProtection="0">
      <alignment horizontal="right" vertical="center"/>
    </xf>
    <xf numFmtId="4" fontId="51" fillId="44" borderId="181" applyNumberFormat="0" applyProtection="0">
      <alignment horizontal="right" vertical="center"/>
    </xf>
    <xf numFmtId="4" fontId="51" fillId="12" borderId="181" applyNumberFormat="0" applyProtection="0">
      <alignment horizontal="right" vertical="center"/>
    </xf>
    <xf numFmtId="4" fontId="51" fillId="45" borderId="181" applyNumberFormat="0" applyProtection="0">
      <alignment horizontal="right" vertical="center"/>
    </xf>
    <xf numFmtId="4" fontId="51" fillId="15" borderId="181" applyNumberFormat="0" applyProtection="0">
      <alignment horizontal="right" vertical="center"/>
    </xf>
    <xf numFmtId="4" fontId="51" fillId="17" borderId="181" applyNumberFormat="0" applyProtection="0">
      <alignment horizontal="right" vertical="center"/>
    </xf>
    <xf numFmtId="4" fontId="51" fillId="16" borderId="181" applyNumberFormat="0" applyProtection="0">
      <alignment horizontal="right" vertical="center"/>
    </xf>
    <xf numFmtId="4" fontId="51" fillId="19" borderId="181" applyNumberFormat="0" applyProtection="0">
      <alignment horizontal="right" vertical="center"/>
    </xf>
    <xf numFmtId="4" fontId="53" fillId="46" borderId="181" applyNumberFormat="0" applyProtection="0">
      <alignment horizontal="left" vertical="center" indent="1"/>
    </xf>
    <xf numFmtId="4" fontId="51" fillId="47" borderId="182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" fillId="47" borderId="181" applyNumberFormat="0" applyProtection="0">
      <alignment horizontal="left" vertical="center" indent="1"/>
    </xf>
    <xf numFmtId="4" fontId="5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49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0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33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1" fillId="20" borderId="181" applyNumberFormat="0" applyProtection="0">
      <alignment vertical="center"/>
    </xf>
    <xf numFmtId="4" fontId="52" fillId="20" borderId="181" applyNumberFormat="0" applyProtection="0">
      <alignment vertical="center"/>
    </xf>
    <xf numFmtId="4" fontId="51" fillId="20" borderId="181" applyNumberFormat="0" applyProtection="0">
      <alignment horizontal="left" vertical="center" indent="1"/>
    </xf>
    <xf numFmtId="4" fontId="51" fillId="20" borderId="181" applyNumberFormat="0" applyProtection="0">
      <alignment horizontal="left" vertical="center" indent="1"/>
    </xf>
    <xf numFmtId="4" fontId="51" fillId="47" borderId="181" applyNumberFormat="0" applyProtection="0">
      <alignment horizontal="right" vertical="center"/>
    </xf>
    <xf numFmtId="4" fontId="52" fillId="47" borderId="181" applyNumberFormat="0" applyProtection="0">
      <alignment horizontal="right" vertical="center"/>
    </xf>
    <xf numFmtId="0" fontId="4" fillId="11" borderId="181" applyNumberFormat="0" applyProtection="0">
      <alignment horizontal="left" vertical="center" indent="1"/>
    </xf>
    <xf numFmtId="0" fontId="4" fillId="11" borderId="181" applyNumberFormat="0" applyProtection="0">
      <alignment horizontal="left" vertical="center" indent="1"/>
    </xf>
    <xf numFmtId="4" fontId="56" fillId="47" borderId="181" applyNumberFormat="0" applyProtection="0">
      <alignment horizontal="right" vertical="center"/>
    </xf>
  </cellStyleXfs>
  <cellXfs count="3488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70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80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80" xfId="4" applyFont="1" applyBorder="1" applyAlignment="1">
      <alignment horizontal="center" vertical="center" wrapText="1"/>
    </xf>
    <xf numFmtId="3" fontId="27" fillId="21" borderId="70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7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7" fillId="13" borderId="0" xfId="4" applyFont="1" applyFill="1" applyBorder="1" applyAlignment="1">
      <alignment horizontal="right" vertical="center"/>
    </xf>
    <xf numFmtId="3" fontId="7" fillId="13" borderId="10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7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70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63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5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3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70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7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7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24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2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70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32" fillId="0" borderId="10" xfId="6" applyNumberFormat="1" applyFont="1" applyFill="1" applyBorder="1" applyAlignment="1">
      <alignment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7" fillId="0" borderId="65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70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27" fillId="13" borderId="9" xfId="4" applyNumberFormat="1" applyFont="1" applyFill="1" applyBorder="1" applyAlignment="1">
      <alignment horizontal="right" vertical="center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4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8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9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7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70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4" xfId="4" applyNumberFormat="1" applyFont="1" applyFill="1" applyBorder="1" applyAlignment="1">
      <alignment vertical="center" wrapText="1"/>
    </xf>
    <xf numFmtId="0" fontId="31" fillId="0" borderId="85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9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center"/>
    </xf>
    <xf numFmtId="0" fontId="16" fillId="2" borderId="87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80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3" fontId="25" fillId="22" borderId="29" xfId="4" applyNumberFormat="1" applyFont="1" applyFill="1" applyBorder="1" applyAlignment="1">
      <alignment horizontal="right" vertical="center"/>
    </xf>
    <xf numFmtId="0" fontId="32" fillId="0" borderId="38" xfId="0" applyFont="1" applyBorder="1" applyAlignment="1">
      <alignment horizontal="center" vertical="center" wrapText="1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7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7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0" fillId="0" borderId="0" xfId="0" applyNumberFormat="1" applyFont="1"/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2" xfId="4" applyNumberFormat="1" applyFont="1" applyFill="1" applyBorder="1" applyAlignment="1">
      <alignment horizontal="right" vertical="center"/>
    </xf>
    <xf numFmtId="3" fontId="25" fillId="22" borderId="71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4" xfId="4" applyNumberFormat="1" applyFont="1" applyFill="1" applyBorder="1" applyAlignment="1">
      <alignment horizontal="right" vertical="center"/>
    </xf>
    <xf numFmtId="3" fontId="24" fillId="8" borderId="2" xfId="0" applyNumberFormat="1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4" xfId="4" applyNumberFormat="1" applyFont="1" applyFill="1" applyBorder="1" applyAlignment="1">
      <alignment horizontal="right" vertical="center"/>
    </xf>
    <xf numFmtId="3" fontId="31" fillId="0" borderId="65" xfId="4" applyNumberFormat="1" applyFont="1" applyFill="1" applyBorder="1" applyAlignment="1">
      <alignment vertical="center"/>
    </xf>
    <xf numFmtId="3" fontId="32" fillId="8" borderId="72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2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3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5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80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vertical="center" wrapText="1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7" fillId="0" borderId="47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5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71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9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70" xfId="4" applyNumberFormat="1" applyFont="1" applyFill="1" applyBorder="1" applyAlignment="1">
      <alignment horizontal="right" vertical="center"/>
    </xf>
    <xf numFmtId="43" fontId="31" fillId="0" borderId="72" xfId="1" applyFont="1" applyFill="1" applyBorder="1" applyAlignment="1">
      <alignment horizontal="right" vertical="center"/>
    </xf>
    <xf numFmtId="3" fontId="27" fillId="25" borderId="92" xfId="4" applyNumberFormat="1" applyFont="1" applyFill="1" applyBorder="1" applyAlignment="1">
      <alignment horizontal="right" vertical="center"/>
    </xf>
    <xf numFmtId="3" fontId="25" fillId="22" borderId="90" xfId="4" applyNumberFormat="1" applyFont="1" applyFill="1" applyBorder="1" applyAlignment="1">
      <alignment horizontal="right" vertical="center"/>
    </xf>
    <xf numFmtId="3" fontId="7" fillId="0" borderId="94" xfId="4" applyNumberFormat="1" applyFont="1" applyFill="1" applyBorder="1" applyAlignment="1">
      <alignment horizontal="right" vertical="center"/>
    </xf>
    <xf numFmtId="3" fontId="33" fillId="0" borderId="92" xfId="6" applyNumberFormat="1" applyFont="1" applyFill="1" applyBorder="1" applyAlignment="1">
      <alignment vertical="center"/>
    </xf>
    <xf numFmtId="3" fontId="33" fillId="0" borderId="90" xfId="6" applyNumberFormat="1" applyFont="1" applyFill="1" applyBorder="1" applyAlignment="1">
      <alignment vertical="center"/>
    </xf>
    <xf numFmtId="0" fontId="25" fillId="6" borderId="93" xfId="4" applyFont="1" applyFill="1" applyBorder="1" applyAlignment="1">
      <alignment horizontal="left" vertical="center"/>
    </xf>
    <xf numFmtId="3" fontId="27" fillId="2" borderId="93" xfId="4" applyNumberFormat="1" applyFont="1" applyFill="1" applyBorder="1" applyAlignment="1">
      <alignment vertical="center" wrapText="1"/>
    </xf>
    <xf numFmtId="3" fontId="27" fillId="0" borderId="95" xfId="4" applyNumberFormat="1" applyFont="1" applyFill="1" applyBorder="1" applyAlignment="1">
      <alignment horizontal="right" vertical="center"/>
    </xf>
    <xf numFmtId="3" fontId="27" fillId="0" borderId="94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90" xfId="0" applyNumberFormat="1" applyFont="1" applyFill="1" applyBorder="1" applyAlignment="1">
      <alignment vertical="center"/>
    </xf>
    <xf numFmtId="3" fontId="29" fillId="23" borderId="90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90" xfId="0" applyNumberFormat="1" applyFont="1" applyFill="1" applyBorder="1" applyAlignment="1">
      <alignment vertical="center"/>
    </xf>
    <xf numFmtId="3" fontId="7" fillId="23" borderId="90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90" xfId="1" applyFont="1" applyFill="1" applyBorder="1" applyAlignment="1">
      <alignment vertical="center"/>
    </xf>
    <xf numFmtId="0" fontId="7" fillId="8" borderId="97" xfId="0" applyFont="1" applyFill="1" applyBorder="1" applyAlignment="1">
      <alignment vertical="top" wrapText="1"/>
    </xf>
    <xf numFmtId="0" fontId="7" fillId="8" borderId="91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7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2" xfId="0" applyNumberFormat="1" applyFont="1" applyFill="1" applyBorder="1" applyAlignment="1">
      <alignment vertical="top"/>
    </xf>
    <xf numFmtId="3" fontId="27" fillId="2" borderId="92" xfId="0" applyNumberFormat="1" applyFont="1" applyFill="1" applyBorder="1" applyAlignment="1">
      <alignment vertical="top"/>
    </xf>
    <xf numFmtId="3" fontId="25" fillId="25" borderId="90" xfId="0" applyNumberFormat="1" applyFont="1" applyFill="1" applyBorder="1" applyAlignment="1">
      <alignment vertical="top"/>
    </xf>
    <xf numFmtId="3" fontId="31" fillId="0" borderId="92" xfId="0" applyNumberFormat="1" applyFont="1" applyFill="1" applyBorder="1" applyAlignment="1">
      <alignment vertical="top"/>
    </xf>
    <xf numFmtId="3" fontId="27" fillId="0" borderId="92" xfId="0" applyNumberFormat="1" applyFont="1" applyFill="1" applyBorder="1" applyAlignment="1">
      <alignment vertical="top"/>
    </xf>
    <xf numFmtId="0" fontId="31" fillId="0" borderId="97" xfId="0" applyFont="1" applyFill="1" applyBorder="1" applyAlignment="1">
      <alignment horizontal="left" vertical="center" wrapText="1"/>
    </xf>
    <xf numFmtId="3" fontId="31" fillId="0" borderId="90" xfId="0" applyNumberFormat="1" applyFont="1" applyFill="1" applyBorder="1" applyAlignment="1">
      <alignment vertical="top"/>
    </xf>
    <xf numFmtId="0" fontId="27" fillId="2" borderId="96" xfId="4" applyFont="1" applyFill="1" applyBorder="1" applyAlignment="1">
      <alignment vertical="top"/>
    </xf>
    <xf numFmtId="0" fontId="31" fillId="0" borderId="77" xfId="4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2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19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0" fontId="31" fillId="8" borderId="18" xfId="0" applyFont="1" applyFill="1" applyBorder="1" applyAlignment="1">
      <alignment vertical="top"/>
    </xf>
    <xf numFmtId="0" fontId="31" fillId="8" borderId="17" xfId="0" applyFont="1" applyFill="1" applyBorder="1" applyAlignment="1">
      <alignment vertical="top"/>
    </xf>
    <xf numFmtId="3" fontId="31" fillId="8" borderId="79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3" xfId="0" applyFont="1" applyBorder="1"/>
    <xf numFmtId="0" fontId="0" fillId="0" borderId="102" xfId="0" applyFont="1" applyBorder="1"/>
    <xf numFmtId="3" fontId="0" fillId="0" borderId="102" xfId="0" applyNumberFormat="1" applyFont="1" applyBorder="1"/>
    <xf numFmtId="0" fontId="39" fillId="0" borderId="102" xfId="0" applyFont="1" applyBorder="1"/>
    <xf numFmtId="3" fontId="25" fillId="22" borderId="102" xfId="4" applyNumberFormat="1" applyFont="1" applyFill="1" applyBorder="1" applyAlignment="1">
      <alignment horizontal="right" vertical="center"/>
    </xf>
    <xf numFmtId="3" fontId="33" fillId="0" borderId="102" xfId="6" applyNumberFormat="1" applyFont="1" applyFill="1" applyBorder="1" applyAlignment="1">
      <alignment vertical="center"/>
    </xf>
    <xf numFmtId="3" fontId="32" fillId="0" borderId="102" xfId="6" applyNumberFormat="1" applyFont="1" applyFill="1" applyBorder="1" applyAlignment="1">
      <alignment vertical="center"/>
    </xf>
    <xf numFmtId="3" fontId="25" fillId="6" borderId="102" xfId="4" applyNumberFormat="1" applyFont="1" applyFill="1" applyBorder="1" applyAlignment="1">
      <alignment horizontal="right" vertical="center"/>
    </xf>
    <xf numFmtId="0" fontId="0" fillId="0" borderId="102" xfId="0" applyFont="1" applyFill="1" applyBorder="1"/>
    <xf numFmtId="0" fontId="0" fillId="0" borderId="102" xfId="0" applyFont="1" applyBorder="1" applyAlignment="1">
      <alignment vertical="center"/>
    </xf>
    <xf numFmtId="0" fontId="27" fillId="50" borderId="28" xfId="4" applyFont="1" applyFill="1" applyBorder="1" applyAlignment="1">
      <alignment horizontal="left" vertical="center"/>
    </xf>
    <xf numFmtId="3" fontId="27" fillId="50" borderId="92" xfId="4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103" xfId="4" applyNumberFormat="1" applyFont="1" applyFill="1" applyBorder="1" applyAlignment="1">
      <alignment horizontal="right" vertical="center"/>
    </xf>
    <xf numFmtId="3" fontId="27" fillId="0" borderId="103" xfId="4" applyNumberFormat="1" applyFont="1" applyFill="1" applyBorder="1" applyAlignment="1">
      <alignment horizontal="right" vertical="center"/>
    </xf>
    <xf numFmtId="3" fontId="27" fillId="25" borderId="103" xfId="4" applyNumberFormat="1" applyFont="1" applyFill="1" applyBorder="1" applyAlignment="1">
      <alignment horizontal="right" vertical="center"/>
    </xf>
    <xf numFmtId="3" fontId="7" fillId="0" borderId="103" xfId="4" applyNumberFormat="1" applyFont="1" applyFill="1" applyBorder="1" applyAlignment="1">
      <alignment horizontal="right" vertical="center"/>
    </xf>
    <xf numFmtId="3" fontId="31" fillId="0" borderId="103" xfId="4" applyNumberFormat="1" applyFont="1" applyFill="1" applyBorder="1" applyAlignment="1">
      <alignment horizontal="right" vertical="center"/>
    </xf>
    <xf numFmtId="3" fontId="31" fillId="25" borderId="103" xfId="4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vertical="center"/>
    </xf>
    <xf numFmtId="3" fontId="7" fillId="0" borderId="101" xfId="4" applyNumberFormat="1" applyFont="1" applyFill="1" applyBorder="1" applyAlignment="1">
      <alignment horizontal="right" vertical="center"/>
    </xf>
    <xf numFmtId="3" fontId="7" fillId="0" borderId="107" xfId="4" applyNumberFormat="1" applyFont="1" applyFill="1" applyBorder="1" applyAlignment="1">
      <alignment horizontal="right" vertical="center"/>
    </xf>
    <xf numFmtId="3" fontId="29" fillId="25" borderId="103" xfId="4" applyNumberFormat="1" applyFont="1" applyFill="1" applyBorder="1" applyAlignment="1">
      <alignment horizontal="right" vertical="center"/>
    </xf>
    <xf numFmtId="3" fontId="31" fillId="0" borderId="107" xfId="4" applyNumberFormat="1" applyFont="1" applyFill="1" applyBorder="1" applyAlignment="1">
      <alignment horizontal="right" vertical="center"/>
    </xf>
    <xf numFmtId="0" fontId="25" fillId="6" borderId="112" xfId="4" applyFont="1" applyFill="1" applyBorder="1" applyAlignment="1">
      <alignment horizontal="left" vertical="center"/>
    </xf>
    <xf numFmtId="3" fontId="23" fillId="6" borderId="103" xfId="6" applyNumberFormat="1" applyFont="1" applyFill="1" applyBorder="1" applyAlignment="1">
      <alignment horizontal="right" vertical="center"/>
    </xf>
    <xf numFmtId="3" fontId="33" fillId="0" borderId="103" xfId="6" applyNumberFormat="1" applyFont="1" applyFill="1" applyBorder="1" applyAlignment="1">
      <alignment horizontal="right" vertical="center"/>
    </xf>
    <xf numFmtId="3" fontId="25" fillId="6" borderId="103" xfId="0" applyNumberFormat="1" applyFont="1" applyFill="1" applyBorder="1" applyAlignment="1">
      <alignment vertical="top"/>
    </xf>
    <xf numFmtId="3" fontId="27" fillId="2" borderId="103" xfId="0" applyNumberFormat="1" applyFont="1" applyFill="1" applyBorder="1" applyAlignment="1">
      <alignment vertical="top"/>
    </xf>
    <xf numFmtId="3" fontId="27" fillId="0" borderId="103" xfId="0" applyNumberFormat="1" applyFont="1" applyFill="1" applyBorder="1" applyAlignment="1">
      <alignment vertical="top"/>
    </xf>
    <xf numFmtId="3" fontId="24" fillId="6" borderId="103" xfId="4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3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43" fontId="7" fillId="0" borderId="74" xfId="1" applyFont="1" applyFill="1" applyBorder="1" applyAlignment="1">
      <alignment horizontal="right" vertical="center"/>
    </xf>
    <xf numFmtId="3" fontId="24" fillId="8" borderId="79" xfId="4" applyNumberFormat="1" applyFont="1" applyFill="1" applyBorder="1" applyAlignment="1">
      <alignment horizontal="right" vertical="center"/>
    </xf>
    <xf numFmtId="43" fontId="31" fillId="0" borderId="107" xfId="1" applyFont="1" applyFill="1" applyBorder="1" applyAlignment="1">
      <alignment horizontal="right" vertical="center"/>
    </xf>
    <xf numFmtId="3" fontId="63" fillId="8" borderId="17" xfId="6" applyNumberFormat="1" applyFont="1" applyFill="1" applyBorder="1" applyAlignment="1">
      <alignment vertical="center"/>
    </xf>
    <xf numFmtId="3" fontId="7" fillId="8" borderId="2" xfId="4" applyNumberFormat="1" applyFont="1" applyFill="1" applyBorder="1" applyAlignment="1">
      <alignment horizontal="right" vertical="center"/>
    </xf>
    <xf numFmtId="3" fontId="33" fillId="0" borderId="71" xfId="6" applyNumberFormat="1" applyFont="1" applyFill="1" applyBorder="1" applyAlignment="1">
      <alignment vertical="center"/>
    </xf>
    <xf numFmtId="0" fontId="17" fillId="8" borderId="6" xfId="4" applyFont="1" applyFill="1" applyBorder="1" applyAlignment="1">
      <alignment vertical="top"/>
    </xf>
    <xf numFmtId="0" fontId="27" fillId="50" borderId="93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9" fillId="54" borderId="0" xfId="0" applyFont="1" applyFill="1" applyBorder="1"/>
    <xf numFmtId="0" fontId="6" fillId="0" borderId="28" xfId="0" applyFont="1" applyFill="1" applyBorder="1" applyAlignment="1">
      <alignment vertical="center" wrapText="1"/>
    </xf>
    <xf numFmtId="0" fontId="31" fillId="6" borderId="28" xfId="0" applyFont="1" applyFill="1" applyBorder="1" applyAlignment="1">
      <alignment vertical="center"/>
    </xf>
    <xf numFmtId="3" fontId="25" fillId="22" borderId="92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2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3" fillId="6" borderId="116" xfId="6" applyNumberFormat="1" applyFont="1" applyFill="1" applyBorder="1" applyAlignment="1">
      <alignment horizontal="right" vertical="center"/>
    </xf>
    <xf numFmtId="43" fontId="23" fillId="6" borderId="116" xfId="1" applyFont="1" applyFill="1" applyBorder="1" applyAlignment="1">
      <alignment horizontal="right"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3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7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7" fillId="0" borderId="106" xfId="4" applyFont="1" applyFill="1" applyBorder="1" applyAlignment="1">
      <alignment horizontal="left" vertical="center"/>
    </xf>
    <xf numFmtId="0" fontId="31" fillId="0" borderId="7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3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5" fillId="6" borderId="104" xfId="4" applyFont="1" applyFill="1" applyBorder="1" applyAlignment="1">
      <alignment horizontal="left" vertical="center"/>
    </xf>
    <xf numFmtId="3" fontId="25" fillId="6" borderId="116" xfId="4" applyNumberFormat="1" applyFont="1" applyFill="1" applyBorder="1" applyAlignment="1">
      <alignment horizontal="right" vertical="center"/>
    </xf>
    <xf numFmtId="3" fontId="25" fillId="22" borderId="115" xfId="4" applyNumberFormat="1" applyFont="1" applyFill="1" applyBorder="1" applyAlignment="1">
      <alignment horizontal="right" vertical="center"/>
    </xf>
    <xf numFmtId="3" fontId="27" fillId="25" borderId="116" xfId="4" applyNumberFormat="1" applyFont="1" applyFill="1" applyBorder="1" applyAlignment="1">
      <alignment horizontal="right" vertical="center"/>
    </xf>
    <xf numFmtId="3" fontId="27" fillId="2" borderId="112" xfId="4" applyNumberFormat="1" applyFont="1" applyFill="1" applyBorder="1" applyAlignment="1">
      <alignment vertical="center" wrapText="1"/>
    </xf>
    <xf numFmtId="3" fontId="33" fillId="0" borderId="116" xfId="6" applyNumberFormat="1" applyFont="1" applyFill="1" applyBorder="1" applyAlignment="1">
      <alignment horizontal="right" vertical="center"/>
    </xf>
    <xf numFmtId="3" fontId="24" fillId="22" borderId="116" xfId="4" applyNumberFormat="1" applyFont="1" applyFill="1" applyBorder="1" applyAlignment="1">
      <alignment horizontal="right" vertical="center"/>
    </xf>
    <xf numFmtId="43" fontId="33" fillId="0" borderId="116" xfId="1" applyFont="1" applyFill="1" applyBorder="1" applyAlignment="1">
      <alignment horizontal="right" vertical="center"/>
    </xf>
    <xf numFmtId="3" fontId="29" fillId="25" borderId="116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0" fontId="17" fillId="0" borderId="52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8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3" fontId="31" fillId="0" borderId="107" xfId="4" applyNumberFormat="1" applyFont="1" applyFill="1" applyBorder="1" applyAlignment="1">
      <alignment vertical="center"/>
    </xf>
    <xf numFmtId="0" fontId="27" fillId="2" borderId="32" xfId="4" applyFont="1" applyFill="1" applyBorder="1" applyAlignment="1">
      <alignment vertical="center"/>
    </xf>
    <xf numFmtId="0" fontId="0" fillId="0" borderId="122" xfId="0" applyFont="1" applyBorder="1" applyAlignment="1">
      <alignment vertical="center"/>
    </xf>
    <xf numFmtId="0" fontId="39" fillId="0" borderId="122" xfId="0" applyFont="1" applyBorder="1"/>
    <xf numFmtId="0" fontId="0" fillId="0" borderId="124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24" fillId="22" borderId="102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3" xfId="6" applyNumberFormat="1" applyFont="1" applyFill="1" applyBorder="1" applyAlignment="1">
      <alignment vertical="center"/>
    </xf>
    <xf numFmtId="43" fontId="33" fillId="0" borderId="103" xfId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43" fontId="7" fillId="0" borderId="103" xfId="1" applyFont="1" applyFill="1" applyBorder="1" applyAlignment="1">
      <alignment horizontal="right" vertical="center"/>
    </xf>
    <xf numFmtId="43" fontId="31" fillId="25" borderId="103" xfId="1" applyFont="1" applyFill="1" applyBorder="1" applyAlignment="1">
      <alignment horizontal="right" vertical="center"/>
    </xf>
    <xf numFmtId="43" fontId="31" fillId="0" borderId="103" xfId="1" applyFont="1" applyFill="1" applyBorder="1" applyAlignment="1">
      <alignment horizontal="right" vertical="center"/>
    </xf>
    <xf numFmtId="0" fontId="31" fillId="0" borderId="106" xfId="4" applyFont="1" applyFill="1" applyBorder="1" applyAlignment="1">
      <alignment vertical="center"/>
    </xf>
    <xf numFmtId="43" fontId="24" fillId="6" borderId="103" xfId="1" applyFont="1" applyFill="1" applyBorder="1" applyAlignment="1">
      <alignment vertical="center"/>
    </xf>
    <xf numFmtId="3" fontId="29" fillId="2" borderId="103" xfId="4" applyNumberFormat="1" applyFont="1" applyFill="1" applyBorder="1" applyAlignment="1">
      <alignment vertical="center"/>
    </xf>
    <xf numFmtId="3" fontId="27" fillId="2" borderId="103" xfId="4" applyNumberFormat="1" applyFont="1" applyFill="1" applyBorder="1" applyAlignment="1">
      <alignment vertical="center"/>
    </xf>
    <xf numFmtId="43" fontId="29" fillId="2" borderId="103" xfId="1" applyFont="1" applyFill="1" applyBorder="1" applyAlignment="1">
      <alignment vertical="center"/>
    </xf>
    <xf numFmtId="3" fontId="31" fillId="2" borderId="74" xfId="4" applyNumberFormat="1" applyFont="1" applyFill="1" applyBorder="1" applyAlignment="1">
      <alignment vertical="center"/>
    </xf>
    <xf numFmtId="43" fontId="24" fillId="8" borderId="2" xfId="1" applyFont="1" applyFill="1" applyBorder="1" applyAlignment="1">
      <alignment horizontal="right" vertical="center"/>
    </xf>
    <xf numFmtId="43" fontId="31" fillId="0" borderId="27" xfId="1" applyFont="1" applyFill="1" applyBorder="1" applyAlignment="1">
      <alignment horizontal="right" vertical="center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22" borderId="35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center"/>
    </xf>
    <xf numFmtId="3" fontId="7" fillId="0" borderId="128" xfId="4" applyNumberFormat="1" applyFont="1" applyFill="1" applyBorder="1" applyAlignment="1">
      <alignment horizontal="right" vertical="center"/>
    </xf>
    <xf numFmtId="3" fontId="31" fillId="0" borderId="128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27" fillId="50" borderId="17" xfId="4" applyFont="1" applyFill="1" applyBorder="1" applyAlignment="1">
      <alignment horizontal="left" vertical="center"/>
    </xf>
    <xf numFmtId="3" fontId="32" fillId="8" borderId="37" xfId="6" applyNumberFormat="1" applyFont="1" applyFill="1" applyBorder="1" applyAlignment="1">
      <alignment vertical="center"/>
    </xf>
    <xf numFmtId="0" fontId="24" fillId="6" borderId="132" xfId="4" applyFont="1" applyFill="1" applyBorder="1" applyAlignment="1">
      <alignment horizontal="left" vertical="center"/>
    </xf>
    <xf numFmtId="3" fontId="25" fillId="8" borderId="70" xfId="0" applyNumberFormat="1" applyFont="1" applyFill="1" applyBorder="1" applyAlignment="1">
      <alignment vertical="top"/>
    </xf>
    <xf numFmtId="3" fontId="31" fillId="0" borderId="134" xfId="0" applyNumberFormat="1" applyFont="1" applyFill="1" applyBorder="1" applyAlignment="1">
      <alignment vertical="top"/>
    </xf>
    <xf numFmtId="0" fontId="24" fillId="6" borderId="139" xfId="4" applyFont="1" applyFill="1" applyBorder="1" applyAlignment="1">
      <alignment horizontal="left" vertical="center"/>
    </xf>
    <xf numFmtId="3" fontId="31" fillId="0" borderId="134" xfId="0" applyNumberFormat="1" applyFont="1" applyFill="1" applyBorder="1" applyAlignment="1">
      <alignment vertical="center"/>
    </xf>
    <xf numFmtId="3" fontId="31" fillId="2" borderId="134" xfId="0" applyNumberFormat="1" applyFont="1" applyFill="1" applyBorder="1" applyAlignment="1">
      <alignment vertical="center"/>
    </xf>
    <xf numFmtId="3" fontId="27" fillId="0" borderId="134" xfId="0" applyNumberFormat="1" applyFont="1" applyFill="1" applyBorder="1" applyAlignment="1">
      <alignment vertical="top"/>
    </xf>
    <xf numFmtId="3" fontId="25" fillId="6" borderId="134" xfId="0" applyNumberFormat="1" applyFont="1" applyFill="1" applyBorder="1" applyAlignment="1">
      <alignment vertical="center"/>
    </xf>
    <xf numFmtId="3" fontId="25" fillId="6" borderId="136" xfId="0" applyNumberFormat="1" applyFont="1" applyFill="1" applyBorder="1" applyAlignment="1">
      <alignment vertical="center"/>
    </xf>
    <xf numFmtId="3" fontId="7" fillId="0" borderId="136" xfId="4" applyNumberFormat="1" applyFont="1" applyFill="1" applyBorder="1" applyAlignment="1">
      <alignment horizontal="right" vertical="center"/>
    </xf>
    <xf numFmtId="0" fontId="0" fillId="0" borderId="136" xfId="0" applyFont="1" applyBorder="1"/>
    <xf numFmtId="3" fontId="0" fillId="0" borderId="136" xfId="0" applyNumberFormat="1" applyFont="1" applyBorder="1"/>
    <xf numFmtId="0" fontId="39" fillId="0" borderId="136" xfId="0" applyFont="1" applyBorder="1"/>
    <xf numFmtId="3" fontId="0" fillId="51" borderId="136" xfId="0" applyNumberFormat="1" applyFont="1" applyFill="1" applyBorder="1"/>
    <xf numFmtId="0" fontId="0" fillId="0" borderId="136" xfId="0" applyFont="1" applyBorder="1" applyAlignment="1">
      <alignment vertical="center"/>
    </xf>
    <xf numFmtId="0" fontId="17" fillId="8" borderId="138" xfId="4" applyFont="1" applyFill="1" applyBorder="1" applyAlignment="1">
      <alignment vertical="top"/>
    </xf>
    <xf numFmtId="0" fontId="25" fillId="6" borderId="134" xfId="4" applyFont="1" applyFill="1" applyBorder="1" applyAlignment="1">
      <alignment horizontal="left" vertical="center"/>
    </xf>
    <xf numFmtId="0" fontId="18" fillId="8" borderId="137" xfId="4" applyFont="1" applyFill="1" applyBorder="1" applyAlignment="1">
      <alignment horizontal="center" vertical="center"/>
    </xf>
    <xf numFmtId="0" fontId="7" fillId="8" borderId="128" xfId="4" applyFont="1" applyFill="1" applyBorder="1" applyAlignment="1">
      <alignment vertical="center"/>
    </xf>
    <xf numFmtId="3" fontId="32" fillId="8" borderId="128" xfId="6" applyNumberFormat="1" applyFont="1" applyFill="1" applyBorder="1" applyAlignment="1">
      <alignment vertical="center"/>
    </xf>
    <xf numFmtId="3" fontId="18" fillId="8" borderId="130" xfId="4" applyNumberFormat="1" applyFont="1" applyFill="1" applyBorder="1" applyAlignment="1">
      <alignment horizontal="center" vertical="top"/>
    </xf>
    <xf numFmtId="3" fontId="25" fillId="22" borderId="134" xfId="4" applyNumberFormat="1" applyFont="1" applyFill="1" applyBorder="1" applyAlignment="1">
      <alignment horizontal="right" vertical="center"/>
    </xf>
    <xf numFmtId="3" fontId="29" fillId="0" borderId="134" xfId="4" applyNumberFormat="1" applyFont="1" applyFill="1" applyBorder="1" applyAlignment="1">
      <alignment horizontal="right" vertical="center"/>
    </xf>
    <xf numFmtId="3" fontId="7" fillId="0" borderId="134" xfId="4" applyNumberFormat="1" applyFont="1" applyFill="1" applyBorder="1" applyAlignment="1">
      <alignment horizontal="right" vertical="center"/>
    </xf>
    <xf numFmtId="0" fontId="32" fillId="0" borderId="134" xfId="0" applyFont="1" applyBorder="1"/>
    <xf numFmtId="3" fontId="31" fillId="23" borderId="134" xfId="0" applyNumberFormat="1" applyFont="1" applyFill="1" applyBorder="1" applyAlignment="1">
      <alignment vertical="center"/>
    </xf>
    <xf numFmtId="3" fontId="24" fillId="6" borderId="134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29" fillId="0" borderId="136" xfId="4" applyNumberFormat="1" applyFont="1" applyFill="1" applyBorder="1" applyAlignment="1">
      <alignment horizontal="right" vertical="center"/>
    </xf>
    <xf numFmtId="3" fontId="29" fillId="25" borderId="134" xfId="4" applyNumberFormat="1" applyFont="1" applyFill="1" applyBorder="1" applyAlignment="1">
      <alignment horizontal="right" vertical="center"/>
    </xf>
    <xf numFmtId="3" fontId="7" fillId="0" borderId="144" xfId="4" applyNumberFormat="1" applyFont="1" applyFill="1" applyBorder="1" applyAlignment="1">
      <alignment horizontal="right" vertical="center"/>
    </xf>
    <xf numFmtId="3" fontId="25" fillId="22" borderId="134" xfId="0" applyNumberFormat="1" applyFont="1" applyFill="1" applyBorder="1" applyAlignment="1">
      <alignment vertical="center"/>
    </xf>
    <xf numFmtId="0" fontId="25" fillId="6" borderId="125" xfId="4" applyFont="1" applyFill="1" applyBorder="1" applyAlignment="1">
      <alignment horizontal="left" vertical="center"/>
    </xf>
    <xf numFmtId="0" fontId="21" fillId="0" borderId="67" xfId="0" applyFont="1" applyBorder="1" applyAlignment="1">
      <alignment vertical="top"/>
    </xf>
    <xf numFmtId="0" fontId="0" fillId="0" borderId="68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4" xfId="0" applyNumberFormat="1" applyFont="1" applyFill="1" applyBorder="1" applyAlignment="1">
      <alignment vertical="top"/>
    </xf>
    <xf numFmtId="3" fontId="31" fillId="23" borderId="134" xfId="0" applyNumberFormat="1" applyFont="1" applyFill="1" applyBorder="1" applyAlignment="1">
      <alignment horizontal="center" vertical="top"/>
    </xf>
    <xf numFmtId="3" fontId="25" fillId="6" borderId="134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4" xfId="0" applyNumberFormat="1" applyFont="1" applyFill="1" applyBorder="1" applyAlignment="1">
      <alignment vertical="top"/>
    </xf>
    <xf numFmtId="3" fontId="27" fillId="2" borderId="134" xfId="4" applyNumberFormat="1" applyFont="1" applyFill="1" applyBorder="1" applyAlignment="1">
      <alignment vertical="top" wrapText="1"/>
    </xf>
    <xf numFmtId="3" fontId="25" fillId="25" borderId="134" xfId="0" applyNumberFormat="1" applyFont="1" applyFill="1" applyBorder="1" applyAlignment="1">
      <alignment vertical="top"/>
    </xf>
    <xf numFmtId="3" fontId="31" fillId="0" borderId="128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31" fillId="0" borderId="128" xfId="4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0" fontId="25" fillId="8" borderId="70" xfId="0" applyFont="1" applyFill="1" applyBorder="1" applyAlignment="1">
      <alignment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31" fillId="6" borderId="134" xfId="0" applyFont="1" applyFill="1" applyBorder="1" applyAlignment="1">
      <alignment vertical="top"/>
    </xf>
    <xf numFmtId="3" fontId="31" fillId="2" borderId="134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32" fillId="0" borderId="134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27" fillId="0" borderId="134" xfId="4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/>
    </xf>
    <xf numFmtId="3" fontId="31" fillId="0" borderId="128" xfId="0" applyNumberFormat="1" applyFont="1" applyFill="1" applyBorder="1" applyAlignment="1">
      <alignment vertical="center"/>
    </xf>
    <xf numFmtId="0" fontId="31" fillId="8" borderId="70" xfId="0" applyFont="1" applyFill="1" applyBorder="1" applyAlignment="1">
      <alignment vertical="top"/>
    </xf>
    <xf numFmtId="3" fontId="31" fillId="8" borderId="70" xfId="0" applyNumberFormat="1" applyFont="1" applyFill="1" applyBorder="1" applyAlignment="1">
      <alignment vertical="top"/>
    </xf>
    <xf numFmtId="3" fontId="31" fillId="8" borderId="2" xfId="0" applyNumberFormat="1" applyFont="1" applyFill="1" applyBorder="1" applyAlignment="1">
      <alignment vertical="top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4" xfId="4" applyNumberFormat="1" applyFont="1" applyFill="1" applyBorder="1" applyAlignment="1">
      <alignment vertical="center" wrapText="1"/>
    </xf>
    <xf numFmtId="3" fontId="31" fillId="25" borderId="134" xfId="0" applyNumberFormat="1" applyFont="1" applyFill="1" applyBorder="1" applyAlignment="1">
      <alignment horizontal="center" vertical="top"/>
    </xf>
    <xf numFmtId="3" fontId="25" fillId="0" borderId="134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0" fontId="32" fillId="0" borderId="128" xfId="0" applyFont="1" applyBorder="1" applyAlignment="1">
      <alignment vertical="center"/>
    </xf>
    <xf numFmtId="3" fontId="31" fillId="23" borderId="2" xfId="0" applyNumberFormat="1" applyFont="1" applyFill="1" applyBorder="1" applyAlignment="1">
      <alignment vertical="top"/>
    </xf>
    <xf numFmtId="3" fontId="27" fillId="25" borderId="134" xfId="0" applyNumberFormat="1" applyFont="1" applyFill="1" applyBorder="1" applyAlignment="1">
      <alignment vertical="top"/>
    </xf>
    <xf numFmtId="0" fontId="31" fillId="0" borderId="134" xfId="0" applyFont="1" applyFill="1" applyBorder="1" applyAlignment="1">
      <alignment vertical="top" wrapText="1"/>
    </xf>
    <xf numFmtId="3" fontId="25" fillId="0" borderId="35" xfId="0" applyNumberFormat="1" applyFont="1" applyFill="1" applyBorder="1" applyAlignment="1">
      <alignment vertical="top"/>
    </xf>
    <xf numFmtId="0" fontId="31" fillId="2" borderId="134" xfId="4" applyFont="1" applyFill="1" applyBorder="1" applyAlignment="1">
      <alignment vertical="center"/>
    </xf>
    <xf numFmtId="0" fontId="23" fillId="6" borderId="134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8" xfId="4" applyFont="1" applyFill="1" applyBorder="1" applyAlignment="1">
      <alignment vertical="center"/>
    </xf>
    <xf numFmtId="0" fontId="31" fillId="0" borderId="134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34" xfId="0" applyFont="1" applyFill="1" applyBorder="1" applyAlignment="1">
      <alignment vertical="top" wrapText="1"/>
    </xf>
    <xf numFmtId="3" fontId="25" fillId="2" borderId="134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6" xfId="0" applyFont="1" applyBorder="1" applyAlignment="1">
      <alignment vertical="top"/>
    </xf>
    <xf numFmtId="0" fontId="21" fillId="0" borderId="66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0" fontId="20" fillId="0" borderId="68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9" xfId="0" applyFont="1" applyBorder="1" applyAlignment="1">
      <alignment vertical="top"/>
    </xf>
    <xf numFmtId="0" fontId="21" fillId="0" borderId="69" xfId="0" applyFont="1" applyBorder="1" applyAlignment="1">
      <alignment horizontal="center" vertical="top" wrapText="1"/>
    </xf>
    <xf numFmtId="3" fontId="27" fillId="25" borderId="136" xfId="4" applyNumberFormat="1" applyFont="1" applyFill="1" applyBorder="1" applyAlignment="1">
      <alignment horizontal="right" vertical="center"/>
    </xf>
    <xf numFmtId="3" fontId="31" fillId="25" borderId="136" xfId="4" applyNumberFormat="1" applyFont="1" applyFill="1" applyBorder="1" applyAlignment="1">
      <alignment horizontal="right" vertical="center"/>
    </xf>
    <xf numFmtId="3" fontId="7" fillId="0" borderId="133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3" fontId="8" fillId="6" borderId="136" xfId="0" applyNumberFormat="1" applyFont="1" applyFill="1" applyBorder="1"/>
    <xf numFmtId="3" fontId="8" fillId="6" borderId="133" xfId="0" applyNumberFormat="1" applyFont="1" applyFill="1" applyBorder="1"/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5" xfId="4" applyNumberFormat="1" applyFont="1" applyFill="1" applyBorder="1" applyAlignment="1">
      <alignment horizontal="right" vertical="center"/>
    </xf>
    <xf numFmtId="3" fontId="32" fillId="8" borderId="136" xfId="114" applyNumberFormat="1" applyFont="1" applyFill="1" applyBorder="1" applyAlignment="1">
      <alignment vertical="center"/>
    </xf>
    <xf numFmtId="0" fontId="31" fillId="8" borderId="132" xfId="4" applyFont="1" applyFill="1" applyBorder="1" applyAlignment="1">
      <alignment vertical="center"/>
    </xf>
    <xf numFmtId="3" fontId="24" fillId="6" borderId="136" xfId="4" applyNumberFormat="1" applyFont="1" applyFill="1" applyBorder="1" applyAlignment="1">
      <alignment horizontal="right" vertical="center"/>
    </xf>
    <xf numFmtId="0" fontId="27" fillId="8" borderId="139" xfId="4" applyFont="1" applyFill="1" applyBorder="1" applyAlignment="1">
      <alignment vertical="center"/>
    </xf>
    <xf numFmtId="0" fontId="27" fillId="8" borderId="125" xfId="4" applyFont="1" applyFill="1" applyBorder="1" applyAlignment="1">
      <alignment vertical="center"/>
    </xf>
    <xf numFmtId="3" fontId="33" fillId="8" borderId="136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5" xfId="4" applyFont="1" applyFill="1" applyBorder="1" applyAlignment="1">
      <alignment vertical="center"/>
    </xf>
    <xf numFmtId="3" fontId="31" fillId="8" borderId="134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5" xfId="4" applyNumberFormat="1" applyFont="1" applyFill="1" applyBorder="1" applyAlignment="1">
      <alignment horizontal="right" vertical="center"/>
    </xf>
    <xf numFmtId="3" fontId="29" fillId="0" borderId="133" xfId="4" applyNumberFormat="1" applyFont="1" applyFill="1" applyBorder="1" applyAlignment="1">
      <alignment horizontal="right" vertical="center"/>
    </xf>
    <xf numFmtId="3" fontId="29" fillId="0" borderId="135" xfId="4" applyNumberFormat="1" applyFont="1" applyFill="1" applyBorder="1" applyAlignment="1">
      <alignment horizontal="right" vertical="center"/>
    </xf>
    <xf numFmtId="3" fontId="33" fillId="0" borderId="134" xfId="114" applyNumberFormat="1" applyFont="1" applyFill="1" applyBorder="1" applyAlignment="1">
      <alignment vertical="center"/>
    </xf>
    <xf numFmtId="3" fontId="27" fillId="0" borderId="133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29" fillId="2" borderId="134" xfId="4" applyNumberFormat="1" applyFont="1" applyFill="1" applyBorder="1" applyAlignment="1">
      <alignment horizontal="right" vertical="center"/>
    </xf>
    <xf numFmtId="3" fontId="27" fillId="2" borderId="134" xfId="4" applyNumberFormat="1" applyFont="1" applyFill="1" applyBorder="1" applyAlignment="1">
      <alignment horizontal="right" vertical="center"/>
    </xf>
    <xf numFmtId="3" fontId="33" fillId="0" borderId="136" xfId="114" applyNumberFormat="1" applyFont="1" applyFill="1" applyBorder="1" applyAlignment="1">
      <alignment vertical="center"/>
    </xf>
    <xf numFmtId="3" fontId="31" fillId="0" borderId="128" xfId="112" applyNumberFormat="1" applyFont="1" applyFill="1" applyBorder="1" applyAlignment="1">
      <alignment vertical="center"/>
    </xf>
    <xf numFmtId="3" fontId="32" fillId="0" borderId="134" xfId="114" applyNumberFormat="1" applyFont="1" applyFill="1" applyBorder="1" applyAlignment="1">
      <alignment vertical="center"/>
    </xf>
    <xf numFmtId="3" fontId="33" fillId="0" borderId="9" xfId="114" applyNumberFormat="1" applyFont="1" applyFill="1" applyBorder="1" applyAlignment="1">
      <alignment vertical="center"/>
    </xf>
    <xf numFmtId="0" fontId="24" fillId="32" borderId="139" xfId="4" applyFont="1" applyFill="1" applyBorder="1" applyAlignment="1">
      <alignment horizontal="left" vertical="center"/>
    </xf>
    <xf numFmtId="0" fontId="25" fillId="32" borderId="138" xfId="4" applyFont="1" applyFill="1" applyBorder="1" applyAlignment="1">
      <alignment horizontal="left" vertical="center"/>
    </xf>
    <xf numFmtId="3" fontId="27" fillId="8" borderId="134" xfId="0" applyNumberFormat="1" applyFont="1" applyFill="1" applyBorder="1" applyAlignment="1">
      <alignment vertical="center"/>
    </xf>
    <xf numFmtId="3" fontId="27" fillId="23" borderId="134" xfId="0" applyNumberFormat="1" applyFont="1" applyFill="1" applyBorder="1" applyAlignment="1">
      <alignment vertical="center"/>
    </xf>
    <xf numFmtId="3" fontId="31" fillId="28" borderId="134" xfId="0" applyNumberFormat="1" applyFont="1" applyFill="1" applyBorder="1" applyAlignment="1">
      <alignment vertical="center"/>
    </xf>
    <xf numFmtId="43" fontId="25" fillId="6" borderId="136" xfId="1" applyFont="1" applyFill="1" applyBorder="1" applyAlignment="1">
      <alignment vertical="center"/>
    </xf>
    <xf numFmtId="3" fontId="25" fillId="22" borderId="136" xfId="0" applyNumberFormat="1" applyFont="1" applyFill="1" applyBorder="1" applyAlignment="1">
      <alignment vertical="center"/>
    </xf>
    <xf numFmtId="3" fontId="27" fillId="2" borderId="132" xfId="4" applyNumberFormat="1" applyFont="1" applyFill="1" applyBorder="1" applyAlignment="1">
      <alignment vertical="center" wrapText="1"/>
    </xf>
    <xf numFmtId="3" fontId="27" fillId="0" borderId="136" xfId="0" applyNumberFormat="1" applyFont="1" applyFill="1" applyBorder="1" applyAlignment="1">
      <alignment vertical="center"/>
    </xf>
    <xf numFmtId="43" fontId="27" fillId="0" borderId="136" xfId="1" applyFont="1" applyFill="1" applyBorder="1" applyAlignment="1">
      <alignment vertical="center"/>
    </xf>
    <xf numFmtId="3" fontId="27" fillId="25" borderId="136" xfId="0" applyNumberFormat="1" applyFont="1" applyFill="1" applyBorder="1" applyAlignment="1">
      <alignment vertical="center"/>
    </xf>
    <xf numFmtId="0" fontId="31" fillId="0" borderId="77" xfId="0" applyFont="1" applyFill="1" applyBorder="1" applyAlignment="1">
      <alignment vertical="center"/>
    </xf>
    <xf numFmtId="43" fontId="31" fillId="0" borderId="128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3" fillId="6" borderId="103" xfId="1" applyFont="1" applyFill="1" applyBorder="1" applyAlignment="1">
      <alignment horizontal="right" vertical="center"/>
    </xf>
    <xf numFmtId="43" fontId="33" fillId="0" borderId="103" xfId="1" applyFont="1" applyFill="1" applyBorder="1" applyAlignment="1">
      <alignment horizontal="right" vertical="center"/>
    </xf>
    <xf numFmtId="43" fontId="24" fillId="8" borderId="70" xfId="1" applyFont="1" applyFill="1" applyBorder="1" applyAlignment="1">
      <alignment horizontal="right" vertical="center"/>
    </xf>
    <xf numFmtId="3" fontId="25" fillId="22" borderId="168" xfId="4" applyNumberFormat="1" applyFont="1" applyFill="1" applyBorder="1" applyAlignment="1">
      <alignment horizontal="right" vertical="center"/>
    </xf>
    <xf numFmtId="3" fontId="27" fillId="25" borderId="168" xfId="4" applyNumberFormat="1" applyFont="1" applyFill="1" applyBorder="1" applyAlignment="1">
      <alignment horizontal="right" vertical="center"/>
    </xf>
    <xf numFmtId="3" fontId="23" fillId="6" borderId="168" xfId="6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horizontal="right" vertical="center"/>
    </xf>
    <xf numFmtId="3" fontId="31" fillId="0" borderId="168" xfId="4" applyNumberFormat="1" applyFont="1" applyFill="1" applyBorder="1" applyAlignment="1">
      <alignment horizontal="right" vertical="center"/>
    </xf>
    <xf numFmtId="3" fontId="33" fillId="0" borderId="168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71" xfId="0" applyNumberFormat="1" applyFont="1" applyFill="1" applyBorder="1" applyAlignment="1">
      <alignment horizontal="right" vertical="center"/>
    </xf>
    <xf numFmtId="3" fontId="31" fillId="0" borderId="74" xfId="0" applyNumberFormat="1" applyFont="1" applyFill="1" applyBorder="1" applyAlignment="1">
      <alignment horizontal="right" vertical="center"/>
    </xf>
    <xf numFmtId="3" fontId="31" fillId="0" borderId="75" xfId="0" applyNumberFormat="1" applyFont="1" applyFill="1" applyBorder="1" applyAlignment="1">
      <alignment horizontal="right" vertical="center"/>
    </xf>
    <xf numFmtId="3" fontId="24" fillId="22" borderId="70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top"/>
    </xf>
    <xf numFmtId="3" fontId="31" fillId="0" borderId="128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7" xfId="0" applyNumberFormat="1" applyFont="1" applyFill="1" applyBorder="1" applyAlignment="1">
      <alignment horizontal="center" vertical="top" wrapText="1"/>
    </xf>
    <xf numFmtId="3" fontId="18" fillId="8" borderId="67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32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>
      <alignment vertical="top"/>
    </xf>
    <xf numFmtId="43" fontId="25" fillId="6" borderId="167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73" xfId="4" applyFont="1" applyFill="1" applyBorder="1" applyAlignment="1">
      <alignment horizontal="left" vertical="center"/>
    </xf>
    <xf numFmtId="3" fontId="25" fillId="6" borderId="167" xfId="0" applyNumberFormat="1" applyFont="1" applyFill="1" applyBorder="1" applyAlignment="1"/>
    <xf numFmtId="3" fontId="29" fillId="2" borderId="132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/>
    <xf numFmtId="3" fontId="31" fillId="0" borderId="167" xfId="0" applyNumberFormat="1" applyFont="1" applyFill="1" applyBorder="1" applyAlignment="1">
      <alignment vertical="top"/>
    </xf>
    <xf numFmtId="0" fontId="7" fillId="0" borderId="132" xfId="0" applyFont="1" applyFill="1" applyBorder="1" applyAlignment="1">
      <alignment vertical="center" wrapText="1"/>
    </xf>
    <xf numFmtId="0" fontId="29" fillId="2" borderId="132" xfId="4" applyFont="1" applyFill="1" applyBorder="1" applyAlignment="1">
      <alignment vertical="center"/>
    </xf>
    <xf numFmtId="3" fontId="27" fillId="0" borderId="167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7" xfId="1" applyFont="1" applyFill="1" applyBorder="1" applyAlignment="1">
      <alignment vertical="center"/>
    </xf>
    <xf numFmtId="43" fontId="31" fillId="0" borderId="168" xfId="1" applyFont="1" applyFill="1" applyBorder="1" applyAlignment="1">
      <alignment vertical="center"/>
    </xf>
    <xf numFmtId="0" fontId="29" fillId="2" borderId="173" xfId="4" applyFont="1" applyFill="1" applyBorder="1" applyAlignment="1">
      <alignment vertical="center"/>
    </xf>
    <xf numFmtId="0" fontId="7" fillId="0" borderId="140" xfId="4" applyFont="1" applyFill="1" applyBorder="1" applyAlignment="1">
      <alignment vertical="center"/>
    </xf>
    <xf numFmtId="43" fontId="31" fillId="0" borderId="144" xfId="1" applyFont="1" applyFill="1" applyBorder="1" applyAlignment="1">
      <alignment vertical="center"/>
    </xf>
    <xf numFmtId="3" fontId="25" fillId="6" borderId="167" xfId="0" applyNumberFormat="1" applyFont="1" applyFill="1" applyBorder="1" applyAlignment="1">
      <alignment vertical="center"/>
    </xf>
    <xf numFmtId="43" fontId="31" fillId="0" borderId="128" xfId="1" applyFont="1" applyFill="1" applyBorder="1" applyAlignment="1">
      <alignment vertical="top"/>
    </xf>
    <xf numFmtId="43" fontId="31" fillId="0" borderId="167" xfId="1" applyFont="1" applyFill="1" applyBorder="1" applyAlignment="1">
      <alignment vertical="top"/>
    </xf>
    <xf numFmtId="43" fontId="27" fillId="2" borderId="168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8" xfId="0" applyNumberFormat="1" applyFont="1" applyFill="1" applyBorder="1" applyAlignment="1">
      <alignment vertical="top"/>
    </xf>
    <xf numFmtId="3" fontId="25" fillId="25" borderId="167" xfId="0" applyNumberFormat="1" applyFont="1" applyFill="1" applyBorder="1" applyAlignment="1">
      <alignment vertical="top"/>
    </xf>
    <xf numFmtId="0" fontId="27" fillId="2" borderId="132" xfId="4" applyFont="1" applyFill="1" applyBorder="1" applyAlignment="1">
      <alignment vertical="top"/>
    </xf>
    <xf numFmtId="0" fontId="31" fillId="0" borderId="142" xfId="0" applyFont="1" applyFill="1" applyBorder="1" applyAlignment="1">
      <alignment horizontal="left" vertical="center" wrapText="1"/>
    </xf>
    <xf numFmtId="0" fontId="7" fillId="6" borderId="172" xfId="0" applyFont="1" applyFill="1" applyBorder="1" applyAlignment="1">
      <alignment horizontal="left" vertical="center" wrapText="1"/>
    </xf>
    <xf numFmtId="3" fontId="27" fillId="2" borderId="174" xfId="4" applyNumberFormat="1" applyFont="1" applyFill="1" applyBorder="1" applyAlignment="1">
      <alignment vertical="center" wrapText="1"/>
    </xf>
    <xf numFmtId="3" fontId="27" fillId="2" borderId="167" xfId="0" applyNumberFormat="1" applyFont="1" applyFill="1" applyBorder="1" applyAlignment="1">
      <alignment vertical="top"/>
    </xf>
    <xf numFmtId="0" fontId="27" fillId="2" borderId="141" xfId="4" applyFont="1" applyFill="1" applyBorder="1" applyAlignment="1">
      <alignment vertical="top"/>
    </xf>
    <xf numFmtId="0" fontId="31" fillId="6" borderId="172" xfId="0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top"/>
    </xf>
    <xf numFmtId="3" fontId="25" fillId="6" borderId="167" xfId="4" applyNumberFormat="1" applyFont="1" applyFill="1" applyBorder="1" applyAlignment="1">
      <alignment horizontal="right" vertical="center"/>
    </xf>
    <xf numFmtId="3" fontId="31" fillId="25" borderId="134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8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31" fillId="0" borderId="35" xfId="0" applyNumberFormat="1" applyFont="1" applyFill="1" applyBorder="1" applyAlignment="1">
      <alignment vertical="center"/>
    </xf>
    <xf numFmtId="9" fontId="25" fillId="2" borderId="46" xfId="2" applyFont="1" applyFill="1" applyBorder="1" applyAlignment="1">
      <alignment horizontal="center"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32" xfId="4" applyFont="1" applyFill="1" applyBorder="1" applyAlignment="1">
      <alignment vertical="top"/>
    </xf>
    <xf numFmtId="0" fontId="7" fillId="8" borderId="132" xfId="4" applyFont="1" applyFill="1" applyBorder="1" applyAlignment="1">
      <alignment vertical="top"/>
    </xf>
    <xf numFmtId="0" fontId="7" fillId="8" borderId="132" xfId="4" applyFont="1" applyFill="1" applyBorder="1" applyAlignment="1">
      <alignment vertical="top" wrapText="1"/>
    </xf>
    <xf numFmtId="0" fontId="7" fillId="8" borderId="172" xfId="4" applyFont="1" applyFill="1" applyBorder="1" applyAlignment="1">
      <alignment vertical="top"/>
    </xf>
    <xf numFmtId="0" fontId="7" fillId="8" borderId="11" xfId="4" applyFont="1" applyFill="1" applyBorder="1" applyAlignment="1">
      <alignment vertical="top"/>
    </xf>
    <xf numFmtId="3" fontId="24" fillId="6" borderId="168" xfId="4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>
      <alignment vertical="center"/>
    </xf>
    <xf numFmtId="3" fontId="24" fillId="22" borderId="167" xfId="4" applyNumberFormat="1" applyFont="1" applyFill="1" applyBorder="1" applyAlignment="1">
      <alignment vertical="center"/>
    </xf>
    <xf numFmtId="0" fontId="29" fillId="0" borderId="132" xfId="4" applyFont="1" applyFill="1" applyBorder="1" applyAlignment="1">
      <alignment vertical="top"/>
    </xf>
    <xf numFmtId="3" fontId="29" fillId="0" borderId="168" xfId="4" applyNumberFormat="1" applyFont="1" applyFill="1" applyBorder="1" applyAlignment="1">
      <alignment horizontal="right" vertical="center"/>
    </xf>
    <xf numFmtId="3" fontId="29" fillId="0" borderId="167" xfId="4" applyNumberFormat="1" applyFont="1" applyFill="1" applyBorder="1" applyAlignment="1">
      <alignment horizontal="right" vertical="center"/>
    </xf>
    <xf numFmtId="0" fontId="7" fillId="0" borderId="132" xfId="4" applyFont="1" applyFill="1" applyBorder="1" applyAlignment="1">
      <alignment vertical="top"/>
    </xf>
    <xf numFmtId="3" fontId="7" fillId="0" borderId="167" xfId="0" applyNumberFormat="1" applyFont="1" applyFill="1" applyBorder="1" applyAlignment="1">
      <alignment vertical="top"/>
    </xf>
    <xf numFmtId="3" fontId="7" fillId="0" borderId="167" xfId="4" applyNumberFormat="1" applyFont="1" applyFill="1" applyBorder="1" applyAlignment="1">
      <alignment vertical="top"/>
    </xf>
    <xf numFmtId="3" fontId="7" fillId="0" borderId="171" xfId="4" applyNumberFormat="1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vertical="top"/>
    </xf>
    <xf numFmtId="0" fontId="29" fillId="0" borderId="132" xfId="4" applyFont="1" applyFill="1" applyBorder="1" applyAlignment="1">
      <alignment horizontal="left" vertical="center"/>
    </xf>
    <xf numFmtId="3" fontId="7" fillId="0" borderId="168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3" fontId="7" fillId="0" borderId="128" xfId="0" applyNumberFormat="1" applyFont="1" applyFill="1" applyBorder="1" applyAlignment="1">
      <alignment vertical="top"/>
    </xf>
    <xf numFmtId="3" fontId="7" fillId="0" borderId="128" xfId="4" applyNumberFormat="1" applyFont="1" applyFill="1" applyBorder="1" applyAlignment="1">
      <alignment vertical="top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7" xfId="1" applyFont="1" applyFill="1" applyBorder="1" applyAlignment="1">
      <alignment vertical="center"/>
    </xf>
    <xf numFmtId="43" fontId="29" fillId="0" borderId="168" xfId="1" applyFont="1" applyFill="1" applyBorder="1" applyAlignment="1">
      <alignment horizontal="right" vertical="center"/>
    </xf>
    <xf numFmtId="43" fontId="29" fillId="0" borderId="167" xfId="1" applyFont="1" applyFill="1" applyBorder="1" applyAlignment="1">
      <alignment horizontal="right" vertical="center"/>
    </xf>
    <xf numFmtId="43" fontId="7" fillId="0" borderId="167" xfId="1" applyFont="1" applyFill="1" applyBorder="1" applyAlignment="1">
      <alignment horizontal="right" vertical="center"/>
    </xf>
    <xf numFmtId="0" fontId="24" fillId="8" borderId="132" xfId="4" applyFont="1" applyFill="1" applyBorder="1" applyAlignment="1">
      <alignment horizontal="left" vertical="center" wrapText="1"/>
    </xf>
    <xf numFmtId="3" fontId="7" fillId="8" borderId="167" xfId="4" applyNumberFormat="1" applyFont="1" applyFill="1" applyBorder="1" applyAlignment="1">
      <alignment horizontal="right" vertical="center"/>
    </xf>
    <xf numFmtId="3" fontId="7" fillId="23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8" xfId="4" applyNumberFormat="1" applyFont="1" applyFill="1" applyBorder="1" applyAlignment="1">
      <alignment vertical="center"/>
    </xf>
    <xf numFmtId="3" fontId="25" fillId="6" borderId="167" xfId="4" applyNumberFormat="1" applyFont="1" applyFill="1" applyBorder="1" applyAlignment="1">
      <alignment vertical="center"/>
    </xf>
    <xf numFmtId="3" fontId="25" fillId="22" borderId="167" xfId="4" applyNumberFormat="1" applyFont="1" applyFill="1" applyBorder="1" applyAlignment="1">
      <alignment vertical="center"/>
    </xf>
    <xf numFmtId="3" fontId="27" fillId="25" borderId="167" xfId="4" applyNumberFormat="1" applyFont="1" applyFill="1" applyBorder="1" applyAlignment="1">
      <alignment horizontal="right" vertical="center"/>
    </xf>
    <xf numFmtId="0" fontId="7" fillId="0" borderId="132" xfId="4" applyFont="1" applyFill="1" applyBorder="1" applyAlignment="1">
      <alignment vertical="center"/>
    </xf>
    <xf numFmtId="3" fontId="27" fillId="0" borderId="167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8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5" fillId="6" borderId="172" xfId="4" applyNumberFormat="1" applyFont="1" applyFill="1" applyBorder="1" applyAlignment="1">
      <alignment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8" xfId="4" applyNumberFormat="1" applyFont="1" applyFill="1" applyBorder="1" applyAlignment="1">
      <alignment horizontal="right" vertical="center"/>
    </xf>
    <xf numFmtId="0" fontId="24" fillId="0" borderId="43" xfId="4" applyFont="1" applyFill="1" applyBorder="1" applyAlignment="1">
      <alignment vertical="center"/>
    </xf>
    <xf numFmtId="0" fontId="7" fillId="0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18" fillId="0" borderId="13" xfId="4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3" fontId="25" fillId="6" borderId="141" xfId="0" applyNumberFormat="1" applyFont="1" applyFill="1" applyBorder="1" applyAlignment="1">
      <alignment vertical="center"/>
    </xf>
    <xf numFmtId="3" fontId="25" fillId="6" borderId="171" xfId="0" applyNumberFormat="1" applyFont="1" applyFill="1" applyBorder="1" applyAlignment="1">
      <alignment vertical="center"/>
    </xf>
    <xf numFmtId="0" fontId="25" fillId="6" borderId="172" xfId="4" applyFont="1" applyFill="1" applyBorder="1" applyAlignment="1">
      <alignment horizontal="left" vertical="center"/>
    </xf>
    <xf numFmtId="43" fontId="24" fillId="6" borderId="168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6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9" xfId="0" applyFont="1" applyFill="1" applyBorder="1" applyAlignment="1">
      <alignment vertical="center"/>
    </xf>
    <xf numFmtId="3" fontId="7" fillId="8" borderId="79" xfId="0" applyNumberFormat="1" applyFont="1" applyFill="1" applyBorder="1" applyAlignment="1">
      <alignment vertical="center"/>
    </xf>
    <xf numFmtId="3" fontId="7" fillId="23" borderId="70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0" fontId="27" fillId="2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2" xfId="4" applyNumberFormat="1" applyFont="1" applyFill="1" applyBorder="1" applyAlignment="1">
      <alignment vertical="center"/>
    </xf>
    <xf numFmtId="3" fontId="27" fillId="2" borderId="96" xfId="4" applyNumberFormat="1" applyFont="1" applyFill="1" applyBorder="1" applyAlignment="1">
      <alignment vertical="center" wrapText="1"/>
    </xf>
    <xf numFmtId="0" fontId="7" fillId="0" borderId="96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39" xfId="4" applyNumberFormat="1" applyFont="1" applyFill="1" applyBorder="1" applyAlignment="1">
      <alignment vertical="center" wrapText="1"/>
    </xf>
    <xf numFmtId="3" fontId="29" fillId="8" borderId="125" xfId="4" applyNumberFormat="1" applyFont="1" applyFill="1" applyBorder="1" applyAlignment="1">
      <alignment vertical="center" wrapText="1"/>
    </xf>
    <xf numFmtId="3" fontId="27" fillId="8" borderId="134" xfId="112" applyNumberFormat="1" applyFont="1" applyFill="1" applyBorder="1" applyAlignment="1">
      <alignment vertical="center"/>
    </xf>
    <xf numFmtId="3" fontId="27" fillId="23" borderId="134" xfId="112" applyNumberFormat="1" applyFont="1" applyFill="1" applyBorder="1" applyAlignment="1">
      <alignment vertical="center"/>
    </xf>
    <xf numFmtId="3" fontId="7" fillId="8" borderId="139" xfId="4" applyNumberFormat="1" applyFont="1" applyFill="1" applyBorder="1" applyAlignment="1">
      <alignment vertical="center" wrapText="1"/>
    </xf>
    <xf numFmtId="3" fontId="7" fillId="8" borderId="125" xfId="4" applyNumberFormat="1" applyFont="1" applyFill="1" applyBorder="1" applyAlignment="1">
      <alignment vertical="center" wrapText="1"/>
    </xf>
    <xf numFmtId="3" fontId="7" fillId="8" borderId="134" xfId="112" applyNumberFormat="1" applyFont="1" applyFill="1" applyBorder="1" applyAlignment="1">
      <alignment vertical="center"/>
    </xf>
    <xf numFmtId="0" fontId="29" fillId="8" borderId="139" xfId="4" applyFont="1" applyFill="1" applyBorder="1" applyAlignment="1">
      <alignment vertical="center"/>
    </xf>
    <xf numFmtId="0" fontId="29" fillId="8" borderId="125" xfId="4" applyFont="1" applyFill="1" applyBorder="1" applyAlignment="1">
      <alignment vertical="center"/>
    </xf>
    <xf numFmtId="0" fontId="7" fillId="8" borderId="125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0" fontId="7" fillId="8" borderId="79" xfId="112" applyFont="1" applyFill="1" applyBorder="1" applyAlignment="1">
      <alignment vertical="center"/>
    </xf>
    <xf numFmtId="3" fontId="7" fillId="8" borderId="79" xfId="112" applyNumberFormat="1" applyFont="1" applyFill="1" applyBorder="1" applyAlignment="1">
      <alignment vertical="center"/>
    </xf>
    <xf numFmtId="3" fontId="7" fillId="23" borderId="70" xfId="112" applyNumberFormat="1" applyFont="1" applyFill="1" applyBorder="1" applyAlignment="1">
      <alignment vertical="center"/>
    </xf>
    <xf numFmtId="3" fontId="29" fillId="2" borderId="139" xfId="4" applyNumberFormat="1" applyFont="1" applyFill="1" applyBorder="1" applyAlignment="1">
      <alignment vertical="center" wrapText="1"/>
    </xf>
    <xf numFmtId="0" fontId="7" fillId="0" borderId="139" xfId="4" applyFont="1" applyFill="1" applyBorder="1" applyAlignment="1">
      <alignment vertical="center"/>
    </xf>
    <xf numFmtId="0" fontId="29" fillId="2" borderId="139" xfId="4" applyFont="1" applyFill="1" applyBorder="1" applyAlignment="1">
      <alignment vertical="center"/>
    </xf>
    <xf numFmtId="0" fontId="31" fillId="0" borderId="140" xfId="4" applyFont="1" applyFill="1" applyBorder="1" applyAlignment="1">
      <alignment vertical="center"/>
    </xf>
    <xf numFmtId="3" fontId="24" fillId="6" borderId="136" xfId="4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7" fillId="2" borderId="136" xfId="4" applyNumberFormat="1" applyFont="1" applyFill="1" applyBorder="1" applyAlignment="1">
      <alignment vertical="center"/>
    </xf>
    <xf numFmtId="0" fontId="4" fillId="0" borderId="128" xfId="112" applyFont="1" applyBorder="1" applyAlignment="1">
      <alignment vertical="center"/>
    </xf>
    <xf numFmtId="0" fontId="4" fillId="0" borderId="27" xfId="112" applyFont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32" borderId="136" xfId="4" applyNumberFormat="1" applyFont="1" applyFill="1" applyBorder="1" applyAlignment="1">
      <alignment vertical="center"/>
    </xf>
    <xf numFmtId="3" fontId="24" fillId="32" borderId="134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1" fillId="0" borderId="146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31" fillId="6" borderId="125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7" fillId="0" borderId="69" xfId="4" applyFont="1" applyBorder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18" fillId="8" borderId="67" xfId="4" applyNumberFormat="1" applyFont="1" applyFill="1" applyBorder="1" applyAlignment="1">
      <alignment vertical="center" wrapText="1"/>
    </xf>
    <xf numFmtId="0" fontId="27" fillId="50" borderId="67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70" xfId="4" applyNumberFormat="1" applyFont="1" applyFill="1" applyBorder="1" applyAlignment="1">
      <alignment vertical="center"/>
    </xf>
    <xf numFmtId="3" fontId="24" fillId="22" borderId="70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0" fontId="24" fillId="13" borderId="6" xfId="4" applyFont="1" applyFill="1" applyBorder="1" applyAlignment="1">
      <alignment vertical="center" wrapText="1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81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7" fillId="2" borderId="116" xfId="4" applyNumberFormat="1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2" xfId="4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8" xfId="4" applyNumberFormat="1" applyFont="1" applyFill="1" applyBorder="1" applyAlignment="1">
      <alignment vertical="center"/>
    </xf>
    <xf numFmtId="0" fontId="31" fillId="0" borderId="112" xfId="4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3" fontId="24" fillId="32" borderId="103" xfId="4" applyNumberFormat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7" fillId="13" borderId="20" xfId="4" applyFont="1" applyFill="1" applyBorder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8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0" fontId="31" fillId="0" borderId="113" xfId="4" applyFont="1" applyFill="1" applyBorder="1" applyAlignment="1">
      <alignment vertical="center"/>
    </xf>
    <xf numFmtId="3" fontId="27" fillId="2" borderId="168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70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9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5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71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4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7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28" xfId="4" applyNumberFormat="1" applyFont="1" applyFill="1" applyBorder="1" applyAlignment="1">
      <alignment vertical="center"/>
    </xf>
    <xf numFmtId="3" fontId="31" fillId="0" borderId="144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31" fillId="0" borderId="128" xfId="4" applyNumberFormat="1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vertical="center"/>
    </xf>
    <xf numFmtId="3" fontId="25" fillId="6" borderId="136" xfId="0" applyNumberFormat="1" applyFont="1" applyFill="1" applyBorder="1" applyAlignment="1">
      <alignment vertical="top"/>
    </xf>
    <xf numFmtId="3" fontId="25" fillId="22" borderId="136" xfId="0" applyNumberFormat="1" applyFont="1" applyFill="1" applyBorder="1" applyAlignment="1">
      <alignment vertical="top"/>
    </xf>
    <xf numFmtId="3" fontId="27" fillId="2" borderId="136" xfId="0" applyNumberFormat="1" applyFont="1" applyFill="1" applyBorder="1" applyAlignment="1">
      <alignment vertical="top"/>
    </xf>
    <xf numFmtId="3" fontId="27" fillId="0" borderId="136" xfId="0" applyNumberFormat="1" applyFont="1" applyFill="1" applyBorder="1" applyAlignment="1">
      <alignment vertical="top"/>
    </xf>
    <xf numFmtId="3" fontId="24" fillId="22" borderId="167" xfId="4" applyNumberFormat="1" applyFont="1" applyFill="1" applyBorder="1" applyAlignment="1">
      <alignment horizontal="right" vertical="center"/>
    </xf>
    <xf numFmtId="0" fontId="24" fillId="6" borderId="167" xfId="4" applyFont="1" applyFill="1" applyBorder="1" applyAlignment="1">
      <alignment horizontal="left" vertical="center"/>
    </xf>
    <xf numFmtId="0" fontId="25" fillId="6" borderId="167" xfId="4" applyFont="1" applyFill="1" applyBorder="1" applyAlignment="1">
      <alignment horizontal="left" vertical="center"/>
    </xf>
    <xf numFmtId="3" fontId="25" fillId="22" borderId="167" xfId="4" applyNumberFormat="1" applyFont="1" applyFill="1" applyBorder="1" applyAlignment="1">
      <alignment horizontal="right" vertical="center"/>
    </xf>
    <xf numFmtId="3" fontId="29" fillId="2" borderId="167" xfId="4" applyNumberFormat="1" applyFont="1" applyFill="1" applyBorder="1" applyAlignment="1">
      <alignment vertical="top" wrapText="1"/>
    </xf>
    <xf numFmtId="0" fontId="7" fillId="0" borderId="167" xfId="4" applyFont="1" applyFill="1" applyBorder="1" applyAlignment="1">
      <alignment vertical="top"/>
    </xf>
    <xf numFmtId="3" fontId="7" fillId="25" borderId="167" xfId="4" applyNumberFormat="1" applyFont="1" applyFill="1" applyBorder="1" applyAlignment="1">
      <alignment horizontal="right" vertical="center"/>
    </xf>
    <xf numFmtId="3" fontId="32" fillId="0" borderId="167" xfId="6" applyNumberFormat="1" applyFont="1" applyFill="1" applyBorder="1" applyAlignment="1">
      <alignment vertical="center"/>
    </xf>
    <xf numFmtId="0" fontId="29" fillId="2" borderId="167" xfId="4" applyFont="1" applyFill="1" applyBorder="1" applyAlignment="1">
      <alignment vertical="top"/>
    </xf>
    <xf numFmtId="3" fontId="33" fillId="0" borderId="167" xfId="6" applyNumberFormat="1" applyFont="1" applyFill="1" applyBorder="1" applyAlignment="1">
      <alignment vertical="center"/>
    </xf>
    <xf numFmtId="3" fontId="33" fillId="25" borderId="167" xfId="6" applyNumberFormat="1" applyFont="1" applyFill="1" applyBorder="1" applyAlignment="1">
      <alignment vertical="center"/>
    </xf>
    <xf numFmtId="3" fontId="24" fillId="6" borderId="167" xfId="4" applyNumberFormat="1" applyFont="1" applyFill="1" applyBorder="1" applyAlignment="1"/>
    <xf numFmtId="3" fontId="31" fillId="0" borderId="167" xfId="0" applyNumberFormat="1" applyFont="1" applyFill="1" applyBorder="1" applyAlignment="1">
      <alignment horizontal="right"/>
    </xf>
    <xf numFmtId="3" fontId="31" fillId="0" borderId="167" xfId="0" applyNumberFormat="1" applyFont="1" applyFill="1" applyBorder="1" applyAlignment="1">
      <alignment horizontal="right" vertical="center"/>
    </xf>
    <xf numFmtId="3" fontId="31" fillId="0" borderId="168" xfId="4" applyNumberFormat="1" applyFont="1" applyFill="1" applyBorder="1" applyAlignment="1">
      <alignment vertical="center"/>
    </xf>
    <xf numFmtId="3" fontId="24" fillId="6" borderId="168" xfId="4" applyNumberFormat="1" applyFont="1" applyFill="1" applyBorder="1" applyAlignment="1">
      <alignment horizontal="right" vertical="center"/>
    </xf>
    <xf numFmtId="3" fontId="27" fillId="13" borderId="173" xfId="4" applyNumberFormat="1" applyFont="1" applyFill="1" applyBorder="1" applyAlignment="1">
      <alignment vertical="center" wrapText="1"/>
    </xf>
    <xf numFmtId="3" fontId="32" fillId="13" borderId="168" xfId="6" applyNumberFormat="1" applyFont="1" applyFill="1" applyBorder="1" applyAlignment="1">
      <alignment vertical="center"/>
    </xf>
    <xf numFmtId="0" fontId="7" fillId="13" borderId="173" xfId="4" applyFont="1" applyFill="1" applyBorder="1" applyAlignment="1">
      <alignment vertical="center"/>
    </xf>
    <xf numFmtId="0" fontId="27" fillId="13" borderId="173" xfId="4" applyFont="1" applyFill="1" applyBorder="1" applyAlignment="1">
      <alignment vertical="center"/>
    </xf>
    <xf numFmtId="0" fontId="27" fillId="13" borderId="172" xfId="4" applyFont="1" applyFill="1" applyBorder="1" applyAlignment="1">
      <alignment vertical="center"/>
    </xf>
    <xf numFmtId="3" fontId="33" fillId="13" borderId="168" xfId="6" applyNumberFormat="1" applyFont="1" applyFill="1" applyBorder="1" applyAlignment="1">
      <alignment vertical="center"/>
    </xf>
    <xf numFmtId="0" fontId="7" fillId="13" borderId="172" xfId="4" applyFont="1" applyFill="1" applyBorder="1" applyAlignment="1">
      <alignment vertical="center"/>
    </xf>
    <xf numFmtId="3" fontId="32" fillId="13" borderId="144" xfId="6" applyNumberFormat="1" applyFont="1" applyFill="1" applyBorder="1" applyAlignment="1">
      <alignment vertical="center"/>
    </xf>
    <xf numFmtId="3" fontId="25" fillId="6" borderId="168" xfId="4" applyNumberFormat="1" applyFont="1" applyFill="1" applyBorder="1" applyAlignment="1">
      <alignment horizontal="right" vertical="center"/>
    </xf>
    <xf numFmtId="0" fontId="7" fillId="0" borderId="173" xfId="4" applyFont="1" applyFill="1" applyBorder="1" applyAlignment="1">
      <alignment vertical="center"/>
    </xf>
    <xf numFmtId="3" fontId="31" fillId="25" borderId="168" xfId="4" applyNumberFormat="1" applyFont="1" applyFill="1" applyBorder="1" applyAlignment="1">
      <alignment horizontal="right" vertical="center"/>
    </xf>
    <xf numFmtId="0" fontId="25" fillId="6" borderId="172" xfId="4" applyFont="1" applyFill="1" applyBorder="1" applyAlignment="1">
      <alignment horizontal="center" vertical="center"/>
    </xf>
    <xf numFmtId="43" fontId="27" fillId="0" borderId="168" xfId="1" applyFont="1" applyFill="1" applyBorder="1" applyAlignment="1">
      <alignment horizontal="right" vertical="center"/>
    </xf>
    <xf numFmtId="43" fontId="7" fillId="0" borderId="168" xfId="1" applyFont="1" applyFill="1" applyBorder="1" applyAlignment="1">
      <alignment horizontal="right" vertical="center"/>
    </xf>
    <xf numFmtId="0" fontId="27" fillId="2" borderId="132" xfId="4" applyFont="1" applyFill="1" applyBorder="1" applyAlignment="1">
      <alignment vertical="center"/>
    </xf>
    <xf numFmtId="43" fontId="33" fillId="0" borderId="168" xfId="1" applyFont="1" applyFill="1" applyBorder="1" applyAlignment="1">
      <alignment vertical="center"/>
    </xf>
    <xf numFmtId="3" fontId="27" fillId="2" borderId="173" xfId="4" applyNumberFormat="1" applyFont="1" applyFill="1" applyBorder="1" applyAlignment="1">
      <alignment vertical="center" wrapText="1"/>
    </xf>
    <xf numFmtId="0" fontId="7" fillId="0" borderId="146" xfId="4" applyFont="1" applyFill="1" applyBorder="1" applyAlignment="1">
      <alignment vertical="center"/>
    </xf>
    <xf numFmtId="0" fontId="31" fillId="0" borderId="132" xfId="4" applyFont="1" applyFill="1" applyBorder="1" applyAlignment="1">
      <alignment vertical="center"/>
    </xf>
    <xf numFmtId="3" fontId="7" fillId="0" borderId="177" xfId="4" applyNumberFormat="1" applyFont="1" applyFill="1" applyBorder="1" applyAlignment="1">
      <alignment horizontal="right" vertical="center"/>
    </xf>
    <xf numFmtId="43" fontId="33" fillId="0" borderId="167" xfId="1" applyFont="1" applyFill="1" applyBorder="1" applyAlignment="1">
      <alignment vertical="center"/>
    </xf>
    <xf numFmtId="43" fontId="7" fillId="0" borderId="128" xfId="1" applyFont="1" applyFill="1" applyBorder="1" applyAlignment="1">
      <alignment horizontal="right" vertical="center"/>
    </xf>
    <xf numFmtId="43" fontId="33" fillId="0" borderId="168" xfId="1" applyFont="1" applyFill="1" applyBorder="1" applyAlignment="1">
      <alignment horizontal="right" vertical="center"/>
    </xf>
    <xf numFmtId="3" fontId="31" fillId="0" borderId="144" xfId="4" applyNumberFormat="1" applyFont="1" applyFill="1" applyBorder="1" applyAlignment="1">
      <alignment horizontal="right" vertical="center"/>
    </xf>
    <xf numFmtId="43" fontId="23" fillId="6" borderId="168" xfId="1" applyFont="1" applyFill="1" applyBorder="1" applyAlignment="1">
      <alignment horizontal="right" vertical="center"/>
    </xf>
    <xf numFmtId="3" fontId="7" fillId="0" borderId="169" xfId="4" applyNumberFormat="1" applyFont="1" applyFill="1" applyBorder="1" applyAlignment="1">
      <alignment horizontal="right" vertical="center"/>
    </xf>
    <xf numFmtId="43" fontId="31" fillId="0" borderId="144" xfId="1" applyFont="1" applyFill="1" applyBorder="1" applyAlignment="1">
      <alignment horizontal="right" vertical="center"/>
    </xf>
    <xf numFmtId="0" fontId="25" fillId="2" borderId="42" xfId="0" applyFont="1" applyFill="1" applyBorder="1" applyAlignment="1">
      <alignment horizontal="center" vertical="top"/>
    </xf>
    <xf numFmtId="3" fontId="27" fillId="2" borderId="176" xfId="4" applyNumberFormat="1" applyFont="1" applyFill="1" applyBorder="1" applyAlignment="1">
      <alignment vertical="center" wrapText="1"/>
    </xf>
    <xf numFmtId="0" fontId="7" fillId="0" borderId="167" xfId="4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0" fontId="7" fillId="8" borderId="77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0" fontId="7" fillId="0" borderId="36" xfId="4" applyFont="1" applyFill="1" applyBorder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73" xfId="4" applyFont="1" applyFill="1" applyBorder="1" applyAlignment="1">
      <alignment horizontal="left" vertical="center"/>
    </xf>
    <xf numFmtId="43" fontId="31" fillId="0" borderId="168" xfId="1" applyFont="1" applyFill="1" applyBorder="1" applyAlignment="1">
      <alignment horizontal="right" vertical="center"/>
    </xf>
    <xf numFmtId="3" fontId="29" fillId="13" borderId="168" xfId="4" applyNumberFormat="1" applyFont="1" applyFill="1" applyBorder="1" applyAlignment="1">
      <alignment horizontal="right" vertical="center"/>
    </xf>
    <xf numFmtId="3" fontId="7" fillId="13" borderId="168" xfId="4" applyNumberFormat="1" applyFont="1" applyFill="1" applyBorder="1" applyAlignment="1">
      <alignment horizontal="right" vertical="center"/>
    </xf>
    <xf numFmtId="0" fontId="29" fillId="13" borderId="173" xfId="4" applyFont="1" applyFill="1" applyBorder="1" applyAlignment="1">
      <alignment vertical="center"/>
    </xf>
    <xf numFmtId="0" fontId="29" fillId="13" borderId="172" xfId="4" applyFont="1" applyFill="1" applyBorder="1" applyAlignment="1">
      <alignment vertical="center"/>
    </xf>
    <xf numFmtId="3" fontId="27" fillId="13" borderId="168" xfId="4" applyNumberFormat="1" applyFont="1" applyFill="1" applyBorder="1" applyAlignment="1">
      <alignment horizontal="right" vertical="center"/>
    </xf>
    <xf numFmtId="0" fontId="27" fillId="13" borderId="132" xfId="4" applyFont="1" applyFill="1" applyBorder="1" applyAlignment="1">
      <alignment vertical="center"/>
    </xf>
    <xf numFmtId="0" fontId="31" fillId="6" borderId="168" xfId="0" applyFont="1" applyFill="1" applyBorder="1" applyAlignment="1">
      <alignment vertical="top"/>
    </xf>
    <xf numFmtId="3" fontId="27" fillId="2" borderId="168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0" fontId="17" fillId="0" borderId="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3" fontId="27" fillId="21" borderId="177" xfId="4" applyNumberFormat="1" applyFont="1" applyFill="1" applyBorder="1" applyAlignment="1">
      <alignment horizontal="right" vertical="center"/>
    </xf>
    <xf numFmtId="0" fontId="29" fillId="8" borderId="172" xfId="4" applyFont="1" applyFill="1" applyBorder="1" applyAlignment="1">
      <alignment vertical="center"/>
    </xf>
    <xf numFmtId="3" fontId="29" fillId="8" borderId="168" xfId="4" applyNumberFormat="1" applyFont="1" applyFill="1" applyBorder="1" applyAlignment="1">
      <alignment vertical="center"/>
    </xf>
    <xf numFmtId="3" fontId="29" fillId="23" borderId="167" xfId="4" applyNumberFormat="1" applyFont="1" applyFill="1" applyBorder="1" applyAlignment="1">
      <alignment vertical="center"/>
    </xf>
    <xf numFmtId="3" fontId="7" fillId="8" borderId="168" xfId="4" applyNumberFormat="1" applyFont="1" applyFill="1" applyBorder="1" applyAlignment="1">
      <alignment vertical="center"/>
    </xf>
    <xf numFmtId="3" fontId="31" fillId="23" borderId="167" xfId="4" applyNumberFormat="1" applyFont="1" applyFill="1" applyBorder="1" applyAlignment="1">
      <alignment horizontal="right" vertical="center"/>
    </xf>
    <xf numFmtId="3" fontId="7" fillId="8" borderId="173" xfId="4" applyNumberFormat="1" applyFont="1" applyFill="1" applyBorder="1" applyAlignment="1">
      <alignment vertical="center" wrapText="1"/>
    </xf>
    <xf numFmtId="3" fontId="7" fillId="8" borderId="172" xfId="4" applyNumberFormat="1" applyFont="1" applyFill="1" applyBorder="1" applyAlignment="1">
      <alignment vertical="center" wrapText="1"/>
    </xf>
    <xf numFmtId="3" fontId="27" fillId="23" borderId="167" xfId="4" applyNumberFormat="1" applyFont="1" applyFill="1" applyBorder="1" applyAlignment="1">
      <alignment vertical="center"/>
    </xf>
    <xf numFmtId="0" fontId="7" fillId="8" borderId="173" xfId="4" applyFont="1" applyFill="1" applyBorder="1" applyAlignment="1">
      <alignment vertical="center" wrapText="1"/>
    </xf>
    <xf numFmtId="0" fontId="7" fillId="8" borderId="172" xfId="4" applyFont="1" applyFill="1" applyBorder="1" applyAlignment="1">
      <alignment vertical="center" wrapText="1"/>
    </xf>
    <xf numFmtId="0" fontId="7" fillId="8" borderId="132" xfId="4" applyFont="1" applyFill="1" applyBorder="1" applyAlignment="1">
      <alignment vertical="center" wrapText="1"/>
    </xf>
    <xf numFmtId="3" fontId="27" fillId="8" borderId="132" xfId="4" applyNumberFormat="1" applyFont="1" applyFill="1" applyBorder="1" applyAlignment="1">
      <alignment vertical="center" wrapText="1"/>
    </xf>
    <xf numFmtId="3" fontId="27" fillId="8" borderId="172" xfId="4" applyNumberFormat="1" applyFont="1" applyFill="1" applyBorder="1" applyAlignment="1">
      <alignment vertical="center" wrapText="1"/>
    </xf>
    <xf numFmtId="3" fontId="27" fillId="8" borderId="168" xfId="4" applyNumberFormat="1" applyFont="1" applyFill="1" applyBorder="1" applyAlignment="1">
      <alignment vertical="center"/>
    </xf>
    <xf numFmtId="3" fontId="31" fillId="8" borderId="168" xfId="4" applyNumberFormat="1" applyFont="1" applyFill="1" applyBorder="1" applyAlignment="1">
      <alignment vertical="center"/>
    </xf>
    <xf numFmtId="0" fontId="27" fillId="8" borderId="132" xfId="4" applyFont="1" applyFill="1" applyBorder="1" applyAlignment="1">
      <alignment vertical="center"/>
    </xf>
    <xf numFmtId="0" fontId="27" fillId="8" borderId="172" xfId="4" applyFont="1" applyFill="1" applyBorder="1" applyAlignment="1">
      <alignment vertical="center"/>
    </xf>
    <xf numFmtId="0" fontId="7" fillId="8" borderId="173" xfId="4" applyFont="1" applyFill="1" applyBorder="1" applyAlignment="1">
      <alignment vertical="center"/>
    </xf>
    <xf numFmtId="0" fontId="7" fillId="8" borderId="172" xfId="4" applyFont="1" applyFill="1" applyBorder="1" applyAlignment="1">
      <alignment vertical="center"/>
    </xf>
    <xf numFmtId="3" fontId="7" fillId="8" borderId="167" xfId="4" applyNumberFormat="1" applyFont="1" applyFill="1" applyBorder="1" applyAlignment="1">
      <alignment vertical="center"/>
    </xf>
    <xf numFmtId="3" fontId="29" fillId="13" borderId="173" xfId="4" applyNumberFormat="1" applyFont="1" applyFill="1" applyBorder="1" applyAlignment="1">
      <alignment vertical="center" wrapText="1"/>
    </xf>
    <xf numFmtId="3" fontId="29" fillId="13" borderId="172" xfId="4" applyNumberFormat="1" applyFont="1" applyFill="1" applyBorder="1" applyAlignment="1">
      <alignment vertical="center" wrapText="1"/>
    </xf>
    <xf numFmtId="3" fontId="29" fillId="24" borderId="168" xfId="4" applyNumberFormat="1" applyFont="1" applyFill="1" applyBorder="1" applyAlignment="1">
      <alignment horizontal="right" vertical="center"/>
    </xf>
    <xf numFmtId="3" fontId="7" fillId="13" borderId="173" xfId="4" applyNumberFormat="1" applyFont="1" applyFill="1" applyBorder="1" applyAlignment="1">
      <alignment vertical="center" wrapText="1"/>
    </xf>
    <xf numFmtId="3" fontId="7" fillId="13" borderId="172" xfId="4" applyNumberFormat="1" applyFont="1" applyFill="1" applyBorder="1" applyAlignment="1">
      <alignment vertical="center" wrapText="1"/>
    </xf>
    <xf numFmtId="3" fontId="29" fillId="24" borderId="167" xfId="4" applyNumberFormat="1" applyFont="1" applyFill="1" applyBorder="1" applyAlignment="1">
      <alignment horizontal="right" vertical="center"/>
    </xf>
    <xf numFmtId="3" fontId="7" fillId="13" borderId="140" xfId="4" applyNumberFormat="1" applyFont="1" applyFill="1" applyBorder="1" applyAlignment="1">
      <alignment vertical="center" wrapText="1"/>
    </xf>
    <xf numFmtId="3" fontId="7" fillId="13" borderId="138" xfId="4" applyNumberFormat="1" applyFont="1" applyFill="1" applyBorder="1" applyAlignment="1">
      <alignment vertical="center" wrapText="1"/>
    </xf>
    <xf numFmtId="3" fontId="32" fillId="13" borderId="169" xfId="6" applyNumberFormat="1" applyFont="1" applyFill="1" applyBorder="1" applyAlignment="1">
      <alignment vertical="center"/>
    </xf>
    <xf numFmtId="0" fontId="21" fillId="2" borderId="172" xfId="0" applyFont="1" applyFill="1" applyBorder="1" applyAlignment="1">
      <alignment horizontal="center" vertical="top"/>
    </xf>
    <xf numFmtId="0" fontId="21" fillId="2" borderId="167" xfId="0" applyFont="1" applyFill="1" applyBorder="1" applyAlignment="1">
      <alignment horizontal="center" vertical="top"/>
    </xf>
    <xf numFmtId="0" fontId="21" fillId="2" borderId="167" xfId="0" quotePrefix="1" applyFont="1" applyFill="1" applyBorder="1" applyAlignment="1">
      <alignment horizontal="center" vertical="top"/>
    </xf>
    <xf numFmtId="0" fontId="21" fillId="26" borderId="167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7" fillId="50" borderId="167" xfId="4" applyFont="1" applyFill="1" applyBorder="1" applyAlignment="1">
      <alignment horizontal="left" vertical="center"/>
    </xf>
    <xf numFmtId="3" fontId="27" fillId="50" borderId="167" xfId="4" applyNumberFormat="1" applyFont="1" applyFill="1" applyBorder="1" applyAlignment="1">
      <alignment horizontal="right" vertical="center"/>
    </xf>
    <xf numFmtId="3" fontId="27" fillId="21" borderId="167" xfId="4" applyNumberFormat="1" applyFont="1" applyFill="1" applyBorder="1" applyAlignment="1">
      <alignment horizontal="right" vertical="center"/>
    </xf>
    <xf numFmtId="0" fontId="18" fillId="8" borderId="170" xfId="4" applyFont="1" applyFill="1" applyBorder="1" applyAlignment="1">
      <alignment horizontal="center" vertical="top"/>
    </xf>
    <xf numFmtId="0" fontId="27" fillId="50" borderId="167" xfId="0" applyFont="1" applyFill="1" applyBorder="1" applyAlignment="1">
      <alignment horizontal="left" vertical="top"/>
    </xf>
    <xf numFmtId="0" fontId="28" fillId="50" borderId="167" xfId="0" quotePrefix="1" applyFont="1" applyFill="1" applyBorder="1" applyAlignment="1">
      <alignment horizontal="center" vertical="top"/>
    </xf>
    <xf numFmtId="3" fontId="27" fillId="50" borderId="167" xfId="0" quotePrefix="1" applyNumberFormat="1" applyFont="1" applyFill="1" applyBorder="1" applyAlignment="1">
      <alignment horizontal="right" vertical="top"/>
    </xf>
    <xf numFmtId="3" fontId="24" fillId="6" borderId="167" xfId="4" applyNumberFormat="1" applyFont="1" applyFill="1" applyBorder="1" applyAlignment="1">
      <alignment horizontal="right" vertical="center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67" xfId="4" applyNumberFormat="1" applyFont="1" applyFill="1" applyBorder="1" applyAlignment="1">
      <alignment vertical="top" wrapText="1"/>
    </xf>
    <xf numFmtId="3" fontId="29" fillId="8" borderId="167" xfId="4" applyNumberFormat="1" applyFont="1" applyFill="1" applyBorder="1" applyAlignment="1">
      <alignment horizontal="right" vertical="center"/>
    </xf>
    <xf numFmtId="3" fontId="29" fillId="23" borderId="167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7" xfId="0" applyNumberFormat="1" applyFont="1" applyFill="1" applyBorder="1"/>
    <xf numFmtId="3" fontId="28" fillId="23" borderId="167" xfId="4" applyNumberFormat="1" applyFont="1" applyFill="1" applyBorder="1" applyAlignment="1">
      <alignment horizontal="right" vertical="center"/>
    </xf>
    <xf numFmtId="0" fontId="7" fillId="8" borderId="167" xfId="4" applyFont="1" applyFill="1" applyBorder="1" applyAlignment="1">
      <alignment vertical="top" wrapText="1"/>
    </xf>
    <xf numFmtId="0" fontId="29" fillId="8" borderId="167" xfId="4" applyFont="1" applyFill="1" applyBorder="1" applyAlignment="1">
      <alignment vertical="top"/>
    </xf>
    <xf numFmtId="0" fontId="7" fillId="8" borderId="176" xfId="4" applyFont="1" applyFill="1" applyBorder="1" applyAlignment="1">
      <alignment vertical="top" wrapText="1"/>
    </xf>
    <xf numFmtId="3" fontId="7" fillId="8" borderId="171" xfId="4" applyNumberFormat="1" applyFont="1" applyFill="1" applyBorder="1" applyAlignment="1">
      <alignment vertical="top" wrapText="1"/>
    </xf>
    <xf numFmtId="3" fontId="32" fillId="8" borderId="167" xfId="6" applyNumberFormat="1" applyFont="1" applyFill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3" fontId="29" fillId="8" borderId="171" xfId="4" applyNumberFormat="1" applyFont="1" applyFill="1" applyBorder="1" applyAlignment="1">
      <alignment vertical="top" wrapText="1"/>
    </xf>
    <xf numFmtId="3" fontId="27" fillId="8" borderId="167" xfId="4" applyNumberFormat="1" applyFont="1" applyFill="1" applyBorder="1" applyAlignment="1">
      <alignment vertical="top" wrapText="1"/>
    </xf>
    <xf numFmtId="3" fontId="33" fillId="8" borderId="167" xfId="6" applyNumberFormat="1" applyFont="1" applyFill="1" applyBorder="1" applyAlignment="1">
      <alignment vertical="center"/>
    </xf>
    <xf numFmtId="0" fontId="7" fillId="8" borderId="171" xfId="4" applyFont="1" applyFill="1" applyBorder="1" applyAlignment="1">
      <alignment vertical="top" wrapText="1"/>
    </xf>
    <xf numFmtId="0" fontId="7" fillId="8" borderId="167" xfId="4" applyFont="1" applyFill="1" applyBorder="1" applyAlignment="1">
      <alignment horizontal="left" vertical="center"/>
    </xf>
    <xf numFmtId="0" fontId="27" fillId="8" borderId="171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27" fillId="23" borderId="167" xfId="4" applyNumberFormat="1" applyFont="1" applyFill="1" applyBorder="1" applyAlignment="1">
      <alignment horizontal="right" vertical="center"/>
    </xf>
    <xf numFmtId="3" fontId="33" fillId="23" borderId="167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3" fontId="27" fillId="8" borderId="167" xfId="0" applyNumberFormat="1" applyFont="1" applyFill="1" applyBorder="1" applyAlignment="1">
      <alignment vertical="center"/>
    </xf>
    <xf numFmtId="3" fontId="31" fillId="28" borderId="16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0" fillId="0" borderId="85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43" fontId="8" fillId="0" borderId="2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2" xfId="0" applyNumberFormat="1" applyFont="1" applyFill="1" applyBorder="1" applyAlignment="1">
      <alignment vertical="center" wrapText="1"/>
    </xf>
    <xf numFmtId="3" fontId="8" fillId="0" borderId="10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6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3" fontId="66" fillId="5" borderId="45" xfId="0" applyNumberFormat="1" applyFont="1" applyFill="1" applyBorder="1" applyAlignment="1">
      <alignment horizontal="right" vertical="center" wrapText="1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6" fillId="7" borderId="49" xfId="0" applyNumberFormat="1" applyFont="1" applyFill="1" applyBorder="1" applyAlignment="1">
      <alignment horizontal="right" vertical="center" wrapText="1"/>
    </xf>
    <xf numFmtId="3" fontId="65" fillId="8" borderId="35" xfId="0" applyNumberFormat="1" applyFont="1" applyFill="1" applyBorder="1" applyAlignment="1">
      <alignment horizontal="right" vertical="center" wrapText="1"/>
    </xf>
    <xf numFmtId="3" fontId="65" fillId="9" borderId="46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0" fontId="60" fillId="13" borderId="20" xfId="0" applyFont="1" applyFill="1" applyBorder="1" applyAlignment="1">
      <alignment vertical="center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0" fontId="66" fillId="13" borderId="57" xfId="4" applyFont="1" applyFill="1" applyBorder="1" applyAlignment="1">
      <alignment horizontal="left" vertical="center"/>
    </xf>
    <xf numFmtId="3" fontId="62" fillId="13" borderId="58" xfId="0" applyNumberFormat="1" applyFont="1" applyFill="1" applyBorder="1" applyAlignment="1">
      <alignment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62" fillId="13" borderId="60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0" fontId="60" fillId="13" borderId="37" xfId="0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7" xfId="0" applyNumberFormat="1" applyFont="1" applyFill="1" applyBorder="1" applyAlignment="1">
      <alignment horizontal="center" vertical="center" wrapText="1"/>
    </xf>
    <xf numFmtId="0" fontId="74" fillId="13" borderId="0" xfId="4" applyFont="1" applyFill="1" applyBorder="1" applyAlignment="1">
      <alignment horizontal="center" vertical="center"/>
    </xf>
    <xf numFmtId="3" fontId="62" fillId="13" borderId="0" xfId="0" applyNumberFormat="1" applyFont="1" applyFill="1" applyBorder="1" applyAlignment="1">
      <alignment vertical="center" wrapText="1"/>
    </xf>
    <xf numFmtId="0" fontId="66" fillId="13" borderId="0" xfId="4" applyFont="1" applyFill="1" applyBorder="1" applyAlignment="1">
      <alignment horizontal="left" vertical="center"/>
    </xf>
    <xf numFmtId="0" fontId="66" fillId="0" borderId="0" xfId="4" applyFont="1" applyFill="1" applyBorder="1" applyAlignment="1">
      <alignment horizontal="left" vertical="center"/>
    </xf>
    <xf numFmtId="3" fontId="62" fillId="0" borderId="0" xfId="0" applyNumberFormat="1" applyFont="1" applyFill="1" applyBorder="1" applyAlignment="1">
      <alignment vertical="center" wrapText="1"/>
    </xf>
    <xf numFmtId="0" fontId="66" fillId="0" borderId="53" xfId="4" applyFont="1" applyFill="1" applyBorder="1" applyAlignment="1">
      <alignment horizontal="left" vertical="center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0" fontId="39" fillId="0" borderId="20" xfId="0" applyFont="1" applyFill="1" applyBorder="1" applyAlignment="1">
      <alignment vertical="center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6" fillId="13" borderId="61" xfId="4" applyFont="1" applyFill="1" applyBorder="1" applyAlignment="1">
      <alignment horizontal="left" vertical="center"/>
    </xf>
    <xf numFmtId="3" fontId="62" fillId="13" borderId="61" xfId="0" applyNumberFormat="1" applyFont="1" applyFill="1" applyBorder="1" applyAlignment="1">
      <alignment vertical="center" wrapText="1"/>
    </xf>
    <xf numFmtId="0" fontId="65" fillId="0" borderId="71" xfId="0" applyFont="1" applyBorder="1" applyAlignment="1">
      <alignment horizontal="center" vertical="center"/>
    </xf>
    <xf numFmtId="0" fontId="65" fillId="0" borderId="13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 vertical="center"/>
    </xf>
    <xf numFmtId="0" fontId="65" fillId="0" borderId="63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6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9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70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6" fillId="6" borderId="144" xfId="0" applyNumberFormat="1" applyFont="1" applyFill="1" applyBorder="1"/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70" xfId="0" applyNumberFormat="1" applyFont="1" applyFill="1" applyBorder="1"/>
    <xf numFmtId="3" fontId="36" fillId="6" borderId="35" xfId="0" applyNumberFormat="1" applyFont="1" applyFill="1" applyBorder="1"/>
    <xf numFmtId="0" fontId="7" fillId="6" borderId="73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2" xfId="0" applyNumberFormat="1" applyFont="1" applyFill="1" applyBorder="1"/>
    <xf numFmtId="3" fontId="8" fillId="6" borderId="144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8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71" xfId="0" applyNumberFormat="1" applyFont="1" applyFill="1" applyBorder="1"/>
    <xf numFmtId="3" fontId="8" fillId="8" borderId="31" xfId="0" applyNumberFormat="1" applyFont="1" applyFill="1" applyBorder="1"/>
    <xf numFmtId="3" fontId="8" fillId="8" borderId="136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3" xfId="0" applyFont="1" applyFill="1" applyBorder="1" applyAlignment="1">
      <alignment vertical="center"/>
    </xf>
    <xf numFmtId="3" fontId="8" fillId="8" borderId="63" xfId="0" applyNumberFormat="1" applyFont="1" applyFill="1" applyBorder="1"/>
    <xf numFmtId="3" fontId="8" fillId="8" borderId="133" xfId="0" applyNumberFormat="1" applyFont="1" applyFill="1" applyBorder="1"/>
    <xf numFmtId="3" fontId="8" fillId="8" borderId="47" xfId="0" applyNumberFormat="1" applyFont="1" applyFill="1" applyBorder="1"/>
    <xf numFmtId="3" fontId="8" fillId="8" borderId="75" xfId="0" applyNumberFormat="1" applyFont="1" applyFill="1" applyBorder="1"/>
    <xf numFmtId="3" fontId="8" fillId="8" borderId="145" xfId="0" applyNumberFormat="1" applyFont="1" applyFill="1" applyBorder="1"/>
    <xf numFmtId="3" fontId="8" fillId="8" borderId="144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0" fontId="36" fillId="16" borderId="51" xfId="0" applyFont="1" applyFill="1" applyBorder="1" applyAlignment="1">
      <alignment horizontal="center" wrapText="1"/>
    </xf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70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136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0" fontId="7" fillId="8" borderId="73" xfId="0" applyFont="1" applyFill="1" applyBorder="1" applyAlignment="1">
      <alignment vertical="center" wrapText="1"/>
    </xf>
    <xf numFmtId="0" fontId="8" fillId="17" borderId="0" xfId="0" applyFont="1" applyFill="1" applyBorder="1" applyAlignment="1">
      <alignment horizontal="right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36" fillId="0" borderId="27" xfId="0" applyFont="1" applyBorder="1" applyAlignment="1">
      <alignment horizontal="center" vertical="center"/>
    </xf>
    <xf numFmtId="0" fontId="36" fillId="18" borderId="3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0" fontId="36" fillId="18" borderId="24" xfId="0" applyFont="1" applyFill="1" applyBorder="1" applyAlignment="1">
      <alignment horizontal="center"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0" fontId="7" fillId="11" borderId="20" xfId="0" applyFont="1" applyFill="1" applyBorder="1" applyAlignment="1">
      <alignment vertical="center" wrapText="1"/>
    </xf>
    <xf numFmtId="3" fontId="6" fillId="11" borderId="70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3" fontId="6" fillId="11" borderId="136" xfId="0" applyNumberFormat="1" applyFont="1" applyFill="1" applyBorder="1"/>
    <xf numFmtId="0" fontId="7" fillId="11" borderId="73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3" fontId="6" fillId="11" borderId="144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0" fontId="36" fillId="18" borderId="51" xfId="0" applyFont="1" applyFill="1" applyBorder="1" applyAlignment="1">
      <alignment horizontal="center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70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3" fontId="6" fillId="11" borderId="136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3" fontId="29" fillId="2" borderId="176" xfId="4" applyNumberFormat="1" applyFont="1" applyFill="1" applyBorder="1" applyAlignment="1">
      <alignment vertical="center" wrapText="1"/>
    </xf>
    <xf numFmtId="0" fontId="7" fillId="0" borderId="176" xfId="4" applyFont="1" applyFill="1" applyBorder="1" applyAlignment="1">
      <alignment vertical="center"/>
    </xf>
    <xf numFmtId="43" fontId="31" fillId="25" borderId="168" xfId="1" applyFont="1" applyFill="1" applyBorder="1" applyAlignment="1">
      <alignment horizontal="right" vertical="center"/>
    </xf>
    <xf numFmtId="0" fontId="29" fillId="2" borderId="176" xfId="4" applyFont="1" applyFill="1" applyBorder="1" applyAlignment="1">
      <alignment vertical="center"/>
    </xf>
    <xf numFmtId="0" fontId="7" fillId="0" borderId="174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7" fillId="0" borderId="128" xfId="1" applyFont="1" applyFill="1" applyBorder="1" applyAlignment="1">
      <alignment vertical="top"/>
    </xf>
    <xf numFmtId="0" fontId="7" fillId="32" borderId="132" xfId="4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32" xfId="4" applyFont="1" applyFill="1" applyBorder="1" applyAlignment="1">
      <alignment horizontal="left" vertical="center"/>
    </xf>
    <xf numFmtId="0" fontId="27" fillId="50" borderId="132" xfId="0" applyFont="1" applyFill="1" applyBorder="1" applyAlignment="1">
      <alignment horizontal="left" vertical="top"/>
    </xf>
    <xf numFmtId="0" fontId="7" fillId="8" borderId="132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9" xfId="4" applyNumberFormat="1" applyFont="1" applyFill="1" applyBorder="1" applyAlignment="1">
      <alignment horizontal="right" vertical="center"/>
    </xf>
    <xf numFmtId="3" fontId="7" fillId="23" borderId="70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0" fontId="0" fillId="0" borderId="22" xfId="0" applyFont="1" applyBorder="1" applyAlignment="1"/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4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5" xfId="1" applyFont="1" applyFill="1" applyBorder="1" applyAlignment="1">
      <alignment vertical="top"/>
    </xf>
    <xf numFmtId="3" fontId="7" fillId="0" borderId="145" xfId="4" applyNumberFormat="1" applyFont="1" applyFill="1" applyBorder="1" applyAlignment="1">
      <alignment vertical="top"/>
    </xf>
    <xf numFmtId="3" fontId="7" fillId="25" borderId="128" xfId="4" applyNumberFormat="1" applyFont="1" applyFill="1" applyBorder="1" applyAlignment="1">
      <alignment vertical="top"/>
    </xf>
    <xf numFmtId="3" fontId="27" fillId="0" borderId="177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0" fontId="31" fillId="8" borderId="36" xfId="4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8" fillId="54" borderId="138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13" borderId="36" xfId="4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2" xfId="0" applyNumberFormat="1" applyFont="1" applyFill="1" applyBorder="1" applyAlignment="1">
      <alignment horizontal="right" vertical="center"/>
    </xf>
    <xf numFmtId="3" fontId="7" fillId="0" borderId="65" xfId="0" applyNumberFormat="1" applyFont="1" applyFill="1" applyBorder="1" applyAlignment="1">
      <alignment horizontal="right" vertical="center"/>
    </xf>
    <xf numFmtId="43" fontId="31" fillId="0" borderId="9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3" fontId="28" fillId="51" borderId="35" xfId="0" applyNumberFormat="1" applyFont="1" applyFill="1" applyBorder="1" applyAlignment="1">
      <alignment vertical="center"/>
    </xf>
    <xf numFmtId="3" fontId="31" fillId="50" borderId="9" xfId="0" applyNumberFormat="1" applyFont="1" applyFill="1" applyBorder="1" applyAlignment="1">
      <alignment vertical="top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28" xfId="0" applyNumberFormat="1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vertical="top"/>
    </xf>
    <xf numFmtId="0" fontId="26" fillId="0" borderId="43" xfId="0" applyFont="1" applyBorder="1" applyAlignment="1"/>
    <xf numFmtId="0" fontId="26" fillId="0" borderId="41" xfId="0" applyFont="1" applyBorder="1" applyAlignment="1"/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8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0" fontId="28" fillId="0" borderId="176" xfId="4" quotePrefix="1" applyFont="1" applyFill="1" applyBorder="1" applyAlignment="1">
      <alignment horizontal="right" vertical="center"/>
    </xf>
    <xf numFmtId="3" fontId="31" fillId="23" borderId="168" xfId="4" applyNumberFormat="1" applyFont="1" applyFill="1" applyBorder="1" applyAlignment="1">
      <alignment vertical="center"/>
    </xf>
    <xf numFmtId="3" fontId="28" fillId="0" borderId="169" xfId="4" applyNumberFormat="1" applyFont="1" applyFill="1" applyBorder="1" applyAlignment="1">
      <alignment horizontal="right" vertical="center"/>
    </xf>
    <xf numFmtId="3" fontId="31" fillId="23" borderId="177" xfId="4" applyNumberFormat="1" applyFont="1" applyFill="1" applyBorder="1" applyAlignment="1">
      <alignment vertical="center"/>
    </xf>
    <xf numFmtId="3" fontId="32" fillId="8" borderId="168" xfId="6" applyNumberFormat="1" applyFont="1" applyFill="1" applyBorder="1" applyAlignment="1">
      <alignment vertical="center"/>
    </xf>
    <xf numFmtId="3" fontId="29" fillId="8" borderId="176" xfId="4" applyNumberFormat="1" applyFont="1" applyFill="1" applyBorder="1" applyAlignment="1">
      <alignment vertical="center" wrapText="1"/>
    </xf>
    <xf numFmtId="3" fontId="32" fillId="8" borderId="172" xfId="6" applyNumberFormat="1" applyFont="1" applyFill="1" applyBorder="1" applyAlignment="1">
      <alignment vertical="center"/>
    </xf>
    <xf numFmtId="3" fontId="33" fillId="8" borderId="168" xfId="6" applyNumberFormat="1" applyFont="1" applyFill="1" applyBorder="1" applyAlignment="1">
      <alignment vertical="center"/>
    </xf>
    <xf numFmtId="3" fontId="7" fillId="8" borderId="131" xfId="4" applyNumberFormat="1" applyFont="1" applyFill="1" applyBorder="1" applyAlignment="1">
      <alignment vertical="center" wrapText="1"/>
    </xf>
    <xf numFmtId="3" fontId="32" fillId="8" borderId="144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vertical="top"/>
    </xf>
    <xf numFmtId="0" fontId="0" fillId="0" borderId="183" xfId="0" applyFont="1" applyBorder="1" applyAlignment="1">
      <alignment vertical="center"/>
    </xf>
    <xf numFmtId="0" fontId="40" fillId="2" borderId="86" xfId="0" applyFont="1" applyFill="1" applyBorder="1" applyAlignment="1">
      <alignment vertical="center"/>
    </xf>
    <xf numFmtId="0" fontId="59" fillId="2" borderId="18" xfId="0" applyFont="1" applyFill="1" applyBorder="1" applyAlignment="1">
      <alignment vertical="center"/>
    </xf>
    <xf numFmtId="0" fontId="59" fillId="36" borderId="18" xfId="0" applyFont="1" applyFill="1" applyBorder="1" applyAlignment="1">
      <alignment vertical="center"/>
    </xf>
    <xf numFmtId="0" fontId="59" fillId="2" borderId="4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vertical="top"/>
    </xf>
    <xf numFmtId="0" fontId="24" fillId="8" borderId="11" xfId="4" applyFont="1" applyFill="1" applyBorder="1" applyAlignment="1">
      <alignment horizontal="right" vertical="top"/>
    </xf>
    <xf numFmtId="0" fontId="7" fillId="8" borderId="26" xfId="4" applyFont="1" applyFill="1" applyBorder="1" applyAlignment="1">
      <alignment vertical="top"/>
    </xf>
    <xf numFmtId="0" fontId="7" fillId="8" borderId="26" xfId="4" applyFont="1" applyFill="1" applyBorder="1" applyAlignment="1">
      <alignment vertical="center"/>
    </xf>
    <xf numFmtId="3" fontId="25" fillId="6" borderId="183" xfId="4" applyNumberFormat="1" applyFont="1" applyFill="1" applyBorder="1" applyAlignment="1">
      <alignment vertical="center"/>
    </xf>
    <xf numFmtId="43" fontId="25" fillId="6" borderId="183" xfId="1" applyFont="1" applyFill="1" applyBorder="1" applyAlignment="1">
      <alignment vertical="center"/>
    </xf>
    <xf numFmtId="0" fontId="24" fillId="8" borderId="26" xfId="4" applyFont="1" applyFill="1" applyBorder="1" applyAlignment="1">
      <alignment horizontal="right" vertical="top"/>
    </xf>
    <xf numFmtId="0" fontId="7" fillId="8" borderId="68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5" fillId="22" borderId="183" xfId="4" applyNumberFormat="1" applyFont="1" applyFill="1" applyBorder="1" applyAlignment="1">
      <alignment vertical="center"/>
    </xf>
    <xf numFmtId="3" fontId="27" fillId="0" borderId="183" xfId="4" applyNumberFormat="1" applyFont="1" applyFill="1" applyBorder="1" applyAlignment="1">
      <alignment horizontal="right" vertical="center"/>
    </xf>
    <xf numFmtId="3" fontId="29" fillId="0" borderId="183" xfId="4" applyNumberFormat="1" applyFont="1" applyFill="1" applyBorder="1" applyAlignment="1">
      <alignment horizontal="right" vertical="center"/>
    </xf>
    <xf numFmtId="3" fontId="27" fillId="25" borderId="183" xfId="4" applyNumberFormat="1" applyFont="1" applyFill="1" applyBorder="1" applyAlignment="1">
      <alignment horizontal="right"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43" fontId="31" fillId="0" borderId="168" xfId="1" applyFont="1" applyFill="1" applyBorder="1" applyAlignment="1"/>
    <xf numFmtId="43" fontId="7" fillId="0" borderId="169" xfId="1" applyFont="1" applyFill="1" applyBorder="1" applyAlignment="1">
      <alignment horizontal="right" vertical="center"/>
    </xf>
    <xf numFmtId="43" fontId="27" fillId="0" borderId="94" xfId="1" applyFont="1" applyFill="1" applyBorder="1" applyAlignment="1">
      <alignment horizontal="right" vertical="center"/>
    </xf>
    <xf numFmtId="43" fontId="7" fillId="0" borderId="94" xfId="1" applyFont="1" applyFill="1" applyBorder="1" applyAlignment="1">
      <alignment horizontal="right" vertical="center"/>
    </xf>
    <xf numFmtId="43" fontId="27" fillId="0" borderId="65" xfId="1" applyFont="1" applyFill="1" applyBorder="1" applyAlignment="1">
      <alignment horizontal="right" vertical="center"/>
    </xf>
    <xf numFmtId="43" fontId="7" fillId="0" borderId="65" xfId="1" applyFont="1" applyFill="1" applyBorder="1" applyAlignment="1">
      <alignment horizontal="right" vertical="center"/>
    </xf>
    <xf numFmtId="43" fontId="27" fillId="8" borderId="134" xfId="1" applyFont="1" applyFill="1" applyBorder="1" applyAlignment="1">
      <alignment vertical="center"/>
    </xf>
    <xf numFmtId="43" fontId="31" fillId="28" borderId="134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26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7" fillId="0" borderId="183" xfId="4" applyNumberFormat="1" applyFont="1" applyFill="1" applyBorder="1" applyAlignment="1">
      <alignment horizontal="right" vertical="center"/>
    </xf>
    <xf numFmtId="0" fontId="0" fillId="0" borderId="183" xfId="0" applyFont="1" applyBorder="1"/>
    <xf numFmtId="3" fontId="0" fillId="0" borderId="183" xfId="0" applyNumberFormat="1" applyFont="1" applyBorder="1" applyAlignment="1">
      <alignment vertical="center"/>
    </xf>
    <xf numFmtId="3" fontId="37" fillId="0" borderId="183" xfId="0" applyNumberFormat="1" applyFont="1" applyBorder="1" applyAlignment="1">
      <alignment vertical="center"/>
    </xf>
    <xf numFmtId="0" fontId="39" fillId="0" borderId="183" xfId="0" applyFont="1" applyBorder="1" applyAlignment="1">
      <alignment vertical="center"/>
    </xf>
    <xf numFmtId="3" fontId="39" fillId="0" borderId="183" xfId="0" applyNumberFormat="1" applyFont="1" applyBorder="1" applyAlignment="1">
      <alignment vertical="center"/>
    </xf>
    <xf numFmtId="0" fontId="18" fillId="0" borderId="183" xfId="0" applyFont="1" applyBorder="1" applyAlignment="1">
      <alignment vertical="top"/>
    </xf>
    <xf numFmtId="3" fontId="0" fillId="0" borderId="183" xfId="0" applyNumberFormat="1" applyFont="1" applyBorder="1"/>
    <xf numFmtId="3" fontId="37" fillId="0" borderId="183" xfId="0" applyNumberFormat="1" applyFont="1" applyBorder="1"/>
    <xf numFmtId="3" fontId="8" fillId="0" borderId="183" xfId="0" applyNumberFormat="1" applyFont="1" applyBorder="1" applyAlignment="1">
      <alignment vertical="top"/>
    </xf>
    <xf numFmtId="0" fontId="37" fillId="0" borderId="183" xfId="0" applyFont="1" applyBorder="1" applyAlignment="1">
      <alignment vertical="center"/>
    </xf>
    <xf numFmtId="0" fontId="24" fillId="8" borderId="183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83" xfId="4" applyNumberFormat="1" applyFont="1" applyFill="1" applyBorder="1" applyAlignment="1">
      <alignment horizontal="right" vertical="center"/>
    </xf>
    <xf numFmtId="3" fontId="24" fillId="22" borderId="183" xfId="4" applyNumberFormat="1" applyFont="1" applyFill="1" applyBorder="1" applyAlignment="1">
      <alignment horizontal="right" vertical="center"/>
    </xf>
    <xf numFmtId="0" fontId="25" fillId="6" borderId="183" xfId="4" applyFont="1" applyFill="1" applyBorder="1" applyAlignment="1">
      <alignment horizontal="lef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33" fillId="0" borderId="183" xfId="6" applyNumberFormat="1" applyFont="1" applyFill="1" applyBorder="1" applyAlignment="1">
      <alignment vertical="center"/>
    </xf>
    <xf numFmtId="3" fontId="33" fillId="25" borderId="183" xfId="6" applyNumberFormat="1" applyFont="1" applyFill="1" applyBorder="1" applyAlignment="1">
      <alignment vertical="center"/>
    </xf>
    <xf numFmtId="3" fontId="31" fillId="0" borderId="183" xfId="0" applyNumberFormat="1" applyFont="1" applyFill="1" applyBorder="1" applyAlignment="1">
      <alignment horizontal="right"/>
    </xf>
    <xf numFmtId="3" fontId="31" fillId="0" borderId="183" xfId="0" applyNumberFormat="1" applyFont="1" applyFill="1" applyBorder="1" applyAlignment="1">
      <alignment horizontal="right" vertical="center"/>
    </xf>
    <xf numFmtId="3" fontId="24" fillId="6" borderId="183" xfId="4" applyNumberFormat="1" applyFont="1" applyFill="1" applyBorder="1" applyAlignment="1">
      <alignment vertical="center"/>
    </xf>
    <xf numFmtId="3" fontId="25" fillId="22" borderId="178" xfId="4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horizontal="center" vertical="center" wrapText="1"/>
    </xf>
    <xf numFmtId="0" fontId="74" fillId="2" borderId="0" xfId="0" applyFont="1" applyFill="1" applyBorder="1" applyAlignment="1">
      <alignment vertical="center"/>
    </xf>
    <xf numFmtId="3" fontId="74" fillId="2" borderId="0" xfId="0" applyNumberFormat="1" applyFont="1" applyFill="1" applyAlignment="1">
      <alignment vertical="center"/>
    </xf>
    <xf numFmtId="3" fontId="74" fillId="2" borderId="0" xfId="0" applyNumberFormat="1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vertical="center"/>
    </xf>
    <xf numFmtId="3" fontId="25" fillId="6" borderId="9" xfId="4" applyNumberFormat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24" fillId="26" borderId="110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9" xfId="4" applyFont="1" applyFill="1" applyBorder="1" applyAlignment="1">
      <alignment vertical="center" wrapText="1"/>
    </xf>
    <xf numFmtId="0" fontId="24" fillId="8" borderId="70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6" xfId="0" applyNumberFormat="1" applyFont="1" applyFill="1" applyBorder="1" applyAlignment="1">
      <alignment vertical="top"/>
    </xf>
    <xf numFmtId="0" fontId="31" fillId="0" borderId="132" xfId="0" applyFont="1" applyFill="1" applyBorder="1" applyAlignment="1">
      <alignment horizontal="left" vertical="center" wrapText="1"/>
    </xf>
    <xf numFmtId="3" fontId="25" fillId="22" borderId="103" xfId="0" applyNumberFormat="1" applyFont="1" applyFill="1" applyBorder="1" applyAlignment="1">
      <alignment vertical="top"/>
    </xf>
    <xf numFmtId="3" fontId="25" fillId="25" borderId="102" xfId="0" applyNumberFormat="1" applyFont="1" applyFill="1" applyBorder="1" applyAlignment="1">
      <alignment vertical="top"/>
    </xf>
    <xf numFmtId="0" fontId="31" fillId="0" borderId="77" xfId="0" applyFont="1" applyFill="1" applyBorder="1" applyAlignment="1">
      <alignment vertical="top"/>
    </xf>
    <xf numFmtId="0" fontId="31" fillId="2" borderId="77" xfId="0" applyFont="1" applyFill="1" applyBorder="1" applyAlignment="1">
      <alignment vertical="center"/>
    </xf>
    <xf numFmtId="3" fontId="31" fillId="2" borderId="128" xfId="0" applyNumberFormat="1" applyFont="1" applyFill="1" applyBorder="1" applyAlignment="1">
      <alignment vertical="top"/>
    </xf>
    <xf numFmtId="3" fontId="31" fillId="32" borderId="128" xfId="0" applyNumberFormat="1" applyFont="1" applyFill="1" applyBorder="1" applyAlignment="1">
      <alignment vertical="top"/>
    </xf>
    <xf numFmtId="43" fontId="31" fillId="32" borderId="128" xfId="1" applyFont="1" applyFill="1" applyBorder="1" applyAlignment="1">
      <alignment vertical="top"/>
    </xf>
    <xf numFmtId="0" fontId="29" fillId="8" borderId="43" xfId="0" applyFont="1" applyFill="1" applyBorder="1" applyAlignment="1">
      <alignment vertical="top"/>
    </xf>
    <xf numFmtId="3" fontId="18" fillId="8" borderId="13" xfId="4" applyNumberFormat="1" applyFont="1" applyFill="1" applyBorder="1" applyAlignment="1">
      <alignment vertical="top" wrapText="1"/>
    </xf>
    <xf numFmtId="0" fontId="7" fillId="8" borderId="43" xfId="4" applyFont="1" applyFill="1" applyBorder="1" applyAlignment="1">
      <alignment vertical="top"/>
    </xf>
    <xf numFmtId="3" fontId="18" fillId="8" borderId="12" xfId="4" applyNumberFormat="1" applyFont="1" applyFill="1" applyBorder="1" applyAlignment="1">
      <alignment vertical="top" wrapText="1"/>
    </xf>
    <xf numFmtId="0" fontId="25" fillId="8" borderId="10" xfId="0" applyFont="1" applyFill="1" applyBorder="1" applyAlignment="1">
      <alignment vertical="center"/>
    </xf>
    <xf numFmtId="3" fontId="25" fillId="22" borderId="35" xfId="4" applyNumberFormat="1" applyFont="1" applyFill="1" applyBorder="1" applyAlignment="1">
      <alignment horizontal="right" vertical="center"/>
    </xf>
    <xf numFmtId="3" fontId="18" fillId="0" borderId="13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4" fillId="8" borderId="10" xfId="4" applyFont="1" applyFill="1" applyBorder="1" applyAlignment="1">
      <alignment horizontal="right" vertical="top"/>
    </xf>
    <xf numFmtId="0" fontId="27" fillId="8" borderId="168" xfId="4" applyFont="1" applyFill="1" applyBorder="1" applyAlignment="1">
      <alignment horizontal="left" vertical="center"/>
    </xf>
    <xf numFmtId="3" fontId="27" fillId="8" borderId="167" xfId="4" applyNumberFormat="1" applyFont="1" applyFill="1" applyBorder="1" applyAlignment="1">
      <alignment vertical="top"/>
    </xf>
    <xf numFmtId="3" fontId="27" fillId="23" borderId="167" xfId="4" applyNumberFormat="1" applyFont="1" applyFill="1" applyBorder="1" applyAlignment="1">
      <alignment vertical="top"/>
    </xf>
    <xf numFmtId="0" fontId="0" fillId="0" borderId="0" xfId="0" applyFont="1" applyFill="1" applyBorder="1"/>
    <xf numFmtId="0" fontId="7" fillId="8" borderId="10" xfId="4" applyFont="1" applyFill="1" applyBorder="1" applyAlignment="1">
      <alignment vertical="top"/>
    </xf>
    <xf numFmtId="0" fontId="7" fillId="8" borderId="168" xfId="4" applyFont="1" applyFill="1" applyBorder="1" applyAlignment="1">
      <alignment vertical="top"/>
    </xf>
    <xf numFmtId="3" fontId="7" fillId="8" borderId="167" xfId="4" applyNumberFormat="1" applyFont="1" applyFill="1" applyBorder="1" applyAlignment="1">
      <alignment vertical="top"/>
    </xf>
    <xf numFmtId="3" fontId="7" fillId="23" borderId="167" xfId="4" applyNumberFormat="1" applyFont="1" applyFill="1" applyBorder="1" applyAlignment="1">
      <alignment vertical="top"/>
    </xf>
    <xf numFmtId="3" fontId="32" fillId="0" borderId="0" xfId="0" applyNumberFormat="1" applyFont="1" applyFill="1" applyBorder="1"/>
    <xf numFmtId="3" fontId="0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8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8" xfId="4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top"/>
    </xf>
    <xf numFmtId="0" fontId="7" fillId="8" borderId="77" xfId="4" applyFont="1" applyFill="1" applyBorder="1" applyAlignment="1">
      <alignment vertical="top" wrapText="1"/>
    </xf>
    <xf numFmtId="0" fontId="31" fillId="8" borderId="144" xfId="4" applyFont="1" applyFill="1" applyBorder="1" applyAlignment="1">
      <alignment horizontal="left" vertical="center"/>
    </xf>
    <xf numFmtId="3" fontId="7" fillId="8" borderId="128" xfId="4" applyNumberFormat="1" applyFont="1" applyFill="1" applyBorder="1" applyAlignment="1">
      <alignment vertical="top"/>
    </xf>
    <xf numFmtId="0" fontId="0" fillId="0" borderId="0" xfId="0" applyFont="1" applyAlignment="1">
      <alignment horizontal="left" vertical="center"/>
    </xf>
    <xf numFmtId="0" fontId="4" fillId="0" borderId="183" xfId="0" applyFont="1" applyBorder="1"/>
    <xf numFmtId="0" fontId="4" fillId="0" borderId="183" xfId="0" applyFont="1" applyBorder="1" applyAlignment="1">
      <alignment vertical="center"/>
    </xf>
    <xf numFmtId="3" fontId="4" fillId="0" borderId="183" xfId="0" applyNumberFormat="1" applyFont="1" applyBorder="1"/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31" fillId="8" borderId="167" xfId="4" applyNumberFormat="1" applyFont="1" applyFill="1" applyBorder="1" applyAlignment="1">
      <alignment horizontal="right" vertical="center"/>
    </xf>
    <xf numFmtId="3" fontId="7" fillId="8" borderId="176" xfId="4" applyNumberFormat="1" applyFont="1" applyFill="1" applyBorder="1" applyAlignment="1">
      <alignment vertical="center" wrapText="1"/>
    </xf>
    <xf numFmtId="3" fontId="7" fillId="8" borderId="172" xfId="0" applyNumberFormat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3" fontId="31" fillId="23" borderId="178" xfId="4" applyNumberFormat="1" applyFont="1" applyFill="1" applyBorder="1" applyAlignment="1">
      <alignment vertical="center"/>
    </xf>
    <xf numFmtId="43" fontId="23" fillId="6" borderId="9" xfId="1" applyFont="1" applyFill="1" applyBorder="1" applyAlignment="1">
      <alignment horizontal="right" vertical="center"/>
    </xf>
    <xf numFmtId="43" fontId="6" fillId="0" borderId="47" xfId="1" applyFont="1" applyFill="1" applyBorder="1" applyAlignment="1">
      <alignment vertical="center" wrapText="1"/>
    </xf>
    <xf numFmtId="43" fontId="62" fillId="6" borderId="30" xfId="1" applyFont="1" applyFill="1" applyBorder="1" applyAlignment="1">
      <alignment vertical="center" wrapText="1"/>
    </xf>
    <xf numFmtId="3" fontId="8" fillId="0" borderId="128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3" borderId="132" xfId="0" applyFont="1" applyFill="1" applyBorder="1"/>
    <xf numFmtId="0" fontId="8" fillId="0" borderId="172" xfId="0" applyFont="1" applyFill="1" applyBorder="1" applyAlignment="1">
      <alignment vertical="center" wrapText="1"/>
    </xf>
    <xf numFmtId="0" fontId="31" fillId="50" borderId="132" xfId="4" applyFont="1" applyFill="1" applyBorder="1" applyAlignment="1">
      <alignment horizontal="left" vertical="center"/>
    </xf>
    <xf numFmtId="0" fontId="63" fillId="51" borderId="132" xfId="0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27" fillId="0" borderId="107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33" fillId="0" borderId="116" xfId="6" applyNumberFormat="1" applyFont="1" applyFill="1" applyBorder="1" applyAlignment="1">
      <alignment vertical="center"/>
    </xf>
    <xf numFmtId="3" fontId="33" fillId="0" borderId="115" xfId="6" applyNumberFormat="1" applyFont="1" applyFill="1" applyBorder="1" applyAlignment="1">
      <alignment vertical="center"/>
    </xf>
    <xf numFmtId="3" fontId="32" fillId="0" borderId="115" xfId="6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/>
    </xf>
    <xf numFmtId="0" fontId="7" fillId="0" borderId="113" xfId="4" applyFont="1" applyFill="1" applyBorder="1" applyAlignment="1">
      <alignment vertical="center"/>
    </xf>
    <xf numFmtId="3" fontId="32" fillId="0" borderId="74" xfId="6" applyNumberFormat="1" applyFont="1" applyFill="1" applyBorder="1" applyAlignment="1">
      <alignment vertical="center"/>
    </xf>
    <xf numFmtId="3" fontId="25" fillId="23" borderId="2" xfId="4" applyNumberFormat="1" applyFont="1" applyFill="1" applyBorder="1" applyAlignment="1">
      <alignment horizontal="right" vertical="center"/>
    </xf>
    <xf numFmtId="3" fontId="25" fillId="22" borderId="126" xfId="4" applyNumberFormat="1" applyFont="1" applyFill="1" applyBorder="1" applyAlignment="1">
      <alignment horizontal="right" vertical="center"/>
    </xf>
    <xf numFmtId="3" fontId="33" fillId="0" borderId="129" xfId="6" applyNumberFormat="1" applyFont="1" applyFill="1" applyBorder="1" applyAlignment="1">
      <alignment vertical="center"/>
    </xf>
    <xf numFmtId="3" fontId="24" fillId="6" borderId="129" xfId="4" applyNumberFormat="1" applyFont="1" applyFill="1" applyBorder="1" applyAlignment="1">
      <alignment vertical="center"/>
    </xf>
    <xf numFmtId="3" fontId="7" fillId="2" borderId="74" xfId="4" applyNumberFormat="1" applyFont="1" applyFill="1" applyBorder="1" applyAlignment="1">
      <alignment vertical="center"/>
    </xf>
    <xf numFmtId="0" fontId="25" fillId="6" borderId="28" xfId="4" applyFont="1" applyFill="1" applyBorder="1" applyAlignment="1">
      <alignment horizontal="center" vertical="center"/>
    </xf>
    <xf numFmtId="0" fontId="7" fillId="0" borderId="112" xfId="4" applyFont="1" applyFill="1" applyBorder="1" applyAlignment="1">
      <alignment vertical="center"/>
    </xf>
    <xf numFmtId="0" fontId="27" fillId="2" borderId="112" xfId="4" applyFont="1" applyFill="1" applyBorder="1" applyAlignment="1">
      <alignment vertical="center"/>
    </xf>
    <xf numFmtId="43" fontId="7" fillId="0" borderId="101" xfId="1" applyFont="1" applyFill="1" applyBorder="1" applyAlignment="1">
      <alignment horizontal="right" vertical="center"/>
    </xf>
    <xf numFmtId="0" fontId="7" fillId="0" borderId="83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173" xfId="4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3" fontId="31" fillId="0" borderId="177" xfId="4" applyNumberFormat="1" applyFont="1" applyFill="1" applyBorder="1" applyAlignment="1">
      <alignment horizontal="right" vertical="center"/>
    </xf>
    <xf numFmtId="3" fontId="29" fillId="2" borderId="9" xfId="4" applyNumberFormat="1" applyFont="1" applyFill="1" applyBorder="1" applyAlignment="1">
      <alignment vertical="center"/>
    </xf>
    <xf numFmtId="0" fontId="31" fillId="0" borderId="132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5" xfId="4" applyNumberFormat="1" applyFont="1" applyFill="1" applyBorder="1" applyAlignment="1">
      <alignment horizontal="right" vertical="center"/>
    </xf>
    <xf numFmtId="43" fontId="27" fillId="2" borderId="9" xfId="1" applyFont="1" applyFill="1" applyBorder="1" applyAlignment="1">
      <alignment vertical="top"/>
    </xf>
    <xf numFmtId="43" fontId="31" fillId="0" borderId="144" xfId="1" applyFont="1" applyFill="1" applyBorder="1" applyAlignment="1">
      <alignment vertical="top"/>
    </xf>
    <xf numFmtId="3" fontId="25" fillId="25" borderId="10" xfId="0" applyNumberFormat="1" applyFont="1" applyFill="1" applyBorder="1" applyAlignment="1">
      <alignment vertical="top"/>
    </xf>
    <xf numFmtId="0" fontId="31" fillId="6" borderId="104" xfId="0" applyFont="1" applyFill="1" applyBorder="1" applyAlignment="1">
      <alignment vertical="top"/>
    </xf>
    <xf numFmtId="0" fontId="31" fillId="0" borderId="106" xfId="0" applyFont="1" applyFill="1" applyBorder="1" applyAlignment="1">
      <alignment horizontal="left" vertical="center" wrapText="1"/>
    </xf>
    <xf numFmtId="0" fontId="7" fillId="6" borderId="104" xfId="0" applyFont="1" applyFill="1" applyBorder="1" applyAlignment="1">
      <alignment horizontal="left" vertical="center" wrapText="1"/>
    </xf>
    <xf numFmtId="3" fontId="27" fillId="2" borderId="114" xfId="4" applyNumberFormat="1" applyFont="1" applyFill="1" applyBorder="1" applyAlignment="1">
      <alignment vertical="center" wrapText="1"/>
    </xf>
    <xf numFmtId="0" fontId="27" fillId="2" borderId="108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38" fillId="0" borderId="167" xfId="0" applyNumberFormat="1" applyFont="1" applyFill="1" applyBorder="1" applyAlignment="1">
      <alignment vertical="center"/>
    </xf>
    <xf numFmtId="3" fontId="38" fillId="0" borderId="128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19" fillId="0" borderId="68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5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5" fillId="6" borderId="35" xfId="0" applyNumberFormat="1" applyFont="1" applyFill="1" applyBorder="1" applyAlignment="1">
      <alignment vertical="center"/>
    </xf>
    <xf numFmtId="3" fontId="27" fillId="0" borderId="90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90" xfId="0" applyNumberFormat="1" applyFont="1" applyFill="1" applyBorder="1" applyAlignment="1">
      <alignment vertical="center"/>
    </xf>
    <xf numFmtId="3" fontId="31" fillId="0" borderId="100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8" fillId="0" borderId="92" xfId="0" applyNumberFormat="1" applyFont="1" applyFill="1" applyBorder="1" applyAlignment="1">
      <alignment vertical="top"/>
    </xf>
    <xf numFmtId="3" fontId="28" fillId="0" borderId="100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3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center"/>
    </xf>
    <xf numFmtId="3" fontId="27" fillId="0" borderId="102" xfId="0" applyNumberFormat="1" applyFont="1" applyFill="1" applyBorder="1" applyAlignment="1">
      <alignment vertical="top"/>
    </xf>
    <xf numFmtId="3" fontId="31" fillId="0" borderId="102" xfId="0" applyNumberFormat="1" applyFont="1" applyFill="1" applyBorder="1" applyAlignment="1">
      <alignment vertical="center"/>
    </xf>
    <xf numFmtId="3" fontId="28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center"/>
    </xf>
    <xf numFmtId="3" fontId="25" fillId="0" borderId="102" xfId="0" applyNumberFormat="1" applyFont="1" applyFill="1" applyBorder="1" applyAlignment="1">
      <alignment vertical="top"/>
    </xf>
    <xf numFmtId="0" fontId="7" fillId="0" borderId="106" xfId="0" applyFont="1" applyFill="1" applyBorder="1" applyAlignment="1">
      <alignment vertical="center" wrapText="1"/>
    </xf>
    <xf numFmtId="3" fontId="28" fillId="0" borderId="101" xfId="0" applyNumberFormat="1" applyFont="1" applyFill="1" applyBorder="1" applyAlignment="1">
      <alignment vertical="center"/>
    </xf>
    <xf numFmtId="3" fontId="28" fillId="0" borderId="101" xfId="0" applyNumberFormat="1" applyFont="1" applyFill="1" applyBorder="1" applyAlignment="1">
      <alignment vertical="top"/>
    </xf>
    <xf numFmtId="0" fontId="25" fillId="6" borderId="35" xfId="4" applyFont="1" applyFill="1" applyBorder="1" applyAlignment="1">
      <alignment horizontal="left" vertical="center"/>
    </xf>
    <xf numFmtId="3" fontId="27" fillId="23" borderId="134" xfId="0" applyNumberFormat="1" applyFont="1" applyFill="1" applyBorder="1" applyAlignment="1">
      <alignment vertical="top"/>
    </xf>
    <xf numFmtId="3" fontId="28" fillId="23" borderId="134" xfId="0" applyNumberFormat="1" applyFont="1" applyFill="1" applyBorder="1" applyAlignment="1">
      <alignment horizontal="center" vertical="top"/>
    </xf>
    <xf numFmtId="3" fontId="27" fillId="23" borderId="134" xfId="0" applyNumberFormat="1" applyFont="1" applyFill="1" applyBorder="1" applyAlignment="1">
      <alignment horizontal="center" vertical="top"/>
    </xf>
    <xf numFmtId="3" fontId="31" fillId="8" borderId="128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vertical="top"/>
    </xf>
    <xf numFmtId="3" fontId="31" fillId="8" borderId="10" xfId="0" applyNumberFormat="1" applyFont="1" applyFill="1" applyBorder="1" applyAlignment="1">
      <alignment vertical="top"/>
    </xf>
    <xf numFmtId="3" fontId="27" fillId="25" borderId="134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4" xfId="0" applyFont="1" applyBorder="1"/>
    <xf numFmtId="0" fontId="0" fillId="0" borderId="128" xfId="0" applyFont="1" applyBorder="1"/>
    <xf numFmtId="3" fontId="31" fillId="0" borderId="183" xfId="4" applyNumberFormat="1" applyFont="1" applyFill="1" applyBorder="1" applyAlignment="1"/>
    <xf numFmtId="0" fontId="18" fillId="8" borderId="3" xfId="0" applyFont="1" applyFill="1" applyBorder="1" applyAlignment="1">
      <alignment vertical="center"/>
    </xf>
    <xf numFmtId="0" fontId="18" fillId="8" borderId="79" xfId="0" applyFont="1" applyFill="1" applyBorder="1" applyAlignment="1">
      <alignment vertical="center"/>
    </xf>
    <xf numFmtId="3" fontId="18" fillId="8" borderId="79" xfId="0" applyNumberFormat="1" applyFont="1" applyFill="1" applyBorder="1" applyAlignment="1">
      <alignment vertical="center"/>
    </xf>
    <xf numFmtId="3" fontId="18" fillId="23" borderId="70" xfId="0" applyNumberFormat="1" applyFont="1" applyFill="1" applyBorder="1" applyAlignment="1">
      <alignment vertical="center"/>
    </xf>
    <xf numFmtId="0" fontId="20" fillId="6" borderId="172" xfId="4" applyFont="1" applyFill="1" applyBorder="1" applyAlignment="1">
      <alignment horizontal="left" vertical="center"/>
    </xf>
    <xf numFmtId="43" fontId="29" fillId="0" borderId="169" xfId="1" applyFont="1" applyFill="1" applyBorder="1" applyAlignment="1">
      <alignment horizontal="right" vertical="center"/>
    </xf>
    <xf numFmtId="43" fontId="24" fillId="6" borderId="29" xfId="4" applyNumberFormat="1" applyFont="1" applyFill="1" applyBorder="1" applyAlignment="1">
      <alignment vertical="center"/>
    </xf>
    <xf numFmtId="43" fontId="33" fillId="0" borderId="92" xfId="6" applyNumberFormat="1" applyFont="1" applyFill="1" applyBorder="1" applyAlignment="1">
      <alignment vertical="center"/>
    </xf>
    <xf numFmtId="43" fontId="31" fillId="0" borderId="65" xfId="4" applyNumberFormat="1" applyFont="1" applyFill="1" applyBorder="1" applyAlignment="1">
      <alignment vertical="center"/>
    </xf>
    <xf numFmtId="0" fontId="28" fillId="0" borderId="176" xfId="4" applyFont="1" applyFill="1" applyBorder="1" applyAlignment="1">
      <alignment horizontal="right" vertical="center"/>
    </xf>
    <xf numFmtId="43" fontId="33" fillId="0" borderId="178" xfId="6" applyNumberFormat="1" applyFont="1" applyFill="1" applyBorder="1" applyAlignment="1">
      <alignment vertical="center"/>
    </xf>
    <xf numFmtId="43" fontId="7" fillId="0" borderId="169" xfId="4" applyNumberFormat="1" applyFont="1" applyFill="1" applyBorder="1" applyAlignment="1">
      <alignment horizontal="right" vertical="center"/>
    </xf>
    <xf numFmtId="43" fontId="33" fillId="0" borderId="29" xfId="6" applyNumberFormat="1" applyFont="1" applyFill="1" applyBorder="1" applyAlignment="1">
      <alignment vertical="center"/>
    </xf>
    <xf numFmtId="3" fontId="28" fillId="2" borderId="132" xfId="4" applyNumberFormat="1" applyFont="1" applyFill="1" applyBorder="1" applyAlignment="1">
      <alignment horizontal="right" vertical="center" wrapText="1"/>
    </xf>
    <xf numFmtId="3" fontId="32" fillId="0" borderId="169" xfId="6" applyNumberFormat="1" applyFont="1" applyFill="1" applyBorder="1" applyAlignment="1">
      <alignment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2" fillId="0" borderId="178" xfId="6" applyNumberFormat="1" applyFont="1" applyFill="1" applyBorder="1" applyAlignment="1">
      <alignment vertical="center"/>
    </xf>
    <xf numFmtId="0" fontId="39" fillId="0" borderId="132" xfId="0" applyFont="1" applyBorder="1" applyAlignment="1">
      <alignment horizontal="right" vertical="center"/>
    </xf>
    <xf numFmtId="43" fontId="7" fillId="0" borderId="167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43" fontId="7" fillId="0" borderId="47" xfId="4" applyNumberFormat="1" applyFont="1" applyFill="1" applyBorder="1" applyAlignment="1">
      <alignment horizontal="right" vertical="center"/>
    </xf>
    <xf numFmtId="3" fontId="29" fillId="0" borderId="168" xfId="4" applyNumberFormat="1" applyFont="1" applyFill="1" applyBorder="1" applyAlignment="1">
      <alignment vertical="center"/>
    </xf>
    <xf numFmtId="3" fontId="27" fillId="25" borderId="168" xfId="4" applyNumberFormat="1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8" xfId="1" applyFont="1" applyFill="1" applyBorder="1" applyAlignment="1">
      <alignment vertical="center"/>
    </xf>
    <xf numFmtId="43" fontId="27" fillId="0" borderId="168" xfId="1" applyFont="1" applyFill="1" applyBorder="1" applyAlignment="1">
      <alignment vertical="center"/>
    </xf>
    <xf numFmtId="43" fontId="29" fillId="0" borderId="168" xfId="1" applyFont="1" applyFill="1" applyBorder="1" applyAlignment="1">
      <alignment vertical="center"/>
    </xf>
    <xf numFmtId="43" fontId="28" fillId="0" borderId="168" xfId="1" applyFont="1" applyFill="1" applyBorder="1" applyAlignment="1">
      <alignment horizontal="right" vertical="center"/>
    </xf>
    <xf numFmtId="43" fontId="31" fillId="0" borderId="177" xfId="1" applyFont="1" applyFill="1" applyBorder="1" applyAlignment="1">
      <alignment horizontal="right"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6" xfId="4" applyNumberFormat="1" applyFont="1" applyFill="1" applyBorder="1" applyAlignment="1">
      <alignment vertical="top" wrapText="1"/>
    </xf>
    <xf numFmtId="3" fontId="27" fillId="21" borderId="43" xfId="4" applyNumberFormat="1" applyFont="1" applyFill="1" applyBorder="1" applyAlignment="1">
      <alignment horizontal="right" vertical="center"/>
    </xf>
    <xf numFmtId="3" fontId="18" fillId="8" borderId="67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3" fontId="31" fillId="23" borderId="170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7" xfId="0" applyNumberFormat="1" applyFont="1" applyFill="1" applyBorder="1" applyAlignment="1">
      <alignment vertical="center"/>
    </xf>
    <xf numFmtId="3" fontId="31" fillId="25" borderId="170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70" xfId="0" applyNumberFormat="1" applyFont="1" applyFill="1" applyBorder="1" applyAlignment="1">
      <alignment vertical="top"/>
    </xf>
    <xf numFmtId="0" fontId="57" fillId="8" borderId="67" xfId="0" applyFont="1" applyFill="1" applyBorder="1" applyAlignment="1">
      <alignment horizontal="center" vertical="top" wrapText="1"/>
    </xf>
    <xf numFmtId="0" fontId="31" fillId="8" borderId="132" xfId="0" applyFont="1" applyFill="1" applyBorder="1" applyAlignment="1">
      <alignment vertical="center" wrapText="1"/>
    </xf>
    <xf numFmtId="3" fontId="31" fillId="23" borderId="170" xfId="0" applyNumberFormat="1" applyFont="1" applyFill="1" applyBorder="1" applyAlignment="1">
      <alignment vertical="center"/>
    </xf>
    <xf numFmtId="0" fontId="57" fillId="8" borderId="67" xfId="0" applyFont="1" applyFill="1" applyBorder="1" applyAlignment="1">
      <alignment horizontal="center" vertical="center" wrapText="1"/>
    </xf>
    <xf numFmtId="3" fontId="7" fillId="23" borderId="17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42" xfId="4" applyFont="1" applyFill="1" applyBorder="1" applyAlignment="1">
      <alignment vertical="top" wrapText="1"/>
    </xf>
    <xf numFmtId="0" fontId="31" fillId="8" borderId="172" xfId="0" applyFont="1" applyFill="1" applyBorder="1" applyAlignment="1">
      <alignment vertical="top" wrapText="1"/>
    </xf>
    <xf numFmtId="3" fontId="31" fillId="8" borderId="135" xfId="0" applyNumberFormat="1" applyFont="1" applyFill="1" applyBorder="1" applyAlignment="1">
      <alignment vertical="top"/>
    </xf>
    <xf numFmtId="0" fontId="18" fillId="8" borderId="67" xfId="0" applyFont="1" applyFill="1" applyBorder="1" applyAlignment="1">
      <alignment horizontal="center" vertical="top" wrapText="1"/>
    </xf>
    <xf numFmtId="0" fontId="18" fillId="8" borderId="67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3" fontId="31" fillId="25" borderId="43" xfId="0" applyNumberFormat="1" applyFont="1" applyFill="1" applyBorder="1" applyAlignment="1">
      <alignment horizontal="center" vertical="top"/>
    </xf>
    <xf numFmtId="0" fontId="7" fillId="6" borderId="172" xfId="0" applyFont="1" applyFill="1" applyBorder="1" applyAlignment="1">
      <alignment vertical="top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7" xfId="1" applyFont="1" applyFill="1" applyBorder="1" applyAlignment="1"/>
    <xf numFmtId="3" fontId="25" fillId="22" borderId="170" xfId="0" applyNumberFormat="1" applyFont="1" applyFill="1" applyBorder="1" applyAlignment="1"/>
    <xf numFmtId="3" fontId="29" fillId="2" borderId="132" xfId="4" applyNumberFormat="1" applyFont="1" applyFill="1" applyBorder="1" applyAlignment="1">
      <alignment vertical="top" wrapText="1"/>
    </xf>
    <xf numFmtId="3" fontId="27" fillId="25" borderId="170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0" fontId="7" fillId="0" borderId="132" xfId="0" applyFont="1" applyFill="1" applyBorder="1" applyAlignment="1">
      <alignment vertical="top" wrapText="1"/>
    </xf>
    <xf numFmtId="3" fontId="31" fillId="25" borderId="170" xfId="0" applyNumberFormat="1" applyFont="1" applyFill="1" applyBorder="1" applyAlignment="1">
      <alignment vertical="top"/>
    </xf>
    <xf numFmtId="0" fontId="7" fillId="6" borderId="136" xfId="0" applyFont="1" applyFill="1" applyBorder="1" applyAlignment="1">
      <alignment vertical="top"/>
    </xf>
    <xf numFmtId="43" fontId="25" fillId="6" borderId="136" xfId="1" applyFont="1" applyFill="1" applyBorder="1" applyAlignment="1"/>
    <xf numFmtId="43" fontId="27" fillId="2" borderId="167" xfId="1" applyFont="1" applyFill="1" applyBorder="1" applyAlignment="1"/>
    <xf numFmtId="43" fontId="27" fillId="2" borderId="136" xfId="1" applyFont="1" applyFill="1" applyBorder="1" applyAlignment="1"/>
    <xf numFmtId="3" fontId="31" fillId="0" borderId="136" xfId="4" applyNumberFormat="1" applyFont="1" applyFill="1" applyBorder="1" applyAlignment="1"/>
    <xf numFmtId="43" fontId="31" fillId="0" borderId="136" xfId="1" applyFont="1" applyFill="1" applyBorder="1" applyAlignment="1">
      <alignment vertical="top"/>
    </xf>
    <xf numFmtId="43" fontId="31" fillId="0" borderId="135" xfId="1" applyFont="1" applyFill="1" applyBorder="1" applyAlignment="1">
      <alignment vertical="top"/>
    </xf>
    <xf numFmtId="43" fontId="31" fillId="0" borderId="169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3" fontId="27" fillId="23" borderId="170" xfId="0" applyNumberFormat="1" applyFont="1" applyFill="1" applyBorder="1" applyAlignment="1"/>
    <xf numFmtId="3" fontId="27" fillId="2" borderId="167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69" xfId="0" applyNumberFormat="1" applyFont="1" applyFill="1" applyBorder="1" applyAlignment="1">
      <alignment vertical="center"/>
    </xf>
    <xf numFmtId="43" fontId="27" fillId="2" borderId="167" xfId="1" applyFont="1" applyFill="1" applyBorder="1" applyAlignment="1">
      <alignment vertical="center"/>
    </xf>
    <xf numFmtId="3" fontId="31" fillId="23" borderId="146" xfId="0" applyNumberFormat="1" applyFont="1" applyFill="1" applyBorder="1" applyAlignment="1"/>
    <xf numFmtId="3" fontId="27" fillId="2" borderId="178" xfId="0" applyNumberFormat="1" applyFont="1" applyFill="1" applyBorder="1" applyAlignment="1">
      <alignment vertical="center"/>
    </xf>
    <xf numFmtId="3" fontId="31" fillId="0" borderId="178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7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7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43" fontId="27" fillId="2" borderId="136" xfId="1" applyFont="1" applyFill="1" applyBorder="1" applyAlignment="1">
      <alignment vertical="center"/>
    </xf>
    <xf numFmtId="3" fontId="31" fillId="8" borderId="17" xfId="0" applyNumberFormat="1" applyFont="1" applyFill="1" applyBorder="1" applyAlignment="1">
      <alignment vertical="top"/>
    </xf>
    <xf numFmtId="43" fontId="32" fillId="0" borderId="169" xfId="6" applyNumberFormat="1" applyFont="1" applyFill="1" applyBorder="1" applyAlignment="1">
      <alignment vertical="center"/>
    </xf>
    <xf numFmtId="4" fontId="0" fillId="0" borderId="136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72" xfId="4" applyFont="1" applyFill="1" applyBorder="1" applyAlignment="1">
      <alignment horizontal="left"/>
    </xf>
    <xf numFmtId="3" fontId="62" fillId="6" borderId="183" xfId="0" applyNumberFormat="1" applyFont="1" applyFill="1" applyBorder="1" applyAlignment="1">
      <alignment wrapText="1"/>
    </xf>
    <xf numFmtId="3" fontId="65" fillId="8" borderId="168" xfId="0" applyNumberFormat="1" applyFont="1" applyFill="1" applyBorder="1" applyAlignment="1">
      <alignment vertical="center" wrapText="1"/>
    </xf>
    <xf numFmtId="3" fontId="8" fillId="0" borderId="183" xfId="0" applyNumberFormat="1" applyFont="1" applyFill="1" applyBorder="1" applyAlignment="1">
      <alignment vertical="center" wrapText="1"/>
    </xf>
    <xf numFmtId="3" fontId="65" fillId="8" borderId="183" xfId="0" applyNumberFormat="1" applyFont="1" applyFill="1" applyBorder="1" applyAlignment="1">
      <alignment vertical="center" wrapText="1"/>
    </xf>
    <xf numFmtId="0" fontId="7" fillId="0" borderId="172" xfId="0" applyFont="1" applyFill="1" applyBorder="1" applyAlignment="1">
      <alignment vertical="center" wrapText="1"/>
    </xf>
    <xf numFmtId="3" fontId="8" fillId="0" borderId="168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4" xfId="0" applyNumberFormat="1" applyFont="1" applyFill="1" applyBorder="1" applyAlignment="1">
      <alignment vertical="center" wrapText="1"/>
    </xf>
    <xf numFmtId="3" fontId="38" fillId="0" borderId="78" xfId="4" applyNumberFormat="1" applyFont="1" applyFill="1" applyBorder="1" applyAlignment="1">
      <alignment horizontal="right" vertical="center"/>
    </xf>
    <xf numFmtId="3" fontId="31" fillId="2" borderId="71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3" fontId="7" fillId="25" borderId="183" xfId="4" applyNumberFormat="1" applyFont="1" applyFill="1" applyBorder="1" applyAlignment="1">
      <alignment vertical="center"/>
    </xf>
    <xf numFmtId="0" fontId="24" fillId="2" borderId="79" xfId="112" applyFont="1" applyFill="1" applyBorder="1" applyAlignment="1">
      <alignment horizontal="center" vertical="center" wrapText="1"/>
    </xf>
    <xf numFmtId="43" fontId="18" fillId="8" borderId="79" xfId="1" applyFont="1" applyFill="1" applyBorder="1" applyAlignment="1">
      <alignment vertical="center"/>
    </xf>
    <xf numFmtId="43" fontId="7" fillId="8" borderId="79" xfId="1" applyFont="1" applyFill="1" applyBorder="1" applyAlignment="1">
      <alignment vertical="center"/>
    </xf>
    <xf numFmtId="43" fontId="31" fillId="0" borderId="169" xfId="1" applyFont="1" applyFill="1" applyBorder="1" applyAlignment="1"/>
    <xf numFmtId="41" fontId="31" fillId="0" borderId="169" xfId="1" applyNumberFormat="1" applyFont="1" applyFill="1" applyBorder="1" applyAlignment="1"/>
    <xf numFmtId="41" fontId="31" fillId="0" borderId="169" xfId="1" applyNumberFormat="1" applyFont="1" applyFill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0" fontId="21" fillId="2" borderId="35" xfId="0" quotePrefix="1" applyFont="1" applyFill="1" applyBorder="1" applyAlignment="1">
      <alignment horizontal="center" vertical="top"/>
    </xf>
    <xf numFmtId="3" fontId="24" fillId="6" borderId="187" xfId="4" applyNumberFormat="1" applyFont="1" applyFill="1" applyBorder="1" applyAlignment="1">
      <alignment vertical="center"/>
    </xf>
    <xf numFmtId="3" fontId="25" fillId="6" borderId="184" xfId="4" applyNumberFormat="1" applyFont="1" applyFill="1" applyBorder="1" applyAlignment="1">
      <alignment vertical="center"/>
    </xf>
    <xf numFmtId="3" fontId="25" fillId="6" borderId="185" xfId="4" applyNumberFormat="1" applyFont="1" applyFill="1" applyBorder="1" applyAlignment="1">
      <alignment vertical="center"/>
    </xf>
    <xf numFmtId="3" fontId="29" fillId="0" borderId="186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vertical="center"/>
    </xf>
    <xf numFmtId="3" fontId="7" fillId="0" borderId="183" xfId="4" applyNumberFormat="1" applyFont="1" applyFill="1" applyBorder="1" applyAlignment="1"/>
    <xf numFmtId="3" fontId="29" fillId="0" borderId="190" xfId="4" applyNumberFormat="1" applyFont="1" applyFill="1" applyBorder="1" applyAlignment="1">
      <alignment horizontal="right" vertical="center"/>
    </xf>
    <xf numFmtId="3" fontId="27" fillId="0" borderId="190" xfId="4" applyNumberFormat="1" applyFont="1" applyFill="1" applyBorder="1" applyAlignment="1">
      <alignment horizontal="right" vertical="center"/>
    </xf>
    <xf numFmtId="3" fontId="27" fillId="25" borderId="192" xfId="4" applyNumberFormat="1" applyFont="1" applyFill="1" applyBorder="1" applyAlignment="1">
      <alignment horizontal="right" vertical="center"/>
    </xf>
    <xf numFmtId="3" fontId="7" fillId="0" borderId="193" xfId="4" applyNumberFormat="1" applyFont="1" applyFill="1" applyBorder="1" applyAlignment="1">
      <alignment horizontal="right" vertical="center"/>
    </xf>
    <xf numFmtId="3" fontId="24" fillId="6" borderId="189" xfId="4" applyNumberFormat="1" applyFont="1" applyFill="1" applyBorder="1" applyAlignment="1">
      <alignment vertical="center"/>
    </xf>
    <xf numFmtId="3" fontId="24" fillId="6" borderId="190" xfId="4" applyNumberFormat="1" applyFont="1" applyFill="1" applyBorder="1" applyAlignment="1">
      <alignment vertical="center"/>
    </xf>
    <xf numFmtId="3" fontId="24" fillId="6" borderId="191" xfId="4" applyNumberFormat="1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vertical="center"/>
    </xf>
    <xf numFmtId="3" fontId="29" fillId="0" borderId="192" xfId="4" applyNumberFormat="1" applyFont="1" applyFill="1" applyBorder="1" applyAlignment="1">
      <alignment horizontal="right" vertical="center"/>
    </xf>
    <xf numFmtId="3" fontId="29" fillId="0" borderId="193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/>
    <xf numFmtId="3" fontId="6" fillId="6" borderId="192" xfId="0" applyNumberFormat="1" applyFont="1" applyFill="1" applyBorder="1"/>
    <xf numFmtId="3" fontId="6" fillId="6" borderId="192" xfId="0" applyNumberFormat="1" applyFont="1" applyFill="1" applyBorder="1" applyAlignment="1">
      <alignment vertical="center"/>
    </xf>
    <xf numFmtId="3" fontId="6" fillId="6" borderId="195" xfId="0" applyNumberFormat="1" applyFont="1" applyFill="1" applyBorder="1"/>
    <xf numFmtId="3" fontId="6" fillId="6" borderId="128" xfId="0" applyNumberFormat="1" applyFont="1" applyFill="1" applyBorder="1"/>
    <xf numFmtId="0" fontId="7" fillId="6" borderId="28" xfId="0" applyFont="1" applyFill="1" applyBorder="1" applyAlignment="1">
      <alignment vertical="center"/>
    </xf>
    <xf numFmtId="0" fontId="24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5" fillId="6" borderId="192" xfId="4" applyNumberFormat="1" applyFont="1" applyFill="1" applyBorder="1" applyAlignment="1">
      <alignment horizontal="right" vertical="center"/>
    </xf>
    <xf numFmtId="3" fontId="25" fillId="22" borderId="192" xfId="4" applyNumberFormat="1" applyFont="1" applyFill="1" applyBorder="1" applyAlignment="1">
      <alignment horizontal="right" vertical="center"/>
    </xf>
    <xf numFmtId="3" fontId="29" fillId="2" borderId="192" xfId="4" applyNumberFormat="1" applyFont="1" applyFill="1" applyBorder="1" applyAlignment="1">
      <alignment vertical="top" wrapText="1"/>
    </xf>
    <xf numFmtId="3" fontId="27" fillId="0" borderId="192" xfId="4" applyNumberFormat="1" applyFont="1" applyFill="1" applyBorder="1" applyAlignment="1">
      <alignment horizontal="right" vertical="center"/>
    </xf>
    <xf numFmtId="3" fontId="27" fillId="23" borderId="192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vertical="top"/>
    </xf>
    <xf numFmtId="3" fontId="31" fillId="0" borderId="190" xfId="4" applyNumberFormat="1" applyFont="1" applyFill="1" applyBorder="1" applyAlignment="1">
      <alignment vertical="center"/>
    </xf>
    <xf numFmtId="3" fontId="31" fillId="0" borderId="192" xfId="4" applyNumberFormat="1" applyFont="1" applyFill="1" applyBorder="1" applyAlignment="1">
      <alignment horizontal="right" vertical="center"/>
    </xf>
    <xf numFmtId="3" fontId="7" fillId="0" borderId="192" xfId="4" applyNumberFormat="1" applyFont="1" applyFill="1" applyBorder="1" applyAlignment="1">
      <alignment horizontal="right" vertical="center"/>
    </xf>
    <xf numFmtId="3" fontId="7" fillId="25" borderId="192" xfId="4" applyNumberFormat="1" applyFont="1" applyFill="1" applyBorder="1" applyAlignment="1">
      <alignment horizontal="right" vertical="center"/>
    </xf>
    <xf numFmtId="3" fontId="32" fillId="0" borderId="192" xfId="6" applyNumberFormat="1" applyFont="1" applyFill="1" applyBorder="1" applyAlignment="1">
      <alignment vertical="center"/>
    </xf>
    <xf numFmtId="3" fontId="33" fillId="0" borderId="192" xfId="6" applyNumberFormat="1" applyFont="1" applyFill="1" applyBorder="1" applyAlignment="1">
      <alignment vertical="center"/>
    </xf>
    <xf numFmtId="3" fontId="33" fillId="23" borderId="192" xfId="6" applyNumberFormat="1" applyFont="1" applyFill="1" applyBorder="1" applyAlignment="1">
      <alignment vertical="center"/>
    </xf>
    <xf numFmtId="0" fontId="25" fillId="6" borderId="192" xfId="4" applyFont="1" applyFill="1" applyBorder="1" applyAlignment="1">
      <alignment horizontal="left" vertical="center"/>
    </xf>
    <xf numFmtId="3" fontId="24" fillId="6" borderId="192" xfId="4" applyNumberFormat="1" applyFont="1" applyFill="1" applyBorder="1" applyAlignment="1"/>
    <xf numFmtId="3" fontId="24" fillId="22" borderId="192" xfId="4" applyNumberFormat="1" applyFont="1" applyFill="1" applyBorder="1" applyAlignment="1">
      <alignment horizontal="right" vertical="center"/>
    </xf>
    <xf numFmtId="0" fontId="0" fillId="0" borderId="9" xfId="0" applyFont="1" applyBorder="1"/>
    <xf numFmtId="0" fontId="31" fillId="6" borderId="189" xfId="0" applyFont="1" applyFill="1" applyBorder="1" applyAlignment="1">
      <alignment vertical="top"/>
    </xf>
    <xf numFmtId="3" fontId="27" fillId="2" borderId="198" xfId="0" applyNumberFormat="1" applyFont="1" applyFill="1" applyBorder="1" applyAlignment="1">
      <alignment vertical="top"/>
    </xf>
    <xf numFmtId="43" fontId="27" fillId="2" borderId="198" xfId="1" applyFont="1" applyFill="1" applyBorder="1" applyAlignment="1">
      <alignment vertical="top"/>
    </xf>
    <xf numFmtId="3" fontId="25" fillId="25" borderId="199" xfId="0" applyNumberFormat="1" applyFont="1" applyFill="1" applyBorder="1" applyAlignment="1">
      <alignment vertical="top"/>
    </xf>
    <xf numFmtId="3" fontId="28" fillId="2" borderId="198" xfId="0" applyNumberFormat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vertical="top"/>
    </xf>
    <xf numFmtId="3" fontId="31" fillId="25" borderId="199" xfId="0" applyNumberFormat="1" applyFont="1" applyFill="1" applyBorder="1" applyAlignment="1">
      <alignment vertical="top"/>
    </xf>
    <xf numFmtId="3" fontId="27" fillId="0" borderId="198" xfId="0" applyNumberFormat="1" applyFont="1" applyFill="1" applyBorder="1" applyAlignment="1">
      <alignment vertical="top"/>
    </xf>
    <xf numFmtId="43" fontId="27" fillId="0" borderId="198" xfId="1" applyFont="1" applyFill="1" applyBorder="1" applyAlignment="1">
      <alignment vertical="top"/>
    </xf>
    <xf numFmtId="3" fontId="31" fillId="0" borderId="198" xfId="0" applyNumberFormat="1" applyFont="1" applyFill="1" applyBorder="1" applyAlignment="1">
      <alignment horizontal="right" vertical="center"/>
    </xf>
    <xf numFmtId="43" fontId="31" fillId="0" borderId="198" xfId="1" applyFont="1" applyFill="1" applyBorder="1" applyAlignment="1">
      <alignment horizontal="right" vertical="center"/>
    </xf>
    <xf numFmtId="0" fontId="7" fillId="6" borderId="200" xfId="0" applyFont="1" applyFill="1" applyBorder="1" applyAlignment="1">
      <alignment horizontal="left" vertical="center" wrapText="1"/>
    </xf>
    <xf numFmtId="3" fontId="25" fillId="6" borderId="198" xfId="0" applyNumberFormat="1" applyFont="1" applyFill="1" applyBorder="1" applyAlignment="1">
      <alignment vertical="top"/>
    </xf>
    <xf numFmtId="3" fontId="27" fillId="2" borderId="201" xfId="4" applyNumberFormat="1" applyFont="1" applyFill="1" applyBorder="1" applyAlignment="1">
      <alignment vertical="center" wrapText="1"/>
    </xf>
    <xf numFmtId="3" fontId="31" fillId="0" borderId="199" xfId="0" applyNumberFormat="1" applyFont="1" applyFill="1" applyBorder="1" applyAlignment="1">
      <alignment vertical="top"/>
    </xf>
    <xf numFmtId="0" fontId="27" fillId="2" borderId="202" xfId="4" applyFont="1" applyFill="1" applyBorder="1" applyAlignment="1">
      <alignment vertical="top"/>
    </xf>
    <xf numFmtId="3" fontId="28" fillId="2" borderId="144" xfId="0" applyNumberFormat="1" applyFont="1" applyFill="1" applyBorder="1" applyAlignment="1">
      <alignment vertical="top"/>
    </xf>
    <xf numFmtId="0" fontId="31" fillId="6" borderId="200" xfId="0" applyFont="1" applyFill="1" applyBorder="1" applyAlignment="1">
      <alignment vertical="top"/>
    </xf>
    <xf numFmtId="3" fontId="25" fillId="6" borderId="198" xfId="0" applyNumberFormat="1" applyFont="1" applyFill="1" applyBorder="1" applyAlignment="1">
      <alignment vertical="center"/>
    </xf>
    <xf numFmtId="3" fontId="25" fillId="22" borderId="199" xfId="0" applyNumberFormat="1" applyFont="1" applyFill="1" applyBorder="1" applyAlignment="1">
      <alignment vertical="center"/>
    </xf>
    <xf numFmtId="3" fontId="27" fillId="32" borderId="198" xfId="0" applyNumberFormat="1" applyFont="1" applyFill="1" applyBorder="1" applyAlignment="1">
      <alignment vertical="center"/>
    </xf>
    <xf numFmtId="3" fontId="27" fillId="25" borderId="199" xfId="0" applyNumberFormat="1" applyFont="1" applyFill="1" applyBorder="1" applyAlignment="1">
      <alignment vertical="center"/>
    </xf>
    <xf numFmtId="3" fontId="31" fillId="2" borderId="198" xfId="0" applyNumberFormat="1" applyFont="1" applyFill="1" applyBorder="1" applyAlignment="1">
      <alignment vertical="top"/>
    </xf>
    <xf numFmtId="3" fontId="25" fillId="32" borderId="198" xfId="0" applyNumberFormat="1" applyFont="1" applyFill="1" applyBorder="1" applyAlignment="1">
      <alignment vertical="top"/>
    </xf>
    <xf numFmtId="3" fontId="27" fillId="25" borderId="199" xfId="0" applyNumberFormat="1" applyFont="1" applyFill="1" applyBorder="1" applyAlignment="1">
      <alignment vertical="top"/>
    </xf>
    <xf numFmtId="3" fontId="28" fillId="52" borderId="198" xfId="0" applyNumberFormat="1" applyFont="1" applyFill="1" applyBorder="1" applyAlignment="1">
      <alignment vertical="top"/>
    </xf>
    <xf numFmtId="3" fontId="28" fillId="53" borderId="198" xfId="0" applyNumberFormat="1" applyFont="1" applyFill="1" applyBorder="1" applyAlignment="1">
      <alignment vertical="top"/>
    </xf>
    <xf numFmtId="3" fontId="31" fillId="0" borderId="198" xfId="4" applyNumberFormat="1" applyFont="1" applyFill="1" applyBorder="1" applyAlignment="1">
      <alignment vertical="center"/>
    </xf>
    <xf numFmtId="3" fontId="28" fillId="54" borderId="198" xfId="0" applyNumberFormat="1" applyFont="1" applyFill="1" applyBorder="1" applyAlignment="1">
      <alignment vertical="top"/>
    </xf>
    <xf numFmtId="0" fontId="8" fillId="0" borderId="200" xfId="0" applyFont="1" applyFill="1" applyBorder="1" applyAlignment="1">
      <alignment vertical="center" wrapText="1"/>
    </xf>
    <xf numFmtId="43" fontId="31" fillId="25" borderId="199" xfId="1" applyFont="1" applyFill="1" applyBorder="1" applyAlignment="1">
      <alignment vertical="top"/>
    </xf>
    <xf numFmtId="3" fontId="28" fillId="50" borderId="198" xfId="0" applyNumberFormat="1" applyFont="1" applyFill="1" applyBorder="1" applyAlignment="1">
      <alignment vertical="top"/>
    </xf>
    <xf numFmtId="43" fontId="28" fillId="25" borderId="199" xfId="1" applyFont="1" applyFill="1" applyBorder="1" applyAlignment="1">
      <alignment vertical="center"/>
    </xf>
    <xf numFmtId="3" fontId="27" fillId="0" borderId="199" xfId="0" applyNumberFormat="1" applyFont="1" applyFill="1" applyBorder="1" applyAlignment="1">
      <alignment vertical="top"/>
    </xf>
    <xf numFmtId="3" fontId="31" fillId="0" borderId="199" xfId="4" applyNumberFormat="1" applyFont="1" applyFill="1" applyBorder="1" applyAlignment="1">
      <alignment vertical="center"/>
    </xf>
    <xf numFmtId="0" fontId="23" fillId="0" borderId="200" xfId="0" applyFont="1" applyBorder="1" applyAlignment="1">
      <alignment horizontal="center" vertical="center" wrapText="1"/>
    </xf>
    <xf numFmtId="3" fontId="31" fillId="23" borderId="199" xfId="0" applyNumberFormat="1" applyFont="1" applyFill="1" applyBorder="1" applyAlignment="1">
      <alignment vertical="center"/>
    </xf>
    <xf numFmtId="0" fontId="28" fillId="53" borderId="200" xfId="0" applyFont="1" applyFill="1" applyBorder="1" applyAlignment="1">
      <alignment vertical="top"/>
    </xf>
    <xf numFmtId="0" fontId="28" fillId="51" borderId="197" xfId="0" applyFont="1" applyFill="1" applyBorder="1" applyAlignment="1">
      <alignment vertical="center"/>
    </xf>
    <xf numFmtId="3" fontId="28" fillId="51" borderId="198" xfId="0" applyNumberFormat="1" applyFont="1" applyFill="1" applyBorder="1" applyAlignment="1">
      <alignment vertical="center"/>
    </xf>
    <xf numFmtId="0" fontId="28" fillId="54" borderId="200" xfId="0" applyFont="1" applyFill="1" applyBorder="1" applyAlignment="1">
      <alignment vertical="top"/>
    </xf>
    <xf numFmtId="0" fontId="28" fillId="54" borderId="197" xfId="0" applyFont="1" applyFill="1" applyBorder="1" applyAlignment="1">
      <alignment vertical="top"/>
    </xf>
    <xf numFmtId="0" fontId="31" fillId="50" borderId="197" xfId="0" applyFont="1" applyFill="1" applyBorder="1" applyAlignment="1">
      <alignment vertical="top"/>
    </xf>
    <xf numFmtId="0" fontId="31" fillId="50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>
      <alignment vertical="center"/>
    </xf>
    <xf numFmtId="0" fontId="27" fillId="2" borderId="203" xfId="4" applyFont="1" applyFill="1" applyBorder="1" applyAlignment="1">
      <alignment vertical="top"/>
    </xf>
    <xf numFmtId="0" fontId="31" fillId="6" borderId="200" xfId="0" applyFont="1" applyFill="1" applyBorder="1" applyAlignment="1">
      <alignment vertical="center"/>
    </xf>
    <xf numFmtId="3" fontId="25" fillId="22" borderId="198" xfId="0" applyNumberFormat="1" applyFont="1" applyFill="1" applyBorder="1" applyAlignment="1">
      <alignment vertical="center"/>
    </xf>
    <xf numFmtId="0" fontId="31" fillId="0" borderId="204" xfId="0" applyFont="1" applyFill="1" applyBorder="1" applyAlignment="1">
      <alignment horizontal="left" vertical="center" wrapText="1"/>
    </xf>
    <xf numFmtId="3" fontId="25" fillId="6" borderId="199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top"/>
    </xf>
    <xf numFmtId="0" fontId="24" fillId="8" borderId="21" xfId="0" applyFont="1" applyFill="1" applyBorder="1" applyAlignment="1">
      <alignment vertical="center" wrapText="1"/>
    </xf>
    <xf numFmtId="43" fontId="7" fillId="8" borderId="7" xfId="1" applyFont="1" applyFill="1" applyBorder="1" applyAlignment="1">
      <alignment vertical="center"/>
    </xf>
    <xf numFmtId="0" fontId="25" fillId="6" borderId="203" xfId="4" applyFont="1" applyFill="1" applyBorder="1" applyAlignment="1">
      <alignment horizontal="left" vertical="center"/>
    </xf>
    <xf numFmtId="0" fontId="25" fillId="6" borderId="200" xfId="4" applyFont="1" applyFill="1" applyBorder="1" applyAlignment="1">
      <alignment horizontal="left" vertical="center"/>
    </xf>
    <xf numFmtId="3" fontId="24" fillId="6" borderId="198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horizontal="right" vertical="center"/>
    </xf>
    <xf numFmtId="3" fontId="27" fillId="2" borderId="202" xfId="4" applyNumberFormat="1" applyFont="1" applyFill="1" applyBorder="1" applyAlignment="1">
      <alignment vertical="center" wrapText="1"/>
    </xf>
    <xf numFmtId="3" fontId="33" fillId="0" borderId="198" xfId="6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horizontal="right" vertical="center"/>
    </xf>
    <xf numFmtId="0" fontId="7" fillId="0" borderId="202" xfId="4" applyFont="1" applyFill="1" applyBorder="1" applyAlignment="1">
      <alignment vertical="center"/>
    </xf>
    <xf numFmtId="3" fontId="7" fillId="0" borderId="188" xfId="4" applyNumberFormat="1" applyFont="1" applyFill="1" applyBorder="1" applyAlignment="1">
      <alignment horizontal="right" vertical="center"/>
    </xf>
    <xf numFmtId="3" fontId="27" fillId="2" borderId="203" xfId="4" applyNumberFormat="1" applyFont="1" applyFill="1" applyBorder="1" applyAlignment="1">
      <alignment vertical="center" wrapText="1"/>
    </xf>
    <xf numFmtId="3" fontId="27" fillId="0" borderId="188" xfId="4" applyNumberFormat="1" applyFont="1" applyFill="1" applyBorder="1" applyAlignment="1">
      <alignment horizontal="right" vertical="center"/>
    </xf>
    <xf numFmtId="3" fontId="33" fillId="0" borderId="199" xfId="6" applyNumberFormat="1" applyFont="1" applyFill="1" applyBorder="1" applyAlignment="1">
      <alignment vertical="center"/>
    </xf>
    <xf numFmtId="43" fontId="24" fillId="6" borderId="198" xfId="4" applyNumberFormat="1" applyFont="1" applyFill="1" applyBorder="1" applyAlignment="1">
      <alignment vertical="center"/>
    </xf>
    <xf numFmtId="43" fontId="33" fillId="0" borderId="198" xfId="6" applyNumberFormat="1" applyFont="1" applyFill="1" applyBorder="1" applyAlignment="1">
      <alignment vertical="center"/>
    </xf>
    <xf numFmtId="43" fontId="31" fillId="0" borderId="188" xfId="4" applyNumberFormat="1" applyFont="1" applyFill="1" applyBorder="1" applyAlignment="1">
      <alignment vertical="center"/>
    </xf>
    <xf numFmtId="0" fontId="28" fillId="0" borderId="202" xfId="4" applyFont="1" applyFill="1" applyBorder="1" applyAlignment="1">
      <alignment horizontal="right" vertical="center"/>
    </xf>
    <xf numFmtId="41" fontId="31" fillId="0" borderId="188" xfId="1" applyNumberFormat="1" applyFont="1" applyFill="1" applyBorder="1" applyAlignment="1"/>
    <xf numFmtId="43" fontId="33" fillId="0" borderId="199" xfId="6" applyNumberFormat="1" applyFont="1" applyFill="1" applyBorder="1" applyAlignment="1">
      <alignment vertical="center"/>
    </xf>
    <xf numFmtId="3" fontId="33" fillId="0" borderId="188" xfId="6" applyNumberFormat="1" applyFont="1" applyFill="1" applyBorder="1" applyAlignment="1">
      <alignment vertical="center"/>
    </xf>
    <xf numFmtId="43" fontId="33" fillId="0" borderId="188" xfId="6" applyNumberFormat="1" applyFont="1" applyFill="1" applyBorder="1" applyAlignment="1">
      <alignment vertical="center"/>
    </xf>
    <xf numFmtId="3" fontId="32" fillId="0" borderId="188" xfId="6" applyNumberFormat="1" applyFont="1" applyFill="1" applyBorder="1" applyAlignment="1">
      <alignment vertical="center"/>
    </xf>
    <xf numFmtId="41" fontId="31" fillId="0" borderId="188" xfId="1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horizontal="right" vertical="center"/>
    </xf>
    <xf numFmtId="43" fontId="32" fillId="0" borderId="199" xfId="6" applyNumberFormat="1" applyFont="1" applyFill="1" applyBorder="1" applyAlignment="1">
      <alignment vertical="center"/>
    </xf>
    <xf numFmtId="41" fontId="31" fillId="0" borderId="198" xfId="1" applyNumberFormat="1" applyFont="1" applyFill="1" applyBorder="1" applyAlignment="1"/>
    <xf numFmtId="3" fontId="7" fillId="0" borderId="199" xfId="4" applyNumberFormat="1" applyFont="1" applyFill="1" applyBorder="1" applyAlignment="1">
      <alignment horizontal="right" vertical="center"/>
    </xf>
    <xf numFmtId="43" fontId="7" fillId="0" borderId="128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horizontal="right" vertical="center"/>
    </xf>
    <xf numFmtId="3" fontId="27" fillId="0" borderId="198" xfId="4" applyNumberFormat="1" applyFont="1" applyFill="1" applyBorder="1" applyAlignment="1">
      <alignment horizontal="right" vertical="center"/>
    </xf>
    <xf numFmtId="3" fontId="31" fillId="0" borderId="198" xfId="4" applyNumberFormat="1" applyFont="1" applyFill="1" applyBorder="1" applyAlignment="1">
      <alignment horizontal="right" vertical="center"/>
    </xf>
    <xf numFmtId="3" fontId="7" fillId="0" borderId="198" xfId="4" applyNumberFormat="1" applyFont="1" applyFill="1" applyBorder="1" applyAlignment="1">
      <alignment horizontal="right" vertical="center"/>
    </xf>
    <xf numFmtId="3" fontId="31" fillId="25" borderId="198" xfId="4" applyNumberFormat="1" applyFont="1" applyFill="1" applyBorder="1" applyAlignment="1">
      <alignment horizontal="right" vertical="center"/>
    </xf>
    <xf numFmtId="0" fontId="7" fillId="0" borderId="196" xfId="4" applyFont="1" applyFill="1" applyBorder="1" applyAlignment="1">
      <alignment vertical="center"/>
    </xf>
    <xf numFmtId="3" fontId="29" fillId="2" borderId="203" xfId="4" applyNumberFormat="1" applyFont="1" applyFill="1" applyBorder="1" applyAlignment="1">
      <alignment vertical="center" wrapText="1"/>
    </xf>
    <xf numFmtId="3" fontId="32" fillId="0" borderId="199" xfId="6" applyNumberFormat="1" applyFont="1" applyFill="1" applyBorder="1" applyAlignment="1">
      <alignment vertical="center"/>
    </xf>
    <xf numFmtId="3" fontId="27" fillId="2" borderId="198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9" xfId="4" applyFont="1" applyFill="1" applyBorder="1" applyAlignment="1">
      <alignment horizontal="left" vertical="center"/>
    </xf>
    <xf numFmtId="3" fontId="23" fillId="6" borderId="198" xfId="6" applyNumberFormat="1" applyFont="1" applyFill="1" applyBorder="1" applyAlignment="1">
      <alignment horizontal="right" vertical="center"/>
    </xf>
    <xf numFmtId="3" fontId="33" fillId="0" borderId="198" xfId="6" applyNumberFormat="1" applyFont="1" applyFill="1" applyBorder="1" applyAlignment="1">
      <alignment horizontal="right" vertical="center"/>
    </xf>
    <xf numFmtId="43" fontId="31" fillId="0" borderId="188" xfId="1" applyFont="1" applyFill="1" applyBorder="1" applyAlignment="1">
      <alignment horizontal="right" vertical="center"/>
    </xf>
    <xf numFmtId="0" fontId="31" fillId="0" borderId="196" xfId="4" applyFont="1" applyFill="1" applyBorder="1" applyAlignment="1">
      <alignment vertical="center"/>
    </xf>
    <xf numFmtId="43" fontId="33" fillId="0" borderId="198" xfId="1" applyFont="1" applyFill="1" applyBorder="1" applyAlignment="1">
      <alignment horizontal="right" vertical="center"/>
    </xf>
    <xf numFmtId="3" fontId="29" fillId="2" borderId="198" xfId="4" applyNumberFormat="1" applyFont="1" applyFill="1" applyBorder="1" applyAlignment="1">
      <alignment vertical="center"/>
    </xf>
    <xf numFmtId="43" fontId="23" fillId="6" borderId="198" xfId="1" applyFont="1" applyFill="1" applyBorder="1" applyAlignment="1">
      <alignment horizontal="right" vertical="center"/>
    </xf>
    <xf numFmtId="0" fontId="7" fillId="0" borderId="203" xfId="4" applyFont="1" applyFill="1" applyBorder="1" applyAlignment="1">
      <alignment vertical="center"/>
    </xf>
    <xf numFmtId="3" fontId="24" fillId="6" borderId="198" xfId="0" applyNumberFormat="1" applyFont="1" applyFill="1" applyBorder="1" applyAlignment="1">
      <alignment horizontal="right" vertical="center"/>
    </xf>
    <xf numFmtId="43" fontId="31" fillId="0" borderId="198" xfId="1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7" fillId="0" borderId="21" xfId="0" applyFont="1" applyFill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7" fillId="2" borderId="173" xfId="4" applyFont="1" applyFill="1" applyBorder="1" applyAlignment="1">
      <alignment vertical="center"/>
    </xf>
    <xf numFmtId="43" fontId="32" fillId="0" borderId="168" xfId="1" applyFont="1" applyFill="1" applyBorder="1" applyAlignment="1">
      <alignment vertical="center"/>
    </xf>
    <xf numFmtId="3" fontId="27" fillId="2" borderId="167" xfId="4" applyNumberFormat="1" applyFont="1" applyFill="1" applyBorder="1" applyAlignment="1">
      <alignment vertical="center"/>
    </xf>
    <xf numFmtId="0" fontId="25" fillId="6" borderId="189" xfId="4" applyFont="1" applyFill="1" applyBorder="1" applyAlignment="1">
      <alignment horizontal="center" vertical="center"/>
    </xf>
    <xf numFmtId="43" fontId="7" fillId="0" borderId="195" xfId="1" applyFont="1" applyFill="1" applyBorder="1" applyAlignment="1">
      <alignment horizontal="right" vertical="center"/>
    </xf>
    <xf numFmtId="3" fontId="7" fillId="0" borderId="195" xfId="4" applyNumberFormat="1" applyFont="1" applyFill="1" applyBorder="1" applyAlignment="1">
      <alignment horizontal="right" vertical="center"/>
    </xf>
    <xf numFmtId="3" fontId="31" fillId="0" borderId="192" xfId="4" applyNumberFormat="1" applyFont="1" applyFill="1" applyBorder="1" applyAlignment="1">
      <alignment vertical="center"/>
    </xf>
    <xf numFmtId="43" fontId="32" fillId="0" borderId="192" xfId="1" applyFont="1" applyFill="1" applyBorder="1" applyAlignment="1">
      <alignment vertical="center"/>
    </xf>
    <xf numFmtId="0" fontId="27" fillId="2" borderId="203" xfId="4" applyFont="1" applyFill="1" applyBorder="1" applyAlignment="1">
      <alignment vertical="center"/>
    </xf>
    <xf numFmtId="43" fontId="7" fillId="0" borderId="177" xfId="1" applyFont="1" applyFill="1" applyBorder="1" applyAlignment="1">
      <alignment horizontal="right" vertical="center"/>
    </xf>
    <xf numFmtId="43" fontId="7" fillId="0" borderId="63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vertical="center"/>
    </xf>
    <xf numFmtId="0" fontId="24" fillId="6" borderId="189" xfId="4" applyFont="1" applyFill="1" applyBorder="1" applyAlignment="1">
      <alignment horizontal="left" vertical="center"/>
    </xf>
    <xf numFmtId="3" fontId="24" fillId="6" borderId="198" xfId="4" applyNumberFormat="1" applyFont="1" applyFill="1" applyBorder="1" applyAlignment="1">
      <alignment horizontal="right" vertical="center"/>
    </xf>
    <xf numFmtId="3" fontId="29" fillId="0" borderId="198" xfId="4" applyNumberFormat="1" applyFont="1" applyFill="1" applyBorder="1" applyAlignment="1">
      <alignment horizontal="right" vertical="center"/>
    </xf>
    <xf numFmtId="3" fontId="29" fillId="25" borderId="198" xfId="4" applyNumberFormat="1" applyFont="1" applyFill="1" applyBorder="1" applyAlignment="1">
      <alignment horizontal="right" vertical="center"/>
    </xf>
    <xf numFmtId="43" fontId="7" fillId="0" borderId="198" xfId="1" applyFont="1" applyFill="1" applyBorder="1" applyAlignment="1">
      <alignment horizontal="right" vertical="center"/>
    </xf>
    <xf numFmtId="3" fontId="24" fillId="22" borderId="168" xfId="4" applyNumberFormat="1" applyFont="1" applyFill="1" applyBorder="1" applyAlignment="1">
      <alignment horizontal="right" vertical="center"/>
    </xf>
    <xf numFmtId="0" fontId="0" fillId="0" borderId="192" xfId="0" applyFont="1" applyBorder="1"/>
    <xf numFmtId="0" fontId="25" fillId="6" borderId="120" xfId="4" applyFont="1" applyFill="1" applyBorder="1" applyAlignment="1">
      <alignment horizontal="left" vertical="center"/>
    </xf>
    <xf numFmtId="3" fontId="27" fillId="2" borderId="123" xfId="4" applyNumberFormat="1" applyFont="1" applyFill="1" applyBorder="1" applyAlignment="1">
      <alignment vertical="center" wrapText="1"/>
    </xf>
    <xf numFmtId="3" fontId="27" fillId="0" borderId="127" xfId="4" applyNumberFormat="1" applyFont="1" applyFill="1" applyBorder="1" applyAlignment="1">
      <alignment horizontal="right"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7" fillId="0" borderId="118" xfId="4" applyNumberFormat="1" applyFont="1" applyFill="1" applyBorder="1" applyAlignment="1">
      <alignment horizontal="right" vertical="center"/>
    </xf>
    <xf numFmtId="3" fontId="27" fillId="25" borderId="129" xfId="4" applyNumberFormat="1" applyFont="1" applyFill="1" applyBorder="1" applyAlignment="1">
      <alignment horizontal="right" vertical="center"/>
    </xf>
    <xf numFmtId="0" fontId="7" fillId="0" borderId="123" xfId="4" applyFont="1" applyFill="1" applyBorder="1" applyAlignment="1">
      <alignment vertical="center"/>
    </xf>
    <xf numFmtId="3" fontId="7" fillId="0" borderId="118" xfId="4" applyNumberFormat="1" applyFont="1" applyFill="1" applyBorder="1" applyAlignment="1">
      <alignment horizontal="right" vertical="center"/>
    </xf>
    <xf numFmtId="3" fontId="27" fillId="2" borderId="120" xfId="4" applyNumberFormat="1" applyFont="1" applyFill="1" applyBorder="1" applyAlignment="1">
      <alignment vertical="center" wrapText="1"/>
    </xf>
    <xf numFmtId="3" fontId="33" fillId="0" borderId="126" xfId="6" applyNumberFormat="1" applyFont="1" applyFill="1" applyBorder="1" applyAlignment="1">
      <alignment vertical="center"/>
    </xf>
    <xf numFmtId="0" fontId="20" fillId="6" borderId="28" xfId="4" applyFont="1" applyFill="1" applyBorder="1" applyAlignment="1">
      <alignment horizontal="left" vertical="center"/>
    </xf>
    <xf numFmtId="3" fontId="29" fillId="0" borderId="94" xfId="4" applyNumberFormat="1" applyFont="1" applyFill="1" applyBorder="1" applyAlignment="1">
      <alignment horizontal="right" vertical="center"/>
    </xf>
    <xf numFmtId="3" fontId="27" fillId="23" borderId="90" xfId="4" applyNumberFormat="1" applyFont="1" applyFill="1" applyBorder="1" applyAlignment="1">
      <alignment vertical="center"/>
    </xf>
    <xf numFmtId="3" fontId="27" fillId="23" borderId="199" xfId="4" applyNumberFormat="1" applyFont="1" applyFill="1" applyBorder="1" applyAlignment="1">
      <alignment vertical="center"/>
    </xf>
    <xf numFmtId="0" fontId="25" fillId="32" borderId="12" xfId="4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43" fontId="64" fillId="9" borderId="34" xfId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2" fillId="8" borderId="177" xfId="6" applyNumberFormat="1" applyFont="1" applyFill="1" applyBorder="1" applyAlignment="1">
      <alignment vertical="center"/>
    </xf>
    <xf numFmtId="3" fontId="31" fillId="25" borderId="128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83" xfId="1" applyFont="1" applyFill="1" applyBorder="1" applyAlignment="1">
      <alignment vertical="center" wrapText="1"/>
    </xf>
    <xf numFmtId="3" fontId="65" fillId="17" borderId="70" xfId="0" applyNumberFormat="1" applyFont="1" applyFill="1" applyBorder="1"/>
    <xf numFmtId="3" fontId="65" fillId="17" borderId="35" xfId="0" applyNumberFormat="1" applyFont="1" applyFill="1" applyBorder="1"/>
    <xf numFmtId="3" fontId="8" fillId="8" borderId="128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33" fillId="8" borderId="18" xfId="6" applyNumberFormat="1" applyFont="1" applyFill="1" applyBorder="1" applyAlignment="1">
      <alignment horizontal="right" vertical="center"/>
    </xf>
    <xf numFmtId="3" fontId="25" fillId="2" borderId="198" xfId="0" applyNumberFormat="1" applyFont="1" applyFill="1" applyBorder="1" applyAlignment="1">
      <alignment vertical="center"/>
    </xf>
    <xf numFmtId="3" fontId="27" fillId="2" borderId="198" xfId="0" applyNumberFormat="1" applyFont="1" applyFill="1" applyBorder="1" applyAlignment="1">
      <alignment vertical="center"/>
    </xf>
    <xf numFmtId="3" fontId="31" fillId="2" borderId="144" xfId="0" applyNumberFormat="1" applyFont="1" applyFill="1" applyBorder="1" applyAlignment="1">
      <alignment vertical="top"/>
    </xf>
    <xf numFmtId="3" fontId="25" fillId="6" borderId="199" xfId="4" applyNumberFormat="1" applyFont="1" applyFill="1" applyBorder="1" applyAlignment="1">
      <alignment horizontal="right" vertical="center"/>
    </xf>
    <xf numFmtId="3" fontId="24" fillId="22" borderId="199" xfId="4" applyNumberFormat="1" applyFont="1" applyFill="1" applyBorder="1" applyAlignment="1">
      <alignment horizontal="right" vertical="center"/>
    </xf>
    <xf numFmtId="3" fontId="25" fillId="6" borderId="198" xfId="4" applyNumberFormat="1" applyFont="1" applyFill="1" applyBorder="1" applyAlignment="1">
      <alignment vertical="center"/>
    </xf>
    <xf numFmtId="3" fontId="25" fillId="6" borderId="199" xfId="4" applyNumberFormat="1" applyFont="1" applyFill="1" applyBorder="1" applyAlignment="1">
      <alignment vertical="center"/>
    </xf>
    <xf numFmtId="43" fontId="25" fillId="6" borderId="199" xfId="1" applyFont="1" applyFill="1" applyBorder="1" applyAlignment="1">
      <alignment vertical="center"/>
    </xf>
    <xf numFmtId="43" fontId="31" fillId="0" borderId="169" xfId="1" applyFont="1" applyFill="1" applyBorder="1" applyAlignment="1">
      <alignment horizontal="right" vertical="center"/>
    </xf>
    <xf numFmtId="43" fontId="33" fillId="0" borderId="199" xfId="1" applyFont="1" applyFill="1" applyBorder="1" applyAlignment="1">
      <alignment vertical="center"/>
    </xf>
    <xf numFmtId="3" fontId="24" fillId="6" borderId="199" xfId="4" applyNumberFormat="1" applyFont="1" applyFill="1" applyBorder="1" applyAlignment="1">
      <alignment vertical="center"/>
    </xf>
    <xf numFmtId="43" fontId="24" fillId="6" borderId="199" xfId="1" applyFont="1" applyFill="1" applyBorder="1" applyAlignment="1">
      <alignment vertical="center"/>
    </xf>
    <xf numFmtId="3" fontId="25" fillId="22" borderId="198" xfId="4" applyNumberFormat="1" applyFont="1" applyFill="1" applyBorder="1" applyAlignment="1">
      <alignment horizontal="right" vertical="center"/>
    </xf>
    <xf numFmtId="3" fontId="23" fillId="6" borderId="199" xfId="6" applyNumberFormat="1" applyFont="1" applyFill="1" applyBorder="1" applyAlignment="1">
      <alignment horizontal="right" vertical="center"/>
    </xf>
    <xf numFmtId="43" fontId="23" fillId="6" borderId="199" xfId="1" applyFont="1" applyFill="1" applyBorder="1" applyAlignment="1">
      <alignment horizontal="right" vertical="center"/>
    </xf>
    <xf numFmtId="3" fontId="31" fillId="2" borderId="142" xfId="4" applyNumberFormat="1" applyFont="1" applyFill="1" applyBorder="1" applyAlignment="1">
      <alignment vertical="center" wrapText="1"/>
    </xf>
    <xf numFmtId="3" fontId="32" fillId="0" borderId="198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horizontal="right" vertical="center"/>
    </xf>
    <xf numFmtId="43" fontId="31" fillId="0" borderId="128" xfId="1" applyFont="1" applyFill="1" applyBorder="1" applyAlignment="1">
      <alignment horizontal="right" vertical="center"/>
    </xf>
    <xf numFmtId="43" fontId="25" fillId="6" borderId="198" xfId="1" applyFont="1" applyFill="1" applyBorder="1" applyAlignment="1">
      <alignment vertical="top"/>
    </xf>
    <xf numFmtId="3" fontId="25" fillId="22" borderId="198" xfId="0" applyNumberFormat="1" applyFont="1" applyFill="1" applyBorder="1" applyAlignment="1">
      <alignment vertical="top"/>
    </xf>
    <xf numFmtId="0" fontId="7" fillId="6" borderId="189" xfId="0" applyFont="1" applyFill="1" applyBorder="1" applyAlignment="1">
      <alignment horizontal="left" vertical="center" wrapText="1"/>
    </xf>
    <xf numFmtId="3" fontId="27" fillId="2" borderId="206" xfId="4" applyNumberFormat="1" applyFont="1" applyFill="1" applyBorder="1" applyAlignment="1">
      <alignment vertical="center" wrapText="1"/>
    </xf>
    <xf numFmtId="43" fontId="31" fillId="0" borderId="199" xfId="1" applyFont="1" applyFill="1" applyBorder="1" applyAlignment="1">
      <alignment vertical="top"/>
    </xf>
    <xf numFmtId="0" fontId="27" fillId="2" borderId="176" xfId="4" applyFont="1" applyFill="1" applyBorder="1" applyAlignment="1">
      <alignment vertical="top"/>
    </xf>
    <xf numFmtId="43" fontId="27" fillId="25" borderId="199" xfId="1" applyFont="1" applyFill="1" applyBorder="1" applyAlignment="1">
      <alignment horizontal="center" vertical="top"/>
    </xf>
    <xf numFmtId="0" fontId="6" fillId="0" borderId="189" xfId="0" applyFont="1" applyFill="1" applyBorder="1" applyAlignment="1">
      <alignment vertical="center" wrapText="1"/>
    </xf>
    <xf numFmtId="43" fontId="31" fillId="25" borderId="199" xfId="1" applyFont="1" applyFill="1" applyBorder="1" applyAlignment="1">
      <alignment horizontal="center" vertical="top"/>
    </xf>
    <xf numFmtId="0" fontId="23" fillId="0" borderId="189" xfId="0" applyFont="1" applyBorder="1" applyAlignment="1">
      <alignment horizontal="center" vertical="center" wrapText="1"/>
    </xf>
    <xf numFmtId="0" fontId="28" fillId="53" borderId="189" xfId="0" applyFont="1" applyFill="1" applyBorder="1" applyAlignment="1">
      <alignment vertical="top"/>
    </xf>
    <xf numFmtId="0" fontId="28" fillId="51" borderId="138" xfId="0" applyFont="1" applyFill="1" applyBorder="1" applyAlignment="1">
      <alignment vertical="center"/>
    </xf>
    <xf numFmtId="0" fontId="39" fillId="54" borderId="206" xfId="0" applyFont="1" applyFill="1" applyBorder="1"/>
    <xf numFmtId="0" fontId="28" fillId="54" borderId="189" xfId="0" applyFont="1" applyFill="1" applyBorder="1" applyAlignment="1">
      <alignment vertical="top"/>
    </xf>
    <xf numFmtId="0" fontId="31" fillId="50" borderId="138" xfId="0" applyFont="1" applyFill="1" applyBorder="1" applyAlignment="1">
      <alignment vertical="top"/>
    </xf>
    <xf numFmtId="0" fontId="31" fillId="50" borderId="189" xfId="0" applyFont="1" applyFill="1" applyBorder="1" applyAlignment="1">
      <alignment vertical="top"/>
    </xf>
    <xf numFmtId="3" fontId="27" fillId="0" borderId="199" xfId="0" applyNumberFormat="1" applyFont="1" applyFill="1" applyBorder="1" applyAlignment="1">
      <alignment vertical="center"/>
    </xf>
    <xf numFmtId="3" fontId="27" fillId="8" borderId="199" xfId="0" applyNumberFormat="1" applyFont="1" applyFill="1" applyBorder="1" applyAlignment="1">
      <alignment vertical="center"/>
    </xf>
    <xf numFmtId="3" fontId="27" fillId="23" borderId="199" xfId="0" applyNumberFormat="1" applyFont="1" applyFill="1" applyBorder="1" applyAlignment="1">
      <alignment vertical="center"/>
    </xf>
    <xf numFmtId="3" fontId="31" fillId="28" borderId="199" xfId="0" applyNumberFormat="1" applyFont="1" applyFill="1" applyBorder="1" applyAlignment="1">
      <alignment vertical="center"/>
    </xf>
    <xf numFmtId="3" fontId="7" fillId="23" borderId="199" xfId="0" applyNumberFormat="1" applyFont="1" applyFill="1" applyBorder="1" applyAlignment="1">
      <alignment vertical="center"/>
    </xf>
    <xf numFmtId="3" fontId="27" fillId="25" borderId="198" xfId="0" applyNumberFormat="1" applyFont="1" applyFill="1" applyBorder="1" applyAlignment="1">
      <alignment vertical="top"/>
    </xf>
    <xf numFmtId="3" fontId="24" fillId="22" borderId="198" xfId="0" applyNumberFormat="1" applyFont="1" applyFill="1" applyBorder="1" applyAlignment="1">
      <alignment vertical="top"/>
    </xf>
    <xf numFmtId="3" fontId="27" fillId="2" borderId="199" xfId="0" applyNumberFormat="1" applyFont="1" applyFill="1" applyBorder="1" applyAlignment="1">
      <alignment vertical="center"/>
    </xf>
    <xf numFmtId="43" fontId="27" fillId="32" borderId="198" xfId="1" applyFont="1" applyFill="1" applyBorder="1" applyAlignment="1">
      <alignment vertical="center"/>
    </xf>
    <xf numFmtId="3" fontId="29" fillId="26" borderId="198" xfId="0" applyNumberFormat="1" applyFont="1" applyFill="1" applyBorder="1" applyAlignment="1">
      <alignment vertical="center"/>
    </xf>
    <xf numFmtId="3" fontId="24" fillId="8" borderId="198" xfId="4" applyNumberFormat="1" applyFont="1" applyFill="1" applyBorder="1" applyAlignment="1">
      <alignment horizontal="center" vertical="center"/>
    </xf>
    <xf numFmtId="3" fontId="7" fillId="8" borderId="199" xfId="4" applyNumberFormat="1" applyFont="1" applyFill="1" applyBorder="1" applyAlignment="1">
      <alignment horizontal="right" vertical="center"/>
    </xf>
    <xf numFmtId="3" fontId="7" fillId="23" borderId="207" xfId="4" applyNumberFormat="1" applyFont="1" applyFill="1" applyBorder="1" applyAlignment="1">
      <alignment horizontal="right" vertical="center"/>
    </xf>
    <xf numFmtId="3" fontId="17" fillId="6" borderId="189" xfId="4" applyNumberFormat="1" applyFont="1" applyFill="1" applyBorder="1" applyAlignment="1">
      <alignment vertical="center"/>
    </xf>
    <xf numFmtId="3" fontId="24" fillId="22" borderId="199" xfId="4" applyNumberFormat="1" applyFont="1" applyFill="1" applyBorder="1" applyAlignment="1">
      <alignment vertical="center"/>
    </xf>
    <xf numFmtId="3" fontId="29" fillId="0" borderId="199" xfId="4" applyNumberFormat="1" applyFont="1" applyFill="1" applyBorder="1" applyAlignment="1">
      <alignment horizontal="right" vertical="center"/>
    </xf>
    <xf numFmtId="3" fontId="29" fillId="25" borderId="199" xfId="4" applyNumberFormat="1" applyFont="1" applyFill="1" applyBorder="1" applyAlignment="1">
      <alignment horizontal="right" vertical="center"/>
    </xf>
    <xf numFmtId="3" fontId="31" fillId="0" borderId="199" xfId="4" applyNumberFormat="1" applyFont="1" applyFill="1" applyBorder="1" applyAlignment="1"/>
    <xf numFmtId="3" fontId="7" fillId="0" borderId="199" xfId="4" applyNumberFormat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center"/>
    </xf>
    <xf numFmtId="0" fontId="7" fillId="32" borderId="77" xfId="4" applyFont="1" applyFill="1" applyBorder="1" applyAlignment="1">
      <alignment vertical="top"/>
    </xf>
    <xf numFmtId="0" fontId="24" fillId="6" borderId="203" xfId="4" applyFont="1" applyFill="1" applyBorder="1" applyAlignment="1">
      <alignment horizontal="left" vertical="center"/>
    </xf>
    <xf numFmtId="3" fontId="27" fillId="0" borderId="198" xfId="4" applyNumberFormat="1" applyFont="1" applyFill="1" applyBorder="1" applyAlignment="1">
      <alignment vertical="center"/>
    </xf>
    <xf numFmtId="3" fontId="29" fillId="0" borderId="198" xfId="4" applyNumberFormat="1" applyFont="1" applyFill="1" applyBorder="1" applyAlignment="1">
      <alignment vertical="center"/>
    </xf>
    <xf numFmtId="3" fontId="27" fillId="25" borderId="198" xfId="4" applyNumberFormat="1" applyFont="1" applyFill="1" applyBorder="1" applyAlignment="1">
      <alignment vertical="center"/>
    </xf>
    <xf numFmtId="3" fontId="7" fillId="0" borderId="198" xfId="4" applyNumberFormat="1" applyFont="1" applyFill="1" applyBorder="1" applyAlignment="1">
      <alignment vertical="center"/>
    </xf>
    <xf numFmtId="0" fontId="28" fillId="0" borderId="203" xfId="4" applyFont="1" applyFill="1" applyBorder="1" applyAlignment="1">
      <alignment vertical="center"/>
    </xf>
    <xf numFmtId="3" fontId="28" fillId="0" borderId="198" xfId="4" applyNumberFormat="1" applyFont="1" applyFill="1" applyBorder="1" applyAlignment="1">
      <alignment horizontal="right" vertical="center"/>
    </xf>
    <xf numFmtId="3" fontId="28" fillId="25" borderId="198" xfId="4" applyNumberFormat="1" applyFont="1" applyFill="1" applyBorder="1" applyAlignment="1">
      <alignment horizontal="right" vertical="center"/>
    </xf>
    <xf numFmtId="3" fontId="28" fillId="0" borderId="199" xfId="4" applyNumberFormat="1" applyFont="1" applyFill="1" applyBorder="1" applyAlignment="1">
      <alignment horizontal="right" vertical="center"/>
    </xf>
    <xf numFmtId="0" fontId="31" fillId="0" borderId="203" xfId="4" applyFont="1" applyFill="1" applyBorder="1" applyAlignment="1">
      <alignment vertical="center"/>
    </xf>
    <xf numFmtId="0" fontId="29" fillId="2" borderId="203" xfId="4" applyFont="1" applyFill="1" applyBorder="1" applyAlignment="1">
      <alignment vertical="center"/>
    </xf>
    <xf numFmtId="3" fontId="33" fillId="25" borderId="199" xfId="6" applyNumberFormat="1" applyFont="1" applyFill="1" applyBorder="1" applyAlignment="1">
      <alignment vertical="center"/>
    </xf>
    <xf numFmtId="3" fontId="31" fillId="0" borderId="195" xfId="4" applyNumberFormat="1" applyFont="1" applyFill="1" applyBorder="1" applyAlignment="1">
      <alignment horizontal="right" vertical="center"/>
    </xf>
    <xf numFmtId="3" fontId="63" fillId="0" borderId="188" xfId="6" applyNumberFormat="1" applyFont="1" applyFill="1" applyBorder="1" applyAlignment="1">
      <alignment vertical="center"/>
    </xf>
    <xf numFmtId="3" fontId="38" fillId="0" borderId="188" xfId="4" applyNumberFormat="1" applyFont="1" applyFill="1" applyBorder="1" applyAlignment="1">
      <alignment horizontal="right" vertical="center"/>
    </xf>
    <xf numFmtId="3" fontId="28" fillId="25" borderId="188" xfId="4" applyNumberFormat="1" applyFont="1" applyFill="1" applyBorder="1" applyAlignment="1">
      <alignment horizontal="right" vertical="center"/>
    </xf>
    <xf numFmtId="3" fontId="33" fillId="0" borderId="198" xfId="114" applyNumberFormat="1" applyFont="1" applyFill="1" applyBorder="1" applyAlignment="1">
      <alignment vertical="center"/>
    </xf>
    <xf numFmtId="3" fontId="33" fillId="0" borderId="199" xfId="114" applyNumberFormat="1" applyFont="1" applyFill="1" applyBorder="1" applyAlignment="1">
      <alignment vertical="center"/>
    </xf>
    <xf numFmtId="0" fontId="4" fillId="0" borderId="199" xfId="112" applyFont="1" applyBorder="1" applyAlignment="1">
      <alignment vertical="center"/>
    </xf>
    <xf numFmtId="0" fontId="18" fillId="0" borderId="35" xfId="4" applyFont="1" applyFill="1" applyBorder="1" applyAlignment="1">
      <alignment horizontal="center" vertical="center" wrapText="1"/>
    </xf>
    <xf numFmtId="0" fontId="18" fillId="0" borderId="135" xfId="4" applyFont="1" applyFill="1" applyBorder="1" applyAlignment="1">
      <alignment horizontal="center" vertical="center" wrapText="1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4" xfId="4" applyNumberFormat="1" applyFont="1" applyFill="1" applyBorder="1" applyAlignment="1">
      <alignment horizontal="center" vertical="center"/>
    </xf>
    <xf numFmtId="3" fontId="24" fillId="34" borderId="167" xfId="4" applyNumberFormat="1" applyFont="1" applyFill="1" applyBorder="1" applyAlignment="1">
      <alignment horizontal="center" vertical="center"/>
    </xf>
    <xf numFmtId="0" fontId="25" fillId="6" borderId="199" xfId="4" applyFont="1" applyFill="1" applyBorder="1" applyAlignment="1">
      <alignment horizontal="left" vertical="center"/>
    </xf>
    <xf numFmtId="0" fontId="31" fillId="6" borderId="199" xfId="0" applyFont="1" applyFill="1" applyBorder="1" applyAlignment="1">
      <alignment vertical="top"/>
    </xf>
    <xf numFmtId="3" fontId="25" fillId="22" borderId="199" xfId="0" applyNumberFormat="1" applyFont="1" applyFill="1" applyBorder="1" applyAlignment="1">
      <alignment vertical="top"/>
    </xf>
    <xf numFmtId="3" fontId="27" fillId="0" borderId="199" xfId="4" applyNumberFormat="1" applyFont="1" applyFill="1" applyBorder="1" applyAlignment="1">
      <alignment vertical="top" wrapText="1"/>
    </xf>
    <xf numFmtId="0" fontId="32" fillId="0" borderId="199" xfId="0" applyFont="1" applyBorder="1"/>
    <xf numFmtId="3" fontId="31" fillId="2" borderId="199" xfId="0" applyNumberFormat="1" applyFont="1" applyFill="1" applyBorder="1" applyAlignment="1">
      <alignment vertical="top"/>
    </xf>
    <xf numFmtId="0" fontId="32" fillId="0" borderId="199" xfId="0" applyFont="1" applyBorder="1" applyAlignment="1">
      <alignment vertical="center"/>
    </xf>
    <xf numFmtId="3" fontId="31" fillId="2" borderId="199" xfId="0" applyNumberFormat="1" applyFont="1" applyFill="1" applyBorder="1" applyAlignment="1">
      <alignment vertical="center"/>
    </xf>
    <xf numFmtId="3" fontId="31" fillId="23" borderId="199" xfId="0" applyNumberFormat="1" applyFont="1" applyFill="1" applyBorder="1" applyAlignment="1">
      <alignment vertical="top"/>
    </xf>
    <xf numFmtId="0" fontId="33" fillId="0" borderId="199" xfId="0" applyFont="1" applyBorder="1" applyAlignment="1">
      <alignment vertical="center"/>
    </xf>
    <xf numFmtId="3" fontId="31" fillId="0" borderId="199" xfId="0" applyNumberFormat="1" applyFont="1" applyFill="1" applyBorder="1" applyAlignment="1">
      <alignment vertical="center"/>
    </xf>
    <xf numFmtId="0" fontId="31" fillId="6" borderId="199" xfId="0" applyFont="1" applyFill="1" applyBorder="1" applyAlignment="1">
      <alignment vertical="center"/>
    </xf>
    <xf numFmtId="3" fontId="27" fillId="0" borderId="199" xfId="4" applyNumberFormat="1" applyFont="1" applyFill="1" applyBorder="1" applyAlignment="1">
      <alignment vertical="center" wrapText="1"/>
    </xf>
    <xf numFmtId="0" fontId="25" fillId="6" borderId="178" xfId="4" applyFont="1" applyFill="1" applyBorder="1" applyAlignment="1">
      <alignment horizontal="left" vertical="center"/>
    </xf>
    <xf numFmtId="0" fontId="31" fillId="6" borderId="178" xfId="0" applyFont="1" applyFill="1" applyBorder="1" applyAlignment="1">
      <alignment vertical="center"/>
    </xf>
    <xf numFmtId="3" fontId="25" fillId="6" borderId="178" xfId="0" applyNumberFormat="1" applyFont="1" applyFill="1" applyBorder="1" applyAlignment="1">
      <alignment vertical="center"/>
    </xf>
    <xf numFmtId="3" fontId="27" fillId="0" borderId="178" xfId="4" applyNumberFormat="1" applyFont="1" applyFill="1" applyBorder="1" applyAlignment="1">
      <alignment vertical="center" wrapText="1"/>
    </xf>
    <xf numFmtId="43" fontId="27" fillId="2" borderId="178" xfId="1" applyFont="1" applyFill="1" applyBorder="1" applyAlignment="1">
      <alignment vertical="center"/>
    </xf>
    <xf numFmtId="0" fontId="32" fillId="0" borderId="178" xfId="0" applyFont="1" applyBorder="1" applyAlignment="1">
      <alignment vertical="center"/>
    </xf>
    <xf numFmtId="3" fontId="31" fillId="2" borderId="178" xfId="0" applyNumberFormat="1" applyFont="1" applyFill="1" applyBorder="1" applyAlignment="1">
      <alignment vertical="center"/>
    </xf>
    <xf numFmtId="0" fontId="33" fillId="0" borderId="178" xfId="0" applyFont="1" applyBorder="1" applyAlignment="1">
      <alignment vertical="center"/>
    </xf>
    <xf numFmtId="3" fontId="27" fillId="0" borderId="178" xfId="0" applyNumberFormat="1" applyFont="1" applyFill="1" applyBorder="1" applyAlignment="1">
      <alignment vertical="center"/>
    </xf>
    <xf numFmtId="0" fontId="32" fillId="0" borderId="209" xfId="0" applyFont="1" applyBorder="1" applyAlignment="1">
      <alignment vertical="center"/>
    </xf>
    <xf numFmtId="3" fontId="31" fillId="0" borderId="210" xfId="4" applyNumberFormat="1" applyFont="1" applyFill="1" applyBorder="1" applyAlignment="1">
      <alignment vertical="center"/>
    </xf>
    <xf numFmtId="43" fontId="31" fillId="0" borderId="210" xfId="1" applyFont="1" applyFill="1" applyBorder="1" applyAlignment="1"/>
    <xf numFmtId="3" fontId="31" fillId="0" borderId="209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27" fillId="21" borderId="70" xfId="4" applyNumberFormat="1" applyFont="1" applyFill="1" applyBorder="1" applyAlignment="1">
      <alignment horizontal="right" vertical="center"/>
    </xf>
    <xf numFmtId="2" fontId="7" fillId="28" borderId="67" xfId="0" applyNumberFormat="1" applyFont="1" applyFill="1" applyBorder="1" applyAlignment="1">
      <alignment horizontal="center" vertical="top" wrapText="1"/>
    </xf>
    <xf numFmtId="2" fontId="27" fillId="50" borderId="67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27" xfId="4" applyNumberFormat="1" applyFont="1" applyFill="1" applyBorder="1" applyAlignment="1">
      <alignment horizontal="righ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200" xfId="0" applyNumberFormat="1" applyFont="1" applyFill="1" applyBorder="1" applyAlignment="1">
      <alignment vertical="center" wrapText="1"/>
    </xf>
    <xf numFmtId="2" fontId="18" fillId="8" borderId="67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32" xfId="4" applyNumberFormat="1" applyFont="1" applyFill="1" applyBorder="1" applyAlignment="1">
      <alignment vertical="center"/>
    </xf>
    <xf numFmtId="2" fontId="24" fillId="8" borderId="200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204" xfId="0" applyNumberFormat="1" applyFont="1" applyFill="1" applyBorder="1" applyAlignment="1">
      <alignment vertical="top" wrapText="1"/>
    </xf>
    <xf numFmtId="2" fontId="7" fillId="8" borderId="197" xfId="0" applyNumberFormat="1" applyFont="1" applyFill="1" applyBorder="1" applyAlignment="1">
      <alignment vertical="top" wrapText="1"/>
    </xf>
    <xf numFmtId="2" fontId="18" fillId="8" borderId="67" xfId="0" applyNumberFormat="1" applyFont="1" applyFill="1" applyBorder="1" applyAlignment="1">
      <alignment horizontal="center" vertical="top" wrapText="1"/>
    </xf>
    <xf numFmtId="2" fontId="24" fillId="6" borderId="132" xfId="4" applyNumberFormat="1" applyFont="1" applyFill="1" applyBorder="1" applyAlignment="1">
      <alignment horizontal="left" vertical="center"/>
    </xf>
    <xf numFmtId="2" fontId="7" fillId="6" borderId="200" xfId="0" applyNumberFormat="1" applyFont="1" applyFill="1" applyBorder="1" applyAlignment="1">
      <alignment vertical="center" wrapText="1"/>
    </xf>
    <xf numFmtId="2" fontId="7" fillId="28" borderId="6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17" fillId="8" borderId="25" xfId="0" applyNumberFormat="1" applyFont="1" applyFill="1" applyBorder="1" applyAlignment="1">
      <alignment vertical="center"/>
    </xf>
    <xf numFmtId="2" fontId="7" fillId="8" borderId="204" xfId="0" applyNumberFormat="1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vertical="center" wrapText="1"/>
    </xf>
    <xf numFmtId="2" fontId="18" fillId="8" borderId="69" xfId="0" applyNumberFormat="1" applyFont="1" applyFill="1" applyBorder="1" applyAlignment="1">
      <alignment horizontal="center" vertical="center" wrapText="1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32" xfId="4" applyNumberFormat="1" applyFont="1" applyFill="1" applyBorder="1" applyAlignment="1">
      <alignment horizontal="left" vertical="center"/>
    </xf>
    <xf numFmtId="2" fontId="31" fillId="6" borderId="200" xfId="0" applyNumberFormat="1" applyFont="1" applyFill="1" applyBorder="1" applyAlignment="1">
      <alignment vertical="top"/>
    </xf>
    <xf numFmtId="2" fontId="27" fillId="2" borderId="132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98" xfId="0" applyNumberFormat="1" applyFont="1" applyFill="1" applyBorder="1" applyAlignment="1">
      <alignment vertical="top"/>
    </xf>
    <xf numFmtId="2" fontId="27" fillId="2" borderId="132" xfId="4" applyNumberFormat="1" applyFont="1" applyFill="1" applyBorder="1" applyAlignment="1">
      <alignment vertical="top"/>
    </xf>
    <xf numFmtId="2" fontId="31" fillId="0" borderId="204" xfId="0" applyNumberFormat="1" applyFont="1" applyFill="1" applyBorder="1" applyAlignment="1">
      <alignment horizontal="left" vertical="center" wrapText="1"/>
    </xf>
    <xf numFmtId="2" fontId="7" fillId="6" borderId="200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center" wrapText="1"/>
    </xf>
    <xf numFmtId="2" fontId="31" fillId="0" borderId="85" xfId="0" applyNumberFormat="1" applyFont="1" applyFill="1" applyBorder="1" applyAlignment="1">
      <alignment vertical="top"/>
    </xf>
    <xf numFmtId="2" fontId="31" fillId="0" borderId="199" xfId="0" applyNumberFormat="1" applyFont="1" applyFill="1" applyBorder="1" applyAlignment="1">
      <alignment vertical="top"/>
    </xf>
    <xf numFmtId="2" fontId="27" fillId="2" borderId="202" xfId="4" applyNumberFormat="1" applyFont="1" applyFill="1" applyBorder="1" applyAlignment="1">
      <alignment vertical="top"/>
    </xf>
    <xf numFmtId="2" fontId="31" fillId="0" borderId="77" xfId="0" applyNumberFormat="1" applyFont="1" applyFill="1" applyBorder="1" applyAlignment="1">
      <alignment horizontal="left" vertical="center" wrapText="1"/>
    </xf>
    <xf numFmtId="2" fontId="27" fillId="2" borderId="206" xfId="4" applyNumberFormat="1" applyFont="1" applyFill="1" applyBorder="1" applyAlignment="1">
      <alignment vertical="top"/>
    </xf>
    <xf numFmtId="2" fontId="31" fillId="0" borderId="211" xfId="0" applyNumberFormat="1" applyFont="1" applyFill="1" applyBorder="1" applyAlignment="1">
      <alignment horizontal="left" vertical="center" wrapText="1"/>
    </xf>
    <xf numFmtId="2" fontId="25" fillId="6" borderId="206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12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0" fillId="0" borderId="0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2" borderId="24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50" borderId="203" xfId="4" applyNumberFormat="1" applyFont="1" applyFill="1" applyBorder="1" applyAlignment="1">
      <alignment horizontal="left" vertical="center"/>
    </xf>
    <xf numFmtId="2" fontId="27" fillId="50" borderId="16" xfId="4" applyNumberFormat="1" applyFont="1" applyFill="1" applyBorder="1" applyAlignment="1">
      <alignment horizontal="left" vertical="center"/>
    </xf>
    <xf numFmtId="2" fontId="27" fillId="50" borderId="198" xfId="4" applyNumberFormat="1" applyFont="1" applyFill="1" applyBorder="1" applyAlignment="1">
      <alignment horizontal="right" vertical="center"/>
    </xf>
    <xf numFmtId="2" fontId="27" fillId="50" borderId="67" xfId="0" applyNumberFormat="1" applyFont="1" applyFill="1" applyBorder="1" applyAlignment="1">
      <alignment horizontal="left" vertical="top"/>
    </xf>
    <xf numFmtId="2" fontId="28" fillId="50" borderId="22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5" fillId="6" borderId="19" xfId="4" applyNumberFormat="1" applyFont="1" applyFill="1" applyBorder="1" applyAlignment="1">
      <alignment horizontal="left" vertical="center"/>
    </xf>
    <xf numFmtId="2" fontId="25" fillId="6" borderId="16" xfId="4" applyNumberFormat="1" applyFont="1" applyFill="1" applyBorder="1" applyAlignment="1">
      <alignment horizontal="left" vertical="center"/>
    </xf>
    <xf numFmtId="2" fontId="25" fillId="6" borderId="17" xfId="0" applyNumberFormat="1" applyFont="1" applyFill="1" applyBorder="1" applyAlignment="1">
      <alignment vertical="top"/>
    </xf>
    <xf numFmtId="2" fontId="25" fillId="22" borderId="7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top"/>
    </xf>
    <xf numFmtId="2" fontId="27" fillId="23" borderId="199" xfId="0" applyNumberFormat="1" applyFont="1" applyFill="1" applyBorder="1" applyAlignment="1">
      <alignment vertical="top"/>
    </xf>
    <xf numFmtId="2" fontId="31" fillId="8" borderId="132" xfId="0" applyNumberFormat="1" applyFont="1" applyFill="1" applyBorder="1" applyAlignment="1">
      <alignment vertical="top"/>
    </xf>
    <xf numFmtId="2" fontId="31" fillId="8" borderId="198" xfId="0" applyNumberFormat="1" applyFont="1" applyFill="1" applyBorder="1" applyAlignment="1">
      <alignment vertical="top"/>
    </xf>
    <xf numFmtId="2" fontId="25" fillId="23" borderId="198" xfId="0" applyNumberFormat="1" applyFont="1" applyFill="1" applyBorder="1" applyAlignment="1">
      <alignment horizontal="center" vertical="top"/>
    </xf>
    <xf numFmtId="2" fontId="7" fillId="23" borderId="195" xfId="0" applyNumberFormat="1" applyFont="1" applyFill="1" applyBorder="1" applyAlignment="1">
      <alignment vertical="top"/>
    </xf>
    <xf numFmtId="2" fontId="31" fillId="8" borderId="132" xfId="0" applyNumberFormat="1" applyFont="1" applyFill="1" applyBorder="1" applyAlignment="1">
      <alignment vertical="center"/>
    </xf>
    <xf numFmtId="2" fontId="31" fillId="8" borderId="198" xfId="0" applyNumberFormat="1" applyFont="1" applyFill="1" applyBorder="1" applyAlignment="1">
      <alignment vertical="center"/>
    </xf>
    <xf numFmtId="2" fontId="25" fillId="23" borderId="198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98" xfId="0" applyNumberFormat="1" applyFont="1" applyFill="1" applyBorder="1" applyAlignment="1">
      <alignment horizontal="right" vertical="center"/>
    </xf>
    <xf numFmtId="2" fontId="27" fillId="8" borderId="199" xfId="0" applyNumberFormat="1" applyFont="1" applyFill="1" applyBorder="1" applyAlignment="1">
      <alignment horizontal="right" vertical="center"/>
    </xf>
    <xf numFmtId="2" fontId="25" fillId="23" borderId="198" xfId="0" applyNumberFormat="1" applyFont="1" applyFill="1" applyBorder="1" applyAlignment="1">
      <alignment horizontal="center" vertical="center"/>
    </xf>
    <xf numFmtId="2" fontId="20" fillId="8" borderId="67" xfId="0" applyNumberFormat="1" applyFont="1" applyFill="1" applyBorder="1" applyAlignment="1">
      <alignment horizontal="center" vertical="center" wrapText="1"/>
    </xf>
    <xf numFmtId="2" fontId="31" fillId="8" borderId="199" xfId="0" applyNumberFormat="1" applyFont="1" applyFill="1" applyBorder="1" applyAlignment="1">
      <alignment vertical="top"/>
    </xf>
    <xf numFmtId="2" fontId="25" fillId="23" borderId="199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99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98" xfId="0" applyNumberFormat="1" applyFont="1" applyFill="1" applyBorder="1" applyAlignment="1">
      <alignment vertical="center"/>
    </xf>
    <xf numFmtId="2" fontId="35" fillId="8" borderId="11" xfId="0" applyNumberFormat="1" applyFont="1" applyFill="1" applyBorder="1" applyAlignment="1">
      <alignment vertical="top"/>
    </xf>
    <xf numFmtId="2" fontId="27" fillId="8" borderId="198" xfId="0" applyNumberFormat="1" applyFont="1" applyFill="1" applyBorder="1" applyAlignment="1">
      <alignment vertical="center"/>
    </xf>
    <xf numFmtId="2" fontId="35" fillId="8" borderId="67" xfId="0" applyNumberFormat="1" applyFont="1" applyFill="1" applyBorder="1" applyAlignment="1">
      <alignment horizontal="center" vertical="center" wrapText="1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9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98" xfId="0" applyNumberFormat="1" applyFont="1" applyFill="1" applyBorder="1" applyAlignment="1">
      <alignment vertical="center"/>
    </xf>
    <xf numFmtId="2" fontId="25" fillId="0" borderId="198" xfId="0" applyNumberFormat="1" applyFont="1" applyFill="1" applyBorder="1" applyAlignment="1">
      <alignment vertical="center"/>
    </xf>
    <xf numFmtId="2" fontId="31" fillId="32" borderId="132" xfId="0" applyNumberFormat="1" applyFont="1" applyFill="1" applyBorder="1" applyAlignment="1">
      <alignment vertical="center"/>
    </xf>
    <xf numFmtId="2" fontId="31" fillId="32" borderId="198" xfId="0" applyNumberFormat="1" applyFont="1" applyFill="1" applyBorder="1" applyAlignment="1">
      <alignment vertical="center"/>
    </xf>
    <xf numFmtId="2" fontId="0" fillId="0" borderId="11" xfId="0" applyNumberFormat="1" applyFont="1" applyBorder="1"/>
    <xf numFmtId="2" fontId="32" fillId="0" borderId="0" xfId="0" applyNumberFormat="1" applyFont="1" applyBorder="1"/>
    <xf numFmtId="2" fontId="25" fillId="6" borderId="198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70" xfId="0" applyNumberFormat="1" applyFont="1" applyFill="1" applyBorder="1" applyAlignment="1">
      <alignment vertical="center"/>
    </xf>
    <xf numFmtId="2" fontId="25" fillId="6" borderId="199" xfId="0" applyNumberFormat="1" applyFont="1" applyFill="1" applyBorder="1" applyAlignment="1"/>
    <xf numFmtId="2" fontId="29" fillId="2" borderId="132" xfId="4" applyNumberFormat="1" applyFont="1" applyFill="1" applyBorder="1" applyAlignment="1">
      <alignment vertical="center" wrapText="1"/>
    </xf>
    <xf numFmtId="2" fontId="27" fillId="2" borderId="199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32" xfId="0" applyNumberFormat="1" applyFont="1" applyFill="1" applyBorder="1" applyAlignment="1">
      <alignment vertical="center" wrapText="1"/>
    </xf>
    <xf numFmtId="2" fontId="31" fillId="0" borderId="195" xfId="0" applyNumberFormat="1" applyFont="1" applyFill="1" applyBorder="1" applyAlignment="1">
      <alignment vertical="top"/>
    </xf>
    <xf numFmtId="2" fontId="31" fillId="2" borderId="132" xfId="4" applyNumberFormat="1" applyFont="1" applyFill="1" applyBorder="1" applyAlignment="1">
      <alignment vertical="center" wrapText="1"/>
    </xf>
    <xf numFmtId="2" fontId="0" fillId="0" borderId="199" xfId="0" applyNumberFormat="1" applyFont="1" applyBorder="1"/>
    <xf numFmtId="2" fontId="7" fillId="23" borderId="199" xfId="0" applyNumberFormat="1" applyFont="1" applyFill="1" applyBorder="1" applyAlignment="1">
      <alignment horizontal="center" vertical="top"/>
    </xf>
    <xf numFmtId="2" fontId="25" fillId="2" borderId="199" xfId="0" applyNumberFormat="1" applyFont="1" applyFill="1" applyBorder="1" applyAlignment="1"/>
    <xf numFmtId="2" fontId="28" fillId="2" borderId="199" xfId="0" applyNumberFormat="1" applyFont="1" applyFill="1" applyBorder="1" applyAlignment="1"/>
    <xf numFmtId="2" fontId="31" fillId="2" borderId="199" xfId="0" applyNumberFormat="1" applyFont="1" applyFill="1" applyBorder="1" applyAlignment="1"/>
    <xf numFmtId="2" fontId="31" fillId="2" borderId="77" xfId="4" applyNumberFormat="1" applyFont="1" applyFill="1" applyBorder="1" applyAlignment="1">
      <alignment vertical="center" wrapText="1"/>
    </xf>
    <xf numFmtId="2" fontId="24" fillId="8" borderId="86" xfId="0" applyNumberFormat="1" applyFont="1" applyFill="1" applyBorder="1" applyAlignment="1">
      <alignment vertical="center" wrapText="1"/>
    </xf>
    <xf numFmtId="2" fontId="24" fillId="8" borderId="70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5" xfId="4" applyNumberFormat="1" applyFont="1" applyFill="1" applyBorder="1" applyAlignment="1">
      <alignment horizontal="left" vertical="center"/>
    </xf>
    <xf numFmtId="2" fontId="25" fillId="6" borderId="199" xfId="0" applyNumberFormat="1" applyFont="1" applyFill="1" applyBorder="1" applyAlignment="1">
      <alignment vertical="center"/>
    </xf>
    <xf numFmtId="2" fontId="25" fillId="22" borderId="199" xfId="0" applyNumberFormat="1" applyFont="1" applyFill="1" applyBorder="1" applyAlignment="1">
      <alignment vertical="center"/>
    </xf>
    <xf numFmtId="2" fontId="29" fillId="0" borderId="85" xfId="0" applyNumberFormat="1" applyFont="1" applyFill="1" applyBorder="1" applyAlignment="1">
      <alignment vertical="center"/>
    </xf>
    <xf numFmtId="2" fontId="25" fillId="25" borderId="199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12" xfId="0" applyNumberFormat="1" applyFont="1" applyFill="1" applyBorder="1" applyAlignment="1">
      <alignment vertical="center" wrapText="1"/>
    </xf>
    <xf numFmtId="2" fontId="31" fillId="0" borderId="210" xfId="0" applyNumberFormat="1" applyFont="1" applyFill="1" applyBorder="1" applyAlignment="1">
      <alignment vertical="center"/>
    </xf>
    <xf numFmtId="2" fontId="31" fillId="2" borderId="209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0" fillId="0" borderId="199" xfId="0" applyNumberFormat="1" applyFont="1" applyBorder="1" applyAlignment="1">
      <alignment vertical="center"/>
    </xf>
    <xf numFmtId="2" fontId="37" fillId="0" borderId="199" xfId="0" applyNumberFormat="1" applyFont="1" applyBorder="1"/>
    <xf numFmtId="2" fontId="39" fillId="0" borderId="199" xfId="0" applyNumberFormat="1" applyFont="1" applyBorder="1" applyAlignment="1">
      <alignment vertical="center"/>
    </xf>
    <xf numFmtId="2" fontId="18" fillId="0" borderId="199" xfId="0" applyNumberFormat="1" applyFont="1" applyBorder="1" applyAlignment="1">
      <alignment vertical="top"/>
    </xf>
    <xf numFmtId="2" fontId="8" fillId="0" borderId="199" xfId="0" applyNumberFormat="1" applyFont="1" applyBorder="1" applyAlignment="1">
      <alignment vertical="top"/>
    </xf>
    <xf numFmtId="3" fontId="29" fillId="8" borderId="199" xfId="0" applyNumberFormat="1" applyFont="1" applyFill="1" applyBorder="1" applyAlignment="1">
      <alignment vertical="center"/>
    </xf>
    <xf numFmtId="3" fontId="29" fillId="23" borderId="199" xfId="0" applyNumberFormat="1" applyFont="1" applyFill="1" applyBorder="1" applyAlignment="1">
      <alignment vertical="center"/>
    </xf>
    <xf numFmtId="3" fontId="7" fillId="28" borderId="199" xfId="0" applyNumberFormat="1" applyFont="1" applyFill="1" applyBorder="1" applyAlignment="1">
      <alignment vertical="center"/>
    </xf>
    <xf numFmtId="3" fontId="24" fillId="6" borderId="199" xfId="0" applyNumberFormat="1" applyFont="1" applyFill="1" applyBorder="1" applyAlignment="1">
      <alignment vertical="center"/>
    </xf>
    <xf numFmtId="3" fontId="7" fillId="28" borderId="209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vertical="top"/>
    </xf>
    <xf numFmtId="3" fontId="31" fillId="0" borderId="195" xfId="0" applyNumberFormat="1" applyFont="1" applyFill="1" applyBorder="1" applyAlignment="1">
      <alignment horizontal="right" vertical="center"/>
    </xf>
    <xf numFmtId="3" fontId="25" fillId="6" borderId="195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vertical="top"/>
    </xf>
    <xf numFmtId="3" fontId="31" fillId="0" borderId="209" xfId="0" applyNumberFormat="1" applyFont="1" applyFill="1" applyBorder="1" applyAlignment="1">
      <alignment horizontal="right" vertical="center"/>
    </xf>
    <xf numFmtId="3" fontId="25" fillId="6" borderId="198" xfId="1" applyNumberFormat="1" applyFont="1" applyFill="1" applyBorder="1" applyAlignment="1">
      <alignment vertical="top"/>
    </xf>
    <xf numFmtId="3" fontId="27" fillId="2" borderId="198" xfId="1" applyNumberFormat="1" applyFont="1" applyFill="1" applyBorder="1" applyAlignment="1">
      <alignment vertical="top"/>
    </xf>
    <xf numFmtId="3" fontId="31" fillId="0" borderId="198" xfId="4" applyNumberFormat="1" applyFont="1" applyFill="1" applyBorder="1" applyAlignment="1"/>
    <xf numFmtId="3" fontId="31" fillId="0" borderId="9" xfId="1" applyNumberFormat="1" applyFont="1" applyFill="1" applyBorder="1" applyAlignment="1">
      <alignment vertical="top"/>
    </xf>
    <xf numFmtId="3" fontId="27" fillId="0" borderId="198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209" xfId="1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200" xfId="0" applyNumberFormat="1" applyFont="1" applyFill="1" applyBorder="1" applyAlignment="1">
      <alignment horizontal="center" vertical="top"/>
    </xf>
    <xf numFmtId="1" fontId="21" fillId="2" borderId="199" xfId="0" applyNumberFormat="1" applyFont="1" applyFill="1" applyBorder="1" applyAlignment="1">
      <alignment horizontal="center" vertical="top"/>
    </xf>
    <xf numFmtId="1" fontId="21" fillId="2" borderId="199" xfId="0" quotePrefix="1" applyNumberFormat="1" applyFont="1" applyFill="1" applyBorder="1" applyAlignment="1">
      <alignment horizontal="center" vertical="top"/>
    </xf>
    <xf numFmtId="1" fontId="21" fillId="2" borderId="194" xfId="0" quotePrefix="1" applyNumberFormat="1" applyFont="1" applyFill="1" applyBorder="1" applyAlignment="1">
      <alignment horizontal="center" vertical="top"/>
    </xf>
    <xf numFmtId="1" fontId="21" fillId="0" borderId="70" xfId="0" quotePrefix="1" applyNumberFormat="1" applyFont="1" applyFill="1" applyBorder="1" applyAlignment="1">
      <alignment horizontal="center" vertical="top"/>
    </xf>
    <xf numFmtId="3" fontId="7" fillId="24" borderId="207" xfId="4" applyNumberFormat="1" applyFont="1" applyFill="1" applyBorder="1" applyAlignment="1">
      <alignment horizontal="right" vertical="center"/>
    </xf>
    <xf numFmtId="3" fontId="7" fillId="24" borderId="199" xfId="4" applyNumberFormat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202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43" fontId="8" fillId="0" borderId="8" xfId="1" applyFont="1" applyFill="1" applyBorder="1" applyAlignment="1">
      <alignment vertical="center" wrapText="1"/>
    </xf>
    <xf numFmtId="3" fontId="64" fillId="8" borderId="202" xfId="0" applyNumberFormat="1" applyFont="1" applyFill="1" applyBorder="1" applyAlignment="1">
      <alignment vertical="center" wrapText="1"/>
    </xf>
    <xf numFmtId="3" fontId="62" fillId="6" borderId="202" xfId="0" applyNumberFormat="1" applyFont="1" applyFill="1" applyBorder="1" applyAlignment="1">
      <alignment wrapText="1"/>
    </xf>
    <xf numFmtId="3" fontId="65" fillId="8" borderId="202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0" fontId="7" fillId="3" borderId="66" xfId="0" quotePrefix="1" applyFont="1" applyFill="1" applyBorder="1" applyAlignment="1">
      <alignment horizontal="center"/>
    </xf>
    <xf numFmtId="3" fontId="36" fillId="3" borderId="36" xfId="0" applyNumberFormat="1" applyFont="1" applyFill="1" applyBorder="1" applyAlignment="1">
      <alignment vertical="center" wrapText="1"/>
    </xf>
    <xf numFmtId="3" fontId="36" fillId="3" borderId="69" xfId="0" applyNumberFormat="1" applyFont="1" applyFill="1" applyBorder="1" applyAlignment="1">
      <alignment vertical="center" wrapText="1"/>
    </xf>
    <xf numFmtId="3" fontId="66" fillId="7" borderId="203" xfId="0" applyNumberFormat="1" applyFont="1" applyFill="1" applyBorder="1" applyAlignment="1">
      <alignment horizontal="right" vertical="center" wrapText="1"/>
    </xf>
    <xf numFmtId="3" fontId="64" fillId="9" borderId="36" xfId="0" applyNumberFormat="1" applyFont="1" applyFill="1" applyBorder="1" applyAlignment="1">
      <alignment horizontal="right" vertical="center" wrapText="1"/>
    </xf>
    <xf numFmtId="3" fontId="6" fillId="3" borderId="36" xfId="0" applyNumberFormat="1" applyFont="1" applyFill="1" applyBorder="1" applyAlignment="1">
      <alignment vertical="center" wrapText="1"/>
    </xf>
    <xf numFmtId="3" fontId="6" fillId="3" borderId="36" xfId="0" applyNumberFormat="1" applyFont="1" applyFill="1" applyBorder="1" applyAlignment="1">
      <alignment horizontal="right" vertical="center" wrapText="1"/>
    </xf>
    <xf numFmtId="3" fontId="6" fillId="3" borderId="36" xfId="0" applyNumberFormat="1" applyFont="1" applyFill="1" applyBorder="1" applyAlignment="1">
      <alignment horizontal="center" vertical="center" wrapText="1"/>
    </xf>
    <xf numFmtId="3" fontId="64" fillId="9" borderId="203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32" xfId="0" applyNumberFormat="1" applyFont="1" applyFill="1" applyBorder="1" applyAlignment="1">
      <alignment horizontal="right" vertical="center" wrapText="1"/>
    </xf>
    <xf numFmtId="3" fontId="64" fillId="9" borderId="132" xfId="0" applyNumberFormat="1" applyFont="1" applyFill="1" applyBorder="1" applyAlignment="1">
      <alignment vertical="center" wrapText="1"/>
    </xf>
    <xf numFmtId="3" fontId="62" fillId="52" borderId="52" xfId="0" applyNumberFormat="1" applyFont="1" applyFill="1" applyBorder="1" applyAlignment="1">
      <alignment vertical="center" wrapText="1"/>
    </xf>
    <xf numFmtId="3" fontId="62" fillId="52" borderId="25" xfId="0" applyNumberFormat="1" applyFont="1" applyFill="1" applyBorder="1" applyAlignment="1">
      <alignment horizontal="center" vertical="center" wrapText="1"/>
    </xf>
    <xf numFmtId="3" fontId="66" fillId="4" borderId="79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5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202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5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32" xfId="1" applyFont="1" applyFill="1" applyBorder="1" applyAlignment="1">
      <alignment horizontal="center" vertical="center" wrapText="1"/>
    </xf>
    <xf numFmtId="43" fontId="32" fillId="0" borderId="167" xfId="1" applyFont="1" applyFill="1" applyBorder="1" applyAlignment="1">
      <alignment vertical="center"/>
    </xf>
    <xf numFmtId="3" fontId="31" fillId="0" borderId="209" xfId="4" applyNumberFormat="1" applyFont="1" applyFill="1" applyBorder="1" applyAlignment="1">
      <alignment vertical="center"/>
    </xf>
    <xf numFmtId="3" fontId="31" fillId="0" borderId="210" xfId="4" applyNumberFormat="1" applyFont="1" applyFill="1" applyBorder="1" applyAlignment="1"/>
    <xf numFmtId="3" fontId="27" fillId="50" borderId="195" xfId="4" applyNumberFormat="1" applyFont="1" applyFill="1" applyBorder="1" applyAlignment="1">
      <alignment horizontal="right" vertical="center"/>
    </xf>
    <xf numFmtId="3" fontId="27" fillId="50" borderId="169" xfId="4" applyNumberFormat="1" applyFont="1" applyFill="1" applyBorder="1" applyAlignment="1">
      <alignment horizontal="righ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21" borderId="205" xfId="4" applyNumberFormat="1" applyFont="1" applyFill="1" applyBorder="1" applyAlignment="1">
      <alignment horizontal="right" vertical="center"/>
    </xf>
    <xf numFmtId="3" fontId="27" fillId="21" borderId="209" xfId="4" applyNumberFormat="1" applyFont="1" applyFill="1" applyBorder="1" applyAlignment="1">
      <alignment horizontal="right" vertical="center"/>
    </xf>
    <xf numFmtId="3" fontId="27" fillId="21" borderId="195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2" borderId="199" xfId="4" applyNumberFormat="1" applyFont="1" applyFill="1" applyBorder="1" applyAlignment="1">
      <alignment vertical="top" wrapText="1"/>
    </xf>
    <xf numFmtId="0" fontId="31" fillId="0" borderId="199" xfId="0" applyFont="1" applyFill="1" applyBorder="1" applyAlignment="1">
      <alignment horizontal="left" vertical="center" wrapText="1"/>
    </xf>
    <xf numFmtId="0" fontId="31" fillId="0" borderId="199" xfId="4" applyFont="1" applyFill="1" applyBorder="1" applyAlignment="1">
      <alignment vertical="center"/>
    </xf>
    <xf numFmtId="3" fontId="31" fillId="2" borderId="209" xfId="0" applyNumberFormat="1" applyFont="1" applyFill="1" applyBorder="1" applyAlignment="1">
      <alignment vertical="center"/>
    </xf>
    <xf numFmtId="3" fontId="31" fillId="23" borderId="209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3" fontId="24" fillId="22" borderId="70" xfId="0" applyNumberFormat="1" applyFont="1" applyFill="1" applyBorder="1" applyAlignment="1">
      <alignment vertical="top"/>
    </xf>
    <xf numFmtId="3" fontId="24" fillId="22" borderId="168" xfId="0" applyNumberFormat="1" applyFont="1" applyFill="1" applyBorder="1" applyAlignment="1">
      <alignment vertical="top"/>
    </xf>
    <xf numFmtId="3" fontId="29" fillId="26" borderId="168" xfId="0" applyNumberFormat="1" applyFont="1" applyFill="1" applyBorder="1" applyAlignment="1">
      <alignment vertical="center"/>
    </xf>
    <xf numFmtId="0" fontId="0" fillId="0" borderId="77" xfId="0" applyFont="1" applyBorder="1"/>
    <xf numFmtId="3" fontId="28" fillId="2" borderId="128" xfId="0" applyNumberFormat="1" applyFont="1" applyFill="1" applyBorder="1" applyAlignment="1">
      <alignment vertical="top"/>
    </xf>
    <xf numFmtId="3" fontId="31" fillId="0" borderId="144" xfId="0" applyNumberFormat="1" applyFont="1" applyFill="1" applyBorder="1" applyAlignment="1">
      <alignment vertical="center"/>
    </xf>
    <xf numFmtId="43" fontId="0" fillId="0" borderId="128" xfId="1" applyFont="1" applyBorder="1"/>
    <xf numFmtId="3" fontId="29" fillId="0" borderId="202" xfId="4" applyNumberFormat="1" applyFont="1" applyFill="1" applyBorder="1" applyAlignment="1">
      <alignment horizontal="right" vertical="center"/>
    </xf>
    <xf numFmtId="3" fontId="27" fillId="0" borderId="199" xfId="4" applyNumberFormat="1" applyFont="1" applyFill="1" applyBorder="1" applyAlignment="1">
      <alignment horizontal="right" vertical="center"/>
    </xf>
    <xf numFmtId="0" fontId="0" fillId="0" borderId="132" xfId="0" applyFont="1" applyBorder="1" applyAlignment="1">
      <alignment vertical="center"/>
    </xf>
    <xf numFmtId="43" fontId="25" fillId="6" borderId="198" xfId="1" applyFont="1" applyFill="1" applyBorder="1" applyAlignment="1">
      <alignment horizontal="right" vertical="center"/>
    </xf>
    <xf numFmtId="43" fontId="27" fillId="0" borderId="198" xfId="1" applyFont="1" applyFill="1" applyBorder="1" applyAlignment="1">
      <alignment horizontal="right" vertical="center"/>
    </xf>
    <xf numFmtId="43" fontId="33" fillId="0" borderId="198" xfId="1" applyFont="1" applyFill="1" applyBorder="1" applyAlignment="1">
      <alignment vertical="center"/>
    </xf>
    <xf numFmtId="0" fontId="31" fillId="0" borderId="213" xfId="4" applyFont="1" applyFill="1" applyBorder="1" applyAlignment="1">
      <alignment vertical="center"/>
    </xf>
    <xf numFmtId="43" fontId="24" fillId="6" borderId="198" xfId="1" applyFont="1" applyFill="1" applyBorder="1" applyAlignment="1">
      <alignment vertical="center"/>
    </xf>
    <xf numFmtId="43" fontId="27" fillId="2" borderId="198" xfId="1" applyFont="1" applyFill="1" applyBorder="1" applyAlignment="1">
      <alignment vertical="center"/>
    </xf>
    <xf numFmtId="0" fontId="70" fillId="2" borderId="0" xfId="0" applyFont="1" applyFill="1" applyBorder="1" applyAlignment="1">
      <alignment horizontal="center" wrapText="1"/>
    </xf>
    <xf numFmtId="3" fontId="24" fillId="6" borderId="188" xfId="4" applyNumberFormat="1" applyFont="1" applyFill="1" applyBorder="1" applyAlignment="1">
      <alignment vertical="center"/>
    </xf>
    <xf numFmtId="3" fontId="27" fillId="2" borderId="199" xfId="4" applyNumberFormat="1" applyFont="1" applyFill="1" applyBorder="1" applyAlignment="1">
      <alignment vertical="center"/>
    </xf>
    <xf numFmtId="3" fontId="32" fillId="0" borderId="209" xfId="6" applyNumberFormat="1" applyFont="1" applyFill="1" applyBorder="1" applyAlignment="1">
      <alignment vertical="center"/>
    </xf>
    <xf numFmtId="3" fontId="27" fillId="25" borderId="199" xfId="4" applyNumberFormat="1" applyFont="1" applyFill="1" applyBorder="1" applyAlignment="1">
      <alignment horizontal="right" vertical="center"/>
    </xf>
    <xf numFmtId="0" fontId="7" fillId="0" borderId="213" xfId="4" applyFont="1" applyFill="1" applyBorder="1" applyAlignment="1">
      <alignment vertical="center"/>
    </xf>
    <xf numFmtId="43" fontId="29" fillId="2" borderId="198" xfId="1" applyFont="1" applyFill="1" applyBorder="1" applyAlignment="1">
      <alignment vertical="center"/>
    </xf>
    <xf numFmtId="43" fontId="31" fillId="0" borderId="210" xfId="1" applyFont="1" applyFill="1" applyBorder="1" applyAlignment="1">
      <alignment vertical="center"/>
    </xf>
    <xf numFmtId="3" fontId="7" fillId="0" borderId="209" xfId="4" applyNumberFormat="1" applyFont="1" applyFill="1" applyBorder="1" applyAlignment="1">
      <alignment horizontal="right" vertical="center"/>
    </xf>
    <xf numFmtId="43" fontId="7" fillId="0" borderId="209" xfId="1" applyFont="1" applyFill="1" applyBorder="1" applyAlignment="1">
      <alignment horizontal="right" vertical="center"/>
    </xf>
    <xf numFmtId="3" fontId="24" fillId="6" borderId="199" xfId="0" applyNumberFormat="1" applyFont="1" applyFill="1" applyBorder="1" applyAlignment="1">
      <alignment horizontal="right" vertical="center"/>
    </xf>
    <xf numFmtId="3" fontId="29" fillId="0" borderId="199" xfId="0" applyNumberFormat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horizontal="right" vertical="center"/>
    </xf>
    <xf numFmtId="43" fontId="31" fillId="0" borderId="199" xfId="1" applyFont="1" applyFill="1" applyBorder="1" applyAlignment="1">
      <alignment vertical="center"/>
    </xf>
    <xf numFmtId="43" fontId="31" fillId="0" borderId="209" xfId="1" applyFont="1" applyFill="1" applyBorder="1" applyAlignment="1">
      <alignment vertical="center"/>
    </xf>
    <xf numFmtId="3" fontId="31" fillId="0" borderId="210" xfId="4" applyNumberFormat="1" applyFont="1" applyFill="1" applyBorder="1" applyAlignment="1">
      <alignment horizontal="right" vertical="center"/>
    </xf>
    <xf numFmtId="43" fontId="31" fillId="0" borderId="210" xfId="1" applyFont="1" applyFill="1" applyBorder="1" applyAlignment="1">
      <alignment horizontal="right" vertical="center"/>
    </xf>
    <xf numFmtId="3" fontId="31" fillId="25" borderId="210" xfId="4" applyNumberFormat="1" applyFont="1" applyFill="1" applyBorder="1" applyAlignment="1">
      <alignment horizontal="right" vertical="center"/>
    </xf>
    <xf numFmtId="0" fontId="24" fillId="8" borderId="199" xfId="4" applyFont="1" applyFill="1" applyBorder="1" applyAlignment="1">
      <alignment horizontal="center" vertical="center" wrapText="1"/>
    </xf>
    <xf numFmtId="3" fontId="24" fillId="8" borderId="199" xfId="4" applyNumberFormat="1" applyFont="1" applyFill="1" applyBorder="1" applyAlignment="1">
      <alignment horizontal="right" vertical="center"/>
    </xf>
    <xf numFmtId="3" fontId="28" fillId="23" borderId="199" xfId="4" applyNumberFormat="1" applyFont="1" applyFill="1" applyBorder="1" applyAlignment="1">
      <alignment horizontal="right" vertical="center"/>
    </xf>
    <xf numFmtId="3" fontId="24" fillId="6" borderId="199" xfId="4" applyNumberFormat="1" applyFont="1" applyFill="1" applyBorder="1" applyAlignment="1"/>
    <xf numFmtId="3" fontId="33" fillId="23" borderId="199" xfId="6" applyNumberFormat="1" applyFont="1" applyFill="1" applyBorder="1" applyAlignment="1">
      <alignment vertical="center"/>
    </xf>
    <xf numFmtId="3" fontId="7" fillId="25" borderId="199" xfId="4" applyNumberFormat="1" applyFont="1" applyFill="1" applyBorder="1" applyAlignment="1">
      <alignment horizontal="right" vertical="center"/>
    </xf>
    <xf numFmtId="3" fontId="31" fillId="23" borderId="199" xfId="4" applyNumberFormat="1" applyFont="1" applyFill="1" applyBorder="1" applyAlignment="1">
      <alignment vertical="center"/>
    </xf>
    <xf numFmtId="3" fontId="24" fillId="6" borderId="198" xfId="1" applyNumberFormat="1" applyFont="1" applyFill="1" applyBorder="1" applyAlignment="1">
      <alignment horizontal="right" vertical="center"/>
    </xf>
    <xf numFmtId="3" fontId="27" fillId="0" borderId="195" xfId="1" applyNumberFormat="1" applyFont="1" applyFill="1" applyBorder="1" applyAlignment="1">
      <alignment horizontal="right" vertical="center"/>
    </xf>
    <xf numFmtId="43" fontId="27" fillId="0" borderId="195" xfId="1" applyFont="1" applyFill="1" applyBorder="1" applyAlignment="1">
      <alignment horizontal="right" vertical="center"/>
    </xf>
    <xf numFmtId="43" fontId="31" fillId="0" borderId="198" xfId="1" applyFont="1" applyFill="1" applyBorder="1" applyAlignment="1"/>
    <xf numFmtId="3" fontId="31" fillId="0" borderId="198" xfId="1" applyNumberFormat="1" applyFont="1" applyFill="1" applyBorder="1" applyAlignment="1">
      <alignment horizontal="right"/>
    </xf>
    <xf numFmtId="3" fontId="33" fillId="0" borderId="199" xfId="1" applyNumberFormat="1" applyFont="1" applyFill="1" applyBorder="1" applyAlignment="1">
      <alignment horizontal="right" vertical="center"/>
    </xf>
    <xf numFmtId="3" fontId="31" fillId="0" borderId="210" xfId="1" applyNumberFormat="1" applyFont="1" applyFill="1" applyBorder="1" applyAlignment="1">
      <alignment horizontal="right"/>
    </xf>
    <xf numFmtId="3" fontId="0" fillId="0" borderId="102" xfId="0" applyNumberFormat="1" applyFont="1" applyBorder="1" applyAlignment="1">
      <alignment vertical="center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0" fontId="18" fillId="13" borderId="43" xfId="4" applyFont="1" applyFill="1" applyBorder="1" applyAlignment="1">
      <alignment horizontal="center" vertical="center" wrapText="1"/>
    </xf>
    <xf numFmtId="0" fontId="23" fillId="0" borderId="138" xfId="0" applyFont="1" applyBorder="1" applyAlignment="1">
      <alignment horizontal="center" vertical="center" wrapText="1"/>
    </xf>
    <xf numFmtId="0" fontId="17" fillId="0" borderId="172" xfId="4" applyFont="1" applyFill="1" applyBorder="1" applyAlignment="1">
      <alignment horizontal="center" vertical="center"/>
    </xf>
    <xf numFmtId="0" fontId="37" fillId="0" borderId="170" xfId="0" applyFont="1" applyFill="1" applyBorder="1" applyAlignment="1">
      <alignment horizontal="center" vertical="center" wrapText="1"/>
    </xf>
    <xf numFmtId="3" fontId="24" fillId="26" borderId="167" xfId="4" applyNumberFormat="1" applyFont="1" applyFill="1" applyBorder="1" applyAlignment="1">
      <alignment horizontal="center" vertical="center"/>
    </xf>
    <xf numFmtId="0" fontId="32" fillId="0" borderId="167" xfId="0" applyFont="1" applyBorder="1" applyAlignment="1">
      <alignment wrapText="1"/>
    </xf>
    <xf numFmtId="0" fontId="32" fillId="0" borderId="167" xfId="0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2" fontId="0" fillId="0" borderId="0" xfId="0" applyNumberFormat="1" applyFont="1" applyBorder="1"/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32" fillId="0" borderId="135" xfId="0" applyFont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3" fillId="0" borderId="0" xfId="4" applyFont="1" applyFill="1" applyBorder="1" applyAlignment="1">
      <alignment horizontal="left" vertical="center" wrapText="1"/>
    </xf>
    <xf numFmtId="0" fontId="17" fillId="0" borderId="25" xfId="4" applyFont="1" applyBorder="1" applyAlignment="1">
      <alignment horizontal="center" vertical="center"/>
    </xf>
    <xf numFmtId="0" fontId="27" fillId="50" borderId="200" xfId="4" applyFont="1" applyFill="1" applyBorder="1" applyAlignment="1">
      <alignment horizontal="left" vertical="center"/>
    </xf>
    <xf numFmtId="3" fontId="27" fillId="50" borderId="198" xfId="4" applyNumberFormat="1" applyFont="1" applyFill="1" applyBorder="1" applyAlignment="1">
      <alignment horizontal="right" vertical="center"/>
    </xf>
    <xf numFmtId="43" fontId="27" fillId="50" borderId="198" xfId="1" applyFont="1" applyFill="1" applyBorder="1" applyAlignment="1">
      <alignment horizontal="right" vertical="center"/>
    </xf>
    <xf numFmtId="3" fontId="27" fillId="21" borderId="199" xfId="4" applyNumberFormat="1" applyFont="1" applyFill="1" applyBorder="1" applyAlignment="1">
      <alignment horizontal="right" vertical="center"/>
    </xf>
    <xf numFmtId="0" fontId="28" fillId="50" borderId="200" xfId="0" quotePrefix="1" applyFont="1" applyFill="1" applyBorder="1" applyAlignment="1">
      <alignment horizontal="center" vertical="top"/>
    </xf>
    <xf numFmtId="3" fontId="27" fillId="50" borderId="198" xfId="0" quotePrefix="1" applyNumberFormat="1" applyFont="1" applyFill="1" applyBorder="1" applyAlignment="1">
      <alignment horizontal="right" vertical="top"/>
    </xf>
    <xf numFmtId="43" fontId="27" fillId="50" borderId="198" xfId="1" quotePrefix="1" applyFont="1" applyFill="1" applyBorder="1" applyAlignment="1">
      <alignment horizontal="right" vertical="top"/>
    </xf>
    <xf numFmtId="0" fontId="25" fillId="6" borderId="198" xfId="0" applyFont="1" applyFill="1" applyBorder="1" applyAlignment="1">
      <alignment vertical="center"/>
    </xf>
    <xf numFmtId="3" fontId="25" fillId="6" borderId="202" xfId="0" applyNumberFormat="1" applyFont="1" applyFill="1" applyBorder="1" applyAlignment="1">
      <alignment vertical="center"/>
    </xf>
    <xf numFmtId="43" fontId="25" fillId="6" borderId="207" xfId="1" applyFont="1" applyFill="1" applyBorder="1" applyAlignment="1">
      <alignment vertical="center"/>
    </xf>
    <xf numFmtId="3" fontId="25" fillId="6" borderId="207" xfId="0" applyNumberFormat="1" applyFont="1" applyFill="1" applyBorder="1" applyAlignment="1">
      <alignment vertical="center"/>
    </xf>
    <xf numFmtId="0" fontId="27" fillId="8" borderId="198" xfId="4" applyFont="1" applyFill="1" applyBorder="1" applyAlignment="1">
      <alignment horizontal="left" vertical="center"/>
    </xf>
    <xf numFmtId="3" fontId="27" fillId="8" borderId="199" xfId="4" applyNumberFormat="1" applyFont="1" applyFill="1" applyBorder="1" applyAlignment="1">
      <alignment vertical="top"/>
    </xf>
    <xf numFmtId="43" fontId="27" fillId="8" borderId="199" xfId="1" applyFont="1" applyFill="1" applyBorder="1" applyAlignment="1">
      <alignment vertical="top"/>
    </xf>
    <xf numFmtId="3" fontId="27" fillId="23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top"/>
    </xf>
    <xf numFmtId="3" fontId="7" fillId="8" borderId="199" xfId="4" applyNumberFormat="1" applyFont="1" applyFill="1" applyBorder="1" applyAlignment="1">
      <alignment vertical="top"/>
    </xf>
    <xf numFmtId="43" fontId="7" fillId="8" borderId="199" xfId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top"/>
    </xf>
    <xf numFmtId="0" fontId="7" fillId="8" borderId="198" xfId="4" applyFont="1" applyFill="1" applyBorder="1" applyAlignment="1">
      <alignment vertical="center"/>
    </xf>
    <xf numFmtId="3" fontId="7" fillId="8" borderId="199" xfId="4" applyNumberFormat="1" applyFont="1" applyFill="1" applyBorder="1" applyAlignment="1">
      <alignment vertical="center"/>
    </xf>
    <xf numFmtId="43" fontId="31" fillId="8" borderId="199" xfId="1" applyFont="1" applyFill="1" applyBorder="1" applyAlignment="1">
      <alignment vertical="center"/>
    </xf>
    <xf numFmtId="43" fontId="7" fillId="8" borderId="199" xfId="1" applyFont="1" applyFill="1" applyBorder="1" applyAlignment="1">
      <alignment vertical="center"/>
    </xf>
    <xf numFmtId="0" fontId="7" fillId="8" borderId="200" xfId="4" applyFont="1" applyFill="1" applyBorder="1" applyAlignment="1">
      <alignment vertical="top"/>
    </xf>
    <xf numFmtId="3" fontId="31" fillId="8" borderId="199" xfId="4" applyNumberFormat="1" applyFont="1" applyFill="1" applyBorder="1" applyAlignment="1">
      <alignment vertical="top"/>
    </xf>
    <xf numFmtId="43" fontId="31" fillId="8" borderId="199" xfId="1" applyFont="1" applyFill="1" applyBorder="1" applyAlignment="1">
      <alignment vertical="top"/>
    </xf>
    <xf numFmtId="0" fontId="7" fillId="8" borderId="210" xfId="4" applyFont="1" applyFill="1" applyBorder="1" applyAlignment="1">
      <alignment vertical="top"/>
    </xf>
    <xf numFmtId="3" fontId="31" fillId="8" borderId="209" xfId="4" applyNumberFormat="1" applyFont="1" applyFill="1" applyBorder="1" applyAlignment="1">
      <alignment vertical="top"/>
    </xf>
    <xf numFmtId="3" fontId="25" fillId="6" borderId="200" xfId="4" applyNumberFormat="1" applyFont="1" applyFill="1" applyBorder="1" applyAlignment="1">
      <alignment vertical="center"/>
    </xf>
    <xf numFmtId="3" fontId="25" fillId="22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vertical="top"/>
    </xf>
    <xf numFmtId="43" fontId="7" fillId="0" borderId="199" xfId="1" applyFont="1" applyFill="1" applyBorder="1" applyAlignment="1">
      <alignment vertical="top"/>
    </xf>
    <xf numFmtId="3" fontId="31" fillId="0" borderId="209" xfId="4" applyNumberFormat="1" applyFont="1" applyFill="1" applyBorder="1" applyAlignment="1"/>
    <xf numFmtId="3" fontId="31" fillId="0" borderId="209" xfId="4" applyNumberFormat="1" applyFont="1" applyFill="1" applyBorder="1" applyAlignment="1">
      <alignment horizontal="right" vertical="center"/>
    </xf>
    <xf numFmtId="3" fontId="29" fillId="0" borderId="209" xfId="4" applyNumberFormat="1" applyFont="1" applyFill="1" applyBorder="1" applyAlignment="1">
      <alignment horizontal="right" vertical="center"/>
    </xf>
    <xf numFmtId="0" fontId="31" fillId="0" borderId="36" xfId="4" applyFont="1" applyFill="1" applyBorder="1" applyAlignment="1">
      <alignment horizontal="left" vertical="center"/>
    </xf>
    <xf numFmtId="0" fontId="24" fillId="6" borderId="172" xfId="4" applyFont="1" applyFill="1" applyBorder="1" applyAlignment="1">
      <alignment horizontal="left" vertical="center"/>
    </xf>
    <xf numFmtId="43" fontId="7" fillId="0" borderId="167" xfId="1" applyFont="1" applyFill="1" applyBorder="1" applyAlignment="1">
      <alignment vertical="center"/>
    </xf>
    <xf numFmtId="3" fontId="29" fillId="2" borderId="173" xfId="4" applyNumberFormat="1" applyFont="1" applyFill="1" applyBorder="1" applyAlignment="1">
      <alignment vertical="center" wrapText="1"/>
    </xf>
    <xf numFmtId="0" fontId="24" fillId="6" borderId="200" xfId="4" applyFont="1" applyFill="1" applyBorder="1" applyAlignment="1">
      <alignment horizontal="left" vertical="center"/>
    </xf>
    <xf numFmtId="43" fontId="7" fillId="0" borderId="199" xfId="1" applyFont="1" applyFill="1" applyBorder="1" applyAlignment="1">
      <alignment vertical="center"/>
    </xf>
    <xf numFmtId="3" fontId="24" fillId="6" borderId="202" xfId="4" applyNumberFormat="1" applyFont="1" applyFill="1" applyBorder="1" applyAlignment="1">
      <alignment horizontal="right" vertical="center"/>
    </xf>
    <xf numFmtId="43" fontId="33" fillId="0" borderId="192" xfId="1" applyFont="1" applyFill="1" applyBorder="1" applyAlignment="1">
      <alignment vertical="center"/>
    </xf>
    <xf numFmtId="3" fontId="31" fillId="25" borderId="188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3" fontId="8" fillId="0" borderId="128" xfId="4" applyNumberFormat="1" applyFont="1" applyFill="1" applyBorder="1" applyAlignment="1">
      <alignment horizontal="right" vertical="center"/>
    </xf>
    <xf numFmtId="3" fontId="8" fillId="0" borderId="145" xfId="4" applyNumberFormat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vertical="center"/>
    </xf>
    <xf numFmtId="0" fontId="24" fillId="8" borderId="167" xfId="4" applyFont="1" applyFill="1" applyBorder="1" applyAlignment="1">
      <alignment vertical="center" wrapText="1"/>
    </xf>
    <xf numFmtId="0" fontId="24" fillId="8" borderId="167" xfId="4" applyFont="1" applyFill="1" applyBorder="1" applyAlignment="1">
      <alignment horizontal="center" vertical="center" wrapText="1"/>
    </xf>
    <xf numFmtId="3" fontId="24" fillId="8" borderId="167" xfId="4" applyNumberFormat="1" applyFont="1" applyFill="1" applyBorder="1" applyAlignment="1">
      <alignment horizontal="right" vertical="center"/>
    </xf>
    <xf numFmtId="3" fontId="0" fillId="0" borderId="136" xfId="0" applyNumberFormat="1" applyFont="1" applyBorder="1" applyAlignment="1">
      <alignment vertical="center"/>
    </xf>
    <xf numFmtId="3" fontId="29" fillId="2" borderId="167" xfId="4" applyNumberFormat="1" applyFont="1" applyFill="1" applyBorder="1" applyAlignment="1">
      <alignment vertical="center" wrapText="1"/>
    </xf>
    <xf numFmtId="0" fontId="28" fillId="0" borderId="167" xfId="4" applyFont="1" applyFill="1" applyBorder="1" applyAlignment="1">
      <alignment vertical="center"/>
    </xf>
    <xf numFmtId="43" fontId="28" fillId="0" borderId="167" xfId="1" applyFont="1" applyFill="1" applyBorder="1" applyAlignment="1">
      <alignment horizontal="right" vertical="center"/>
    </xf>
    <xf numFmtId="3" fontId="28" fillId="0" borderId="167" xfId="4" applyNumberFormat="1" applyFont="1" applyFill="1" applyBorder="1" applyAlignment="1">
      <alignment horizontal="right" vertical="center"/>
    </xf>
    <xf numFmtId="0" fontId="0" fillId="0" borderId="126" xfId="0" applyFont="1" applyBorder="1" applyAlignment="1">
      <alignment vertical="center"/>
    </xf>
    <xf numFmtId="3" fontId="28" fillId="25" borderId="167" xfId="4" applyNumberFormat="1" applyFont="1" applyFill="1" applyBorder="1" applyAlignment="1">
      <alignment horizontal="right" vertical="center"/>
    </xf>
    <xf numFmtId="0" fontId="29" fillId="2" borderId="167" xfId="4" applyFont="1" applyFill="1" applyBorder="1" applyAlignment="1">
      <alignment vertical="center"/>
    </xf>
    <xf numFmtId="0" fontId="24" fillId="8" borderId="199" xfId="4" applyFont="1" applyFill="1" applyBorder="1" applyAlignment="1">
      <alignment vertical="center" wrapText="1"/>
    </xf>
    <xf numFmtId="0" fontId="24" fillId="6" borderId="199" xfId="4" applyFont="1" applyFill="1" applyBorder="1" applyAlignment="1">
      <alignment horizontal="left" vertical="center"/>
    </xf>
    <xf numFmtId="3" fontId="29" fillId="2" borderId="199" xfId="4" applyNumberFormat="1" applyFont="1" applyFill="1" applyBorder="1" applyAlignment="1">
      <alignment vertical="top" wrapText="1"/>
    </xf>
    <xf numFmtId="0" fontId="7" fillId="0" borderId="199" xfId="4" applyFont="1" applyFill="1" applyBorder="1" applyAlignment="1">
      <alignment vertical="top"/>
    </xf>
    <xf numFmtId="0" fontId="29" fillId="2" borderId="199" xfId="4" applyFont="1" applyFill="1" applyBorder="1" applyAlignment="1">
      <alignment vertical="top"/>
    </xf>
    <xf numFmtId="0" fontId="32" fillId="0" borderId="209" xfId="0" applyFont="1" applyBorder="1"/>
    <xf numFmtId="0" fontId="24" fillId="8" borderId="183" xfId="4" applyFont="1" applyFill="1" applyBorder="1" applyAlignment="1">
      <alignment vertical="center" wrapText="1"/>
    </xf>
    <xf numFmtId="0" fontId="24" fillId="6" borderId="183" xfId="4" applyFont="1" applyFill="1" applyBorder="1" applyAlignment="1">
      <alignment horizontal="left" vertical="center"/>
    </xf>
    <xf numFmtId="3" fontId="29" fillId="2" borderId="183" xfId="4" applyNumberFormat="1" applyFont="1" applyFill="1" applyBorder="1" applyAlignment="1">
      <alignment vertical="top" wrapText="1"/>
    </xf>
    <xf numFmtId="0" fontId="7" fillId="0" borderId="183" xfId="4" applyFont="1" applyFill="1" applyBorder="1" applyAlignment="1">
      <alignment vertical="top"/>
    </xf>
    <xf numFmtId="0" fontId="29" fillId="2" borderId="183" xfId="4" applyFont="1" applyFill="1" applyBorder="1" applyAlignment="1">
      <alignment vertical="top"/>
    </xf>
    <xf numFmtId="3" fontId="24" fillId="6" borderId="199" xfId="4" applyNumberFormat="1" applyFont="1" applyFill="1" applyBorder="1" applyAlignment="1">
      <alignment horizontal="right" vertical="center"/>
    </xf>
    <xf numFmtId="3" fontId="29" fillId="2" borderId="199" xfId="4" applyNumberFormat="1" applyFont="1" applyFill="1" applyBorder="1" applyAlignment="1">
      <alignment vertical="center" wrapText="1"/>
    </xf>
    <xf numFmtId="0" fontId="7" fillId="0" borderId="199" xfId="4" applyFont="1" applyFill="1" applyBorder="1" applyAlignment="1">
      <alignment vertical="center"/>
    </xf>
    <xf numFmtId="0" fontId="7" fillId="0" borderId="209" xfId="4" applyFont="1" applyFill="1" applyBorder="1" applyAlignment="1">
      <alignment vertical="center"/>
    </xf>
    <xf numFmtId="0" fontId="7" fillId="0" borderId="192" xfId="4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0" fontId="7" fillId="6" borderId="200" xfId="0" applyFont="1" applyFill="1" applyBorder="1" applyAlignment="1">
      <alignment vertical="top"/>
    </xf>
    <xf numFmtId="3" fontId="25" fillId="6" borderId="199" xfId="0" applyNumberFormat="1" applyFont="1" applyFill="1" applyBorder="1" applyAlignment="1"/>
    <xf numFmtId="43" fontId="25" fillId="6" borderId="202" xfId="1" applyFont="1" applyFill="1" applyBorder="1" applyAlignment="1"/>
    <xf numFmtId="3" fontId="25" fillId="22" borderId="194" xfId="0" applyNumberFormat="1" applyFont="1" applyFill="1" applyBorder="1" applyAlignment="1"/>
    <xf numFmtId="43" fontId="27" fillId="2" borderId="202" xfId="1" applyFont="1" applyFill="1" applyBorder="1" applyAlignment="1">
      <alignment vertical="center"/>
    </xf>
    <xf numFmtId="3" fontId="27" fillId="23" borderId="194" xfId="0" applyNumberFormat="1" applyFont="1" applyFill="1" applyBorder="1" applyAlignment="1"/>
    <xf numFmtId="43" fontId="31" fillId="0" borderId="202" xfId="1" applyFont="1" applyFill="1" applyBorder="1" applyAlignment="1">
      <alignment vertical="center"/>
    </xf>
    <xf numFmtId="3" fontId="31" fillId="25" borderId="194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center"/>
    </xf>
    <xf numFmtId="43" fontId="31" fillId="0" borderId="131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8" borderId="17" xfId="0" applyNumberFormat="1" applyFont="1" applyFill="1" applyBorder="1" applyAlignment="1">
      <alignment vertical="top"/>
    </xf>
    <xf numFmtId="3" fontId="31" fillId="23" borderId="45" xfId="0" applyNumberFormat="1" applyFont="1" applyFill="1" applyBorder="1" applyAlignment="1"/>
    <xf numFmtId="3" fontId="25" fillId="6" borderId="178" xfId="0" applyNumberFormat="1" applyFont="1" applyFill="1" applyBorder="1" applyAlignment="1"/>
    <xf numFmtId="3" fontId="25" fillId="22" borderId="173" xfId="0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92" xfId="0" applyNumberFormat="1" applyFont="1" applyFill="1" applyBorder="1" applyAlignment="1">
      <alignment vertical="top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3" fontId="31" fillId="0" borderId="134" xfId="0" applyNumberFormat="1" applyFont="1" applyFill="1" applyBorder="1" applyAlignment="1">
      <alignment horizontal="right" vertical="center"/>
    </xf>
    <xf numFmtId="0" fontId="28" fillId="0" borderId="142" xfId="0" applyFont="1" applyFill="1" applyBorder="1" applyAlignment="1">
      <alignment vertical="top"/>
    </xf>
    <xf numFmtId="3" fontId="31" fillId="0" borderId="169" xfId="0" applyNumberFormat="1" applyFont="1" applyFill="1" applyBorder="1" applyAlignment="1">
      <alignment horizontal="right" vertical="center"/>
    </xf>
    <xf numFmtId="3" fontId="31" fillId="25" borderId="177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8" xfId="0" applyNumberFormat="1" applyFont="1" applyFill="1" applyBorder="1" applyAlignment="1">
      <alignment horizontal="right" vertical="center"/>
    </xf>
    <xf numFmtId="3" fontId="28" fillId="25" borderId="134" xfId="0" applyNumberFormat="1" applyFont="1" applyFill="1" applyBorder="1" applyAlignment="1">
      <alignment vertical="top"/>
    </xf>
    <xf numFmtId="3" fontId="25" fillId="6" borderId="190" xfId="0" applyNumberFormat="1" applyFont="1" applyFill="1" applyBorder="1" applyAlignment="1">
      <alignment vertical="top"/>
    </xf>
    <xf numFmtId="43" fontId="25" fillId="6" borderId="190" xfId="1" applyFont="1" applyFill="1" applyBorder="1" applyAlignment="1">
      <alignment vertical="top"/>
    </xf>
    <xf numFmtId="3" fontId="25" fillId="22" borderId="190" xfId="0" applyNumberFormat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98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4" xfId="0" applyNumberFormat="1" applyFont="1" applyFill="1" applyBorder="1" applyAlignment="1">
      <alignment vertical="center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99" xfId="0" applyNumberFormat="1" applyFont="1" applyFill="1" applyBorder="1" applyAlignment="1">
      <alignment horizontal="right" vertical="center"/>
    </xf>
    <xf numFmtId="3" fontId="28" fillId="51" borderId="9" xfId="0" applyNumberFormat="1" applyFont="1" applyFill="1" applyBorder="1" applyAlignment="1">
      <alignment vertical="center"/>
    </xf>
    <xf numFmtId="0" fontId="39" fillId="54" borderId="201" xfId="0" applyFont="1" applyFill="1" applyBorder="1"/>
    <xf numFmtId="0" fontId="24" fillId="8" borderId="1" xfId="0" applyFont="1" applyFill="1" applyBorder="1" applyAlignment="1">
      <alignment horizontal="center" vertical="center" wrapText="1"/>
    </xf>
    <xf numFmtId="0" fontId="7" fillId="23" borderId="70" xfId="0" applyFont="1" applyFill="1" applyBorder="1" applyAlignment="1">
      <alignment vertical="top"/>
    </xf>
    <xf numFmtId="0" fontId="66" fillId="6" borderId="174" xfId="4" applyFont="1" applyFill="1" applyBorder="1" applyAlignment="1">
      <alignment horizontal="left" vertical="center"/>
    </xf>
    <xf numFmtId="3" fontId="24" fillId="6" borderId="183" xfId="0" applyNumberFormat="1" applyFont="1" applyFill="1" applyBorder="1" applyAlignment="1">
      <alignment vertical="center"/>
    </xf>
    <xf numFmtId="3" fontId="24" fillId="6" borderId="167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83" xfId="0" applyNumberFormat="1" applyFont="1" applyFill="1" applyBorder="1" applyAlignment="1">
      <alignment vertical="center"/>
    </xf>
    <xf numFmtId="3" fontId="29" fillId="0" borderId="167" xfId="0" applyNumberFormat="1" applyFont="1" applyFill="1" applyBorder="1" applyAlignment="1">
      <alignment vertical="center"/>
    </xf>
    <xf numFmtId="3" fontId="29" fillId="25" borderId="167" xfId="0" applyNumberFormat="1" applyFont="1" applyFill="1" applyBorder="1" applyAlignment="1">
      <alignment vertical="top"/>
    </xf>
    <xf numFmtId="0" fontId="8" fillId="0" borderId="132" xfId="0" applyFont="1" applyFill="1" applyBorder="1" applyAlignment="1">
      <alignment vertical="center" wrapText="1"/>
    </xf>
    <xf numFmtId="3" fontId="31" fillId="0" borderId="177" xfId="4" applyNumberFormat="1" applyFont="1" applyFill="1" applyBorder="1" applyAlignment="1">
      <alignment vertical="center"/>
    </xf>
    <xf numFmtId="3" fontId="7" fillId="0" borderId="168" xfId="4" applyNumberFormat="1" applyFont="1" applyFill="1" applyBorder="1" applyAlignment="1">
      <alignment vertical="center"/>
    </xf>
    <xf numFmtId="0" fontId="29" fillId="2" borderId="132" xfId="4" applyFont="1" applyFill="1" applyBorder="1" applyAlignment="1">
      <alignment vertical="top"/>
    </xf>
    <xf numFmtId="3" fontId="29" fillId="0" borderId="183" xfId="0" applyNumberFormat="1" applyFont="1" applyFill="1" applyBorder="1" applyAlignment="1">
      <alignment horizontal="right" vertical="center"/>
    </xf>
    <xf numFmtId="3" fontId="29" fillId="0" borderId="167" xfId="0" applyNumberFormat="1" applyFont="1" applyFill="1" applyBorder="1" applyAlignment="1">
      <alignment horizontal="right" vertical="center"/>
    </xf>
    <xf numFmtId="3" fontId="38" fillId="0" borderId="183" xfId="0" applyNumberFormat="1" applyFont="1" applyFill="1" applyBorder="1" applyAlignment="1">
      <alignment vertical="center"/>
    </xf>
    <xf numFmtId="3" fontId="38" fillId="0" borderId="177" xfId="0" applyNumberFormat="1" applyFont="1" applyFill="1" applyBorder="1" applyAlignment="1">
      <alignment vertical="center"/>
    </xf>
    <xf numFmtId="3" fontId="7" fillId="0" borderId="167" xfId="0" applyNumberFormat="1" applyFont="1" applyFill="1" applyBorder="1" applyAlignment="1">
      <alignment vertical="center"/>
    </xf>
    <xf numFmtId="0" fontId="24" fillId="8" borderId="32" xfId="0" applyFont="1" applyFill="1" applyBorder="1" applyAlignment="1">
      <alignment vertical="center" wrapText="1"/>
    </xf>
    <xf numFmtId="0" fontId="24" fillId="8" borderId="114" xfId="0" applyFont="1" applyFill="1" applyBorder="1" applyAlignment="1">
      <alignment horizontal="center" vertical="center" wrapText="1"/>
    </xf>
    <xf numFmtId="3" fontId="7" fillId="8" borderId="111" xfId="0" applyNumberFormat="1" applyFont="1" applyFill="1" applyBorder="1" applyAlignment="1">
      <alignment vertical="top"/>
    </xf>
    <xf numFmtId="3" fontId="7" fillId="8" borderId="108" xfId="0" applyNumberFormat="1" applyFont="1" applyFill="1" applyBorder="1" applyAlignment="1">
      <alignment vertical="top"/>
    </xf>
    <xf numFmtId="0" fontId="7" fillId="8" borderId="108" xfId="0" applyFont="1" applyFill="1" applyBorder="1" applyAlignment="1">
      <alignment vertical="top"/>
    </xf>
    <xf numFmtId="0" fontId="7" fillId="8" borderId="103" xfId="0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center" vertical="center"/>
    </xf>
    <xf numFmtId="0" fontId="66" fillId="6" borderId="104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center"/>
    </xf>
    <xf numFmtId="3" fontId="29" fillId="0" borderId="102" xfId="0" applyNumberFormat="1" applyFont="1" applyFill="1" applyBorder="1" applyAlignment="1">
      <alignment vertical="top"/>
    </xf>
    <xf numFmtId="3" fontId="24" fillId="22" borderId="102" xfId="0" applyNumberFormat="1" applyFont="1" applyFill="1" applyBorder="1" applyAlignment="1">
      <alignment horizontal="right" vertical="center"/>
    </xf>
    <xf numFmtId="3" fontId="7" fillId="0" borderId="102" xfId="0" applyNumberFormat="1" applyFont="1" applyFill="1" applyBorder="1" applyAlignment="1">
      <alignment vertical="center"/>
    </xf>
    <xf numFmtId="3" fontId="7" fillId="0" borderId="102" xfId="0" applyNumberFormat="1" applyFont="1" applyFill="1" applyBorder="1" applyAlignment="1">
      <alignment vertical="top"/>
    </xf>
    <xf numFmtId="3" fontId="7" fillId="22" borderId="102" xfId="0" applyNumberFormat="1" applyFont="1" applyFill="1" applyBorder="1" applyAlignment="1">
      <alignment horizontal="right" vertical="center"/>
    </xf>
    <xf numFmtId="3" fontId="38" fillId="0" borderId="102" xfId="0" applyNumberFormat="1" applyFont="1" applyFill="1" applyBorder="1" applyAlignment="1">
      <alignment vertical="center"/>
    </xf>
    <xf numFmtId="3" fontId="38" fillId="0" borderId="102" xfId="0" applyNumberFormat="1" applyFont="1" applyFill="1" applyBorder="1" applyAlignment="1">
      <alignment vertical="top"/>
    </xf>
    <xf numFmtId="0" fontId="17" fillId="0" borderId="26" xfId="0" applyFont="1" applyFill="1" applyBorder="1" applyAlignment="1">
      <alignment horizontal="center" vertical="center"/>
    </xf>
    <xf numFmtId="0" fontId="7" fillId="0" borderId="105" xfId="0" applyFont="1" applyFill="1" applyBorder="1" applyAlignment="1">
      <alignment horizontal="center" vertical="center" wrapText="1"/>
    </xf>
    <xf numFmtId="3" fontId="31" fillId="8" borderId="111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0" fontId="31" fillId="8" borderId="108" xfId="0" applyFont="1" applyFill="1" applyBorder="1" applyAlignment="1">
      <alignment vertical="top"/>
    </xf>
    <xf numFmtId="0" fontId="31" fillId="8" borderId="103" xfId="0" applyFont="1" applyFill="1" applyBorder="1" applyAlignment="1">
      <alignment vertical="top"/>
    </xf>
    <xf numFmtId="3" fontId="25" fillId="22" borderId="102" xfId="0" applyNumberFormat="1" applyFont="1" applyFill="1" applyBorder="1" applyAlignment="1">
      <alignment horizontal="center" vertical="center"/>
    </xf>
    <xf numFmtId="0" fontId="62" fillId="6" borderId="104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7" fillId="2" borderId="21" xfId="4" applyNumberFormat="1" applyFont="1" applyFill="1" applyBorder="1" applyAlignment="1">
      <alignment vertical="center" wrapText="1"/>
    </xf>
    <xf numFmtId="3" fontId="25" fillId="22" borderId="102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2" xfId="0" applyNumberFormat="1" applyFont="1" applyFill="1" applyBorder="1" applyAlignment="1">
      <alignment vertical="top"/>
    </xf>
    <xf numFmtId="3" fontId="28" fillId="22" borderId="102" xfId="0" applyNumberFormat="1" applyFont="1" applyFill="1" applyBorder="1" applyAlignment="1">
      <alignment horizontal="right" vertical="center"/>
    </xf>
    <xf numFmtId="3" fontId="31" fillId="22" borderId="102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2" xfId="0" applyNumberFormat="1" applyFont="1" applyFill="1" applyBorder="1" applyAlignment="1">
      <alignment vertical="top"/>
    </xf>
    <xf numFmtId="0" fontId="17" fillId="0" borderId="68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4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90" xfId="0" applyNumberFormat="1" applyFont="1" applyFill="1" applyBorder="1" applyAlignment="1">
      <alignment horizontal="right" vertical="center"/>
    </xf>
    <xf numFmtId="3" fontId="27" fillId="22" borderId="90" xfId="0" applyNumberFormat="1" applyFont="1" applyFill="1" applyBorder="1" applyAlignment="1">
      <alignment horizontal="right" vertical="center"/>
    </xf>
    <xf numFmtId="3" fontId="28" fillId="0" borderId="90" xfId="0" applyNumberFormat="1" applyFont="1" applyFill="1" applyBorder="1" applyAlignment="1">
      <alignment vertical="top"/>
    </xf>
    <xf numFmtId="0" fontId="7" fillId="0" borderId="97" xfId="0" applyFont="1" applyFill="1" applyBorder="1" applyAlignment="1">
      <alignment vertical="center" wrapText="1"/>
    </xf>
    <xf numFmtId="3" fontId="28" fillId="0" borderId="95" xfId="0" applyNumberFormat="1" applyFont="1" applyFill="1" applyBorder="1" applyAlignment="1">
      <alignment vertical="top"/>
    </xf>
    <xf numFmtId="3" fontId="28" fillId="0" borderId="95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center"/>
    </xf>
    <xf numFmtId="3" fontId="38" fillId="0" borderId="90" xfId="0" applyNumberFormat="1" applyFont="1" applyFill="1" applyBorder="1" applyAlignment="1">
      <alignment vertical="top"/>
    </xf>
    <xf numFmtId="0" fontId="17" fillId="2" borderId="43" xfId="0" applyFont="1" applyFill="1" applyBorder="1" applyAlignment="1">
      <alignment horizontal="center" vertical="center" wrapText="1"/>
    </xf>
    <xf numFmtId="3" fontId="38" fillId="0" borderId="47" xfId="0" applyNumberFormat="1" applyFont="1" applyFill="1" applyBorder="1" applyAlignment="1">
      <alignment vertical="center"/>
    </xf>
    <xf numFmtId="3" fontId="38" fillId="0" borderId="47" xfId="0" applyNumberFormat="1" applyFont="1" applyFill="1" applyBorder="1" applyAlignment="1">
      <alignment vertical="top"/>
    </xf>
    <xf numFmtId="0" fontId="27" fillId="50" borderId="143" xfId="4" applyFont="1" applyFill="1" applyBorder="1" applyAlignment="1">
      <alignment horizontal="left" vertical="center"/>
    </xf>
    <xf numFmtId="0" fontId="27" fillId="50" borderId="134" xfId="4" applyFont="1" applyFill="1" applyBorder="1" applyAlignment="1">
      <alignment horizontal="left" vertical="center"/>
    </xf>
    <xf numFmtId="3" fontId="27" fillId="50" borderId="136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13" xfId="4" applyFont="1" applyFill="1" applyBorder="1" applyAlignment="1">
      <alignment horizontal="left" vertical="center"/>
    </xf>
    <xf numFmtId="0" fontId="27" fillId="50" borderId="74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34" xfId="4" applyFont="1" applyFill="1" applyBorder="1" applyAlignment="1">
      <alignment vertical="center"/>
    </xf>
    <xf numFmtId="3" fontId="27" fillId="8" borderId="134" xfId="0" applyNumberFormat="1" applyFont="1" applyFill="1" applyBorder="1" applyAlignment="1">
      <alignment vertical="top"/>
    </xf>
    <xf numFmtId="0" fontId="31" fillId="8" borderId="134" xfId="0" applyFont="1" applyFill="1" applyBorder="1" applyAlignment="1">
      <alignment vertical="top"/>
    </xf>
    <xf numFmtId="3" fontId="31" fillId="8" borderId="134" xfId="0" applyNumberFormat="1" applyFont="1" applyFill="1" applyBorder="1" applyAlignment="1">
      <alignment vertical="top"/>
    </xf>
    <xf numFmtId="0" fontId="31" fillId="8" borderId="199" xfId="0" applyFont="1" applyFill="1" applyBorder="1" applyAlignment="1">
      <alignment vertical="top"/>
    </xf>
    <xf numFmtId="3" fontId="31" fillId="8" borderId="199" xfId="0" applyNumberFormat="1" applyFont="1" applyFill="1" applyBorder="1" applyAlignment="1">
      <alignment vertical="top"/>
    </xf>
    <xf numFmtId="0" fontId="31" fillId="8" borderId="134" xfId="4" applyFont="1" applyFill="1" applyBorder="1" applyAlignment="1">
      <alignment vertical="center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8" xfId="4" applyFont="1" applyFill="1" applyBorder="1" applyAlignment="1">
      <alignment vertical="center"/>
    </xf>
    <xf numFmtId="0" fontId="31" fillId="0" borderId="134" xfId="4" applyFont="1" applyFill="1" applyBorder="1" applyAlignment="1">
      <alignment vertical="center"/>
    </xf>
    <xf numFmtId="3" fontId="60" fillId="0" borderId="134" xfId="0" applyNumberFormat="1" applyFont="1" applyBorder="1"/>
    <xf numFmtId="3" fontId="0" fillId="0" borderId="128" xfId="0" applyNumberFormat="1" applyFont="1" applyBorder="1"/>
    <xf numFmtId="3" fontId="31" fillId="2" borderId="35" xfId="0" applyNumberFormat="1" applyFont="1" applyFill="1" applyBorder="1" applyAlignment="1">
      <alignment vertical="center"/>
    </xf>
    <xf numFmtId="3" fontId="27" fillId="0" borderId="134" xfId="4" applyNumberFormat="1" applyFont="1" applyFill="1" applyBorder="1" applyAlignment="1">
      <alignment vertical="top" wrapText="1"/>
    </xf>
    <xf numFmtId="0" fontId="33" fillId="0" borderId="134" xfId="0" applyFont="1" applyBorder="1" applyAlignment="1">
      <alignment vertical="center"/>
    </xf>
    <xf numFmtId="3" fontId="27" fillId="0" borderId="134" xfId="0" applyNumberFormat="1" applyFont="1" applyFill="1" applyBorder="1" applyAlignment="1">
      <alignment vertical="center"/>
    </xf>
    <xf numFmtId="0" fontId="31" fillId="6" borderId="134" xfId="0" applyFont="1" applyFill="1" applyBorder="1" applyAlignment="1">
      <alignment vertical="center"/>
    </xf>
    <xf numFmtId="3" fontId="27" fillId="2" borderId="134" xfId="0" applyNumberFormat="1" applyFont="1" applyFill="1" applyBorder="1" applyAlignment="1">
      <alignment vertical="center"/>
    </xf>
    <xf numFmtId="0" fontId="24" fillId="8" borderId="19" xfId="4" applyFont="1" applyFill="1" applyBorder="1" applyAlignment="1">
      <alignment horizontal="left" vertical="center" wrapText="1"/>
    </xf>
    <xf numFmtId="0" fontId="7" fillId="0" borderId="132" xfId="4" applyFont="1" applyFill="1" applyBorder="1" applyAlignment="1"/>
    <xf numFmtId="3" fontId="31" fillId="0" borderId="207" xfId="4" applyNumberFormat="1" applyFont="1" applyFill="1" applyBorder="1" applyAlignment="1"/>
    <xf numFmtId="3" fontId="31" fillId="0" borderId="193" xfId="4" applyNumberFormat="1" applyFont="1" applyFill="1" applyBorder="1" applyAlignment="1">
      <alignment horizontal="right" vertical="center"/>
    </xf>
    <xf numFmtId="0" fontId="29" fillId="0" borderId="132" xfId="4" applyFont="1" applyFill="1" applyBorder="1" applyAlignment="1">
      <alignment vertical="center"/>
    </xf>
    <xf numFmtId="3" fontId="31" fillId="25" borderId="199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vertical="top"/>
    </xf>
    <xf numFmtId="3" fontId="7" fillId="8" borderId="202" xfId="4" applyNumberFormat="1" applyFont="1" applyFill="1" applyBorder="1" applyAlignment="1">
      <alignment vertical="center" wrapText="1"/>
    </xf>
    <xf numFmtId="3" fontId="7" fillId="8" borderId="200" xfId="0" applyNumberFormat="1" applyFont="1" applyFill="1" applyBorder="1" applyAlignment="1">
      <alignment vertical="center"/>
    </xf>
    <xf numFmtId="3" fontId="7" fillId="8" borderId="199" xfId="0" applyNumberFormat="1" applyFont="1" applyFill="1" applyBorder="1" applyAlignment="1">
      <alignment vertical="center"/>
    </xf>
    <xf numFmtId="3" fontId="7" fillId="23" borderId="199" xfId="4" applyNumberFormat="1" applyFont="1" applyFill="1" applyBorder="1" applyAlignment="1">
      <alignment vertical="center"/>
    </xf>
    <xf numFmtId="3" fontId="32" fillId="8" borderId="200" xfId="6" applyNumberFormat="1" applyFont="1" applyFill="1" applyBorder="1" applyAlignment="1">
      <alignment vertical="center"/>
    </xf>
    <xf numFmtId="3" fontId="32" fillId="8" borderId="198" xfId="6" applyNumberFormat="1" applyFont="1" applyFill="1" applyBorder="1" applyAlignment="1">
      <alignment vertical="center"/>
    </xf>
    <xf numFmtId="0" fontId="20" fillId="6" borderId="200" xfId="4" applyFont="1" applyFill="1" applyBorder="1" applyAlignment="1">
      <alignment horizontal="left" vertical="center"/>
    </xf>
    <xf numFmtId="3" fontId="27" fillId="0" borderId="195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3" fontId="31" fillId="0" borderId="94" xfId="4" applyNumberFormat="1" applyFont="1" applyFill="1" applyBorder="1" applyAlignment="1">
      <alignment horizontal="right" vertical="center"/>
    </xf>
    <xf numFmtId="3" fontId="24" fillId="32" borderId="198" xfId="4" applyNumberFormat="1" applyFont="1" applyFill="1" applyBorder="1" applyAlignment="1">
      <alignment vertical="center"/>
    </xf>
    <xf numFmtId="3" fontId="31" fillId="2" borderId="206" xfId="4" applyNumberFormat="1" applyFont="1" applyFill="1" applyBorder="1" applyAlignment="1">
      <alignment vertical="center" wrapText="1"/>
    </xf>
    <xf numFmtId="3" fontId="31" fillId="32" borderId="198" xfId="4" applyNumberFormat="1" applyFont="1" applyFill="1" applyBorder="1" applyAlignment="1">
      <alignment vertical="center"/>
    </xf>
    <xf numFmtId="3" fontId="28" fillId="0" borderId="94" xfId="4" applyNumberFormat="1" applyFont="1" applyFill="1" applyBorder="1" applyAlignment="1">
      <alignment horizontal="right" vertical="center"/>
    </xf>
    <xf numFmtId="166" fontId="24" fillId="6" borderId="198" xfId="1" applyNumberFormat="1" applyFont="1" applyFill="1" applyBorder="1" applyAlignment="1">
      <alignment vertical="center"/>
    </xf>
    <xf numFmtId="43" fontId="7" fillId="0" borderId="188" xfId="1" applyFont="1" applyFill="1" applyBorder="1" applyAlignment="1">
      <alignment horizontal="right" vertical="center"/>
    </xf>
    <xf numFmtId="3" fontId="7" fillId="0" borderId="188" xfId="1" applyNumberFormat="1" applyFont="1" applyFill="1" applyBorder="1" applyAlignment="1">
      <alignment horizontal="right" vertical="center"/>
    </xf>
    <xf numFmtId="43" fontId="7" fillId="0" borderId="188" xfId="1" applyNumberFormat="1" applyFont="1" applyFill="1" applyBorder="1" applyAlignment="1">
      <alignment horizontal="right" vertical="center"/>
    </xf>
    <xf numFmtId="3" fontId="31" fillId="23" borderId="198" xfId="4" applyNumberFormat="1" applyFont="1" applyFill="1" applyBorder="1" applyAlignment="1">
      <alignment vertical="center"/>
    </xf>
    <xf numFmtId="43" fontId="27" fillId="0" borderId="188" xfId="1" applyFont="1" applyFill="1" applyBorder="1" applyAlignment="1">
      <alignment horizontal="right" vertical="center"/>
    </xf>
    <xf numFmtId="3" fontId="33" fillId="0" borderId="199" xfId="1" applyNumberFormat="1" applyFont="1" applyFill="1" applyBorder="1" applyAlignment="1">
      <alignment vertical="center"/>
    </xf>
    <xf numFmtId="0" fontId="0" fillId="0" borderId="85" xfId="0" applyFont="1" applyBorder="1" applyAlignment="1">
      <alignment vertical="center"/>
    </xf>
    <xf numFmtId="3" fontId="7" fillId="0" borderId="199" xfId="1" applyNumberFormat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33" fillId="0" borderId="35" xfId="1" applyFont="1" applyFill="1" applyBorder="1" applyAlignment="1">
      <alignment vertical="center"/>
    </xf>
    <xf numFmtId="43" fontId="7" fillId="0" borderId="210" xfId="1" applyFont="1" applyFill="1" applyBorder="1" applyAlignment="1">
      <alignment horizontal="right" vertical="center"/>
    </xf>
    <xf numFmtId="3" fontId="31" fillId="0" borderId="133" xfId="4" applyNumberFormat="1" applyFont="1" applyFill="1" applyBorder="1" applyAlignment="1">
      <alignment horizontal="right" vertical="center"/>
    </xf>
    <xf numFmtId="3" fontId="25" fillId="22" borderId="168" xfId="0" applyNumberFormat="1" applyFont="1" applyFill="1" applyBorder="1" applyAlignment="1">
      <alignment vertical="center"/>
    </xf>
    <xf numFmtId="3" fontId="27" fillId="0" borderId="168" xfId="0" applyNumberFormat="1" applyFont="1" applyFill="1" applyBorder="1" applyAlignment="1">
      <alignment vertical="center"/>
    </xf>
    <xf numFmtId="43" fontId="27" fillId="0" borderId="183" xfId="1" applyFont="1" applyFill="1" applyBorder="1" applyAlignment="1">
      <alignment vertical="center"/>
    </xf>
    <xf numFmtId="3" fontId="27" fillId="25" borderId="168" xfId="0" applyNumberFormat="1" applyFont="1" applyFill="1" applyBorder="1" applyAlignment="1">
      <alignment vertical="center"/>
    </xf>
    <xf numFmtId="3" fontId="31" fillId="25" borderId="209" xfId="4" applyNumberFormat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204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19" fillId="3" borderId="66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3" fontId="62" fillId="10" borderId="213" xfId="0" applyNumberFormat="1" applyFont="1" applyFill="1" applyBorder="1" applyAlignment="1">
      <alignment horizontal="center" vertical="center" wrapText="1"/>
    </xf>
    <xf numFmtId="0" fontId="0" fillId="10" borderId="67" xfId="0" applyFont="1" applyFill="1" applyBorder="1" applyAlignment="1">
      <alignment horizontal="center" vertical="center" wrapText="1"/>
    </xf>
    <xf numFmtId="0" fontId="0" fillId="10" borderId="69" xfId="0" applyFont="1" applyFill="1" applyBorder="1" applyAlignment="1">
      <alignment horizontal="center" vertical="center" wrapText="1"/>
    </xf>
    <xf numFmtId="3" fontId="62" fillId="10" borderId="33" xfId="0" applyNumberFormat="1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3" fontId="25" fillId="25" borderId="177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5" fillId="26" borderId="195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25" fillId="26" borderId="101" xfId="4" applyNumberFormat="1" applyFont="1" applyFill="1" applyBorder="1" applyAlignment="1">
      <alignment horizontal="center" vertical="center"/>
    </xf>
    <xf numFmtId="3" fontId="25" fillId="26" borderId="177" xfId="4" applyNumberFormat="1" applyFont="1" applyFill="1" applyBorder="1" applyAlignment="1">
      <alignment horizontal="center" vertical="center"/>
    </xf>
    <xf numFmtId="3" fontId="25" fillId="26" borderId="63" xfId="4" applyNumberFormat="1" applyFont="1" applyFill="1" applyBorder="1" applyAlignment="1">
      <alignment horizontal="center" vertical="center"/>
    </xf>
    <xf numFmtId="3" fontId="24" fillId="26" borderId="63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5" fillId="25" borderId="195" xfId="4" applyNumberFormat="1" applyFont="1" applyFill="1" applyBorder="1" applyAlignment="1">
      <alignment horizontal="center" vertical="center"/>
    </xf>
    <xf numFmtId="43" fontId="24" fillId="22" borderId="63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43" fontId="24" fillId="22" borderId="117" xfId="1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38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3" fontId="25" fillId="2" borderId="73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5" fillId="25" borderId="63" xfId="4" applyNumberFormat="1" applyFont="1" applyFill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18" fillId="0" borderId="137" xfId="4" applyNumberFormat="1" applyFont="1" applyFill="1" applyBorder="1" applyAlignment="1">
      <alignment horizontal="center" vertical="center" wrapText="1"/>
    </xf>
    <xf numFmtId="3" fontId="24" fillId="26" borderId="195" xfId="4" applyNumberFormat="1" applyFont="1" applyFill="1" applyBorder="1" applyAlignment="1">
      <alignment horizontal="center" vertical="center"/>
    </xf>
    <xf numFmtId="3" fontId="31" fillId="26" borderId="117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32" fillId="25" borderId="195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3" fontId="24" fillId="26" borderId="177" xfId="4" applyNumberFormat="1" applyFont="1" applyFill="1" applyBorder="1" applyAlignment="1">
      <alignment horizontal="center" vertical="center"/>
    </xf>
    <xf numFmtId="3" fontId="24" fillId="26" borderId="188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43" fontId="24" fillId="22" borderId="11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4" xfId="1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/>
    </xf>
    <xf numFmtId="43" fontId="24" fillId="22" borderId="62" xfId="1" applyFont="1" applyFill="1" applyBorder="1" applyAlignment="1">
      <alignment horizontal="center" vertical="center"/>
    </xf>
    <xf numFmtId="3" fontId="25" fillId="2" borderId="197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25" fillId="2" borderId="22" xfId="4" applyNumberFormat="1" applyFont="1" applyFill="1" applyBorder="1" applyAlignment="1">
      <alignment horizontal="center" vertical="center" wrapText="1"/>
    </xf>
    <xf numFmtId="0" fontId="22" fillId="0" borderId="137" xfId="0" applyFont="1" applyBorder="1" applyAlignment="1">
      <alignment horizontal="center" vertical="center" wrapText="1"/>
    </xf>
    <xf numFmtId="3" fontId="18" fillId="0" borderId="109" xfId="4" applyNumberFormat="1" applyFont="1" applyFill="1" applyBorder="1" applyAlignment="1">
      <alignment horizontal="center" vertical="center" wrapText="1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18" fillId="0" borderId="82" xfId="4" applyNumberFormat="1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3" fontId="24" fillId="2" borderId="138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25" fillId="2" borderId="138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3" fontId="25" fillId="2" borderId="105" xfId="4" applyNumberFormat="1" applyFont="1" applyFill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205" xfId="0" applyFont="1" applyBorder="1" applyAlignment="1">
      <alignment horizontal="center" vertical="center" wrapText="1"/>
    </xf>
    <xf numFmtId="3" fontId="24" fillId="2" borderId="197" xfId="4" applyNumberFormat="1" applyFont="1" applyFill="1" applyBorder="1" applyAlignment="1">
      <alignment horizontal="center" vertical="center" wrapText="1"/>
    </xf>
    <xf numFmtId="3" fontId="24" fillId="26" borderId="101" xfId="4" applyNumberFormat="1" applyFont="1" applyFill="1" applyBorder="1" applyAlignment="1">
      <alignment horizontal="center" vertical="center"/>
    </xf>
    <xf numFmtId="0" fontId="25" fillId="2" borderId="197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4" xfId="6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7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35" xfId="4" applyNumberFormat="1" applyFont="1" applyFill="1" applyBorder="1" applyAlignment="1">
      <alignment horizontal="center" vertical="center"/>
    </xf>
    <xf numFmtId="3" fontId="24" fillId="24" borderId="177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9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25" fillId="2" borderId="73" xfId="4" applyFont="1" applyFill="1" applyBorder="1" applyAlignment="1">
      <alignment horizontal="center" vertical="center" wrapText="1"/>
    </xf>
    <xf numFmtId="0" fontId="32" fillId="0" borderId="205" xfId="0" applyFont="1" applyBorder="1" applyAlignment="1">
      <alignment horizontal="center" vertical="center" wrapText="1"/>
    </xf>
    <xf numFmtId="0" fontId="18" fillId="0" borderId="82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3" fontId="25" fillId="26" borderId="169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7" fillId="8" borderId="43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9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6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24" fillId="27" borderId="69" xfId="4" applyFont="1" applyFill="1" applyBorder="1" applyAlignment="1">
      <alignment horizontal="center" vertical="center" wrapText="1"/>
    </xf>
    <xf numFmtId="3" fontId="24" fillId="26" borderId="167" xfId="4" applyNumberFormat="1" applyFont="1" applyFill="1" applyBorder="1" applyAlignment="1">
      <alignment horizontal="center" vertical="center"/>
    </xf>
    <xf numFmtId="3" fontId="24" fillId="26" borderId="128" xfId="4" applyNumberFormat="1" applyFont="1" applyFill="1" applyBorder="1" applyAlignment="1">
      <alignment horizontal="center" vertical="center"/>
    </xf>
    <xf numFmtId="3" fontId="24" fillId="26" borderId="199" xfId="4" applyNumberFormat="1" applyFont="1" applyFill="1" applyBorder="1" applyAlignment="1">
      <alignment horizontal="center" vertical="center"/>
    </xf>
    <xf numFmtId="3" fontId="24" fillId="26" borderId="209" xfId="4" applyNumberFormat="1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200" xfId="4" applyFont="1" applyFill="1" applyBorder="1" applyAlignment="1">
      <alignment horizontal="center" vertical="center" wrapText="1"/>
    </xf>
    <xf numFmtId="0" fontId="0" fillId="0" borderId="20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0" borderId="44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37" fillId="0" borderId="194" xfId="0" applyFont="1" applyBorder="1" applyAlignment="1">
      <alignment horizontal="center" vertical="center" wrapText="1"/>
    </xf>
    <xf numFmtId="0" fontId="37" fillId="0" borderId="130" xfId="0" applyFont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7" fillId="0" borderId="189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0" fontId="23" fillId="0" borderId="195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3" fontId="24" fillId="26" borderId="192" xfId="4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20" xfId="4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46" xfId="4" applyFont="1" applyFill="1" applyBorder="1" applyAlignment="1">
      <alignment horizontal="center" vertical="center" wrapText="1"/>
    </xf>
    <xf numFmtId="0" fontId="17" fillId="0" borderId="170" xfId="4" applyFont="1" applyFill="1" applyBorder="1" applyAlignment="1">
      <alignment horizontal="center" vertical="center" wrapText="1"/>
    </xf>
    <xf numFmtId="0" fontId="37" fillId="0" borderId="170" xfId="0" applyFont="1" applyFill="1" applyBorder="1" applyAlignment="1">
      <alignment horizontal="center" vertical="center" wrapText="1"/>
    </xf>
    <xf numFmtId="0" fontId="37" fillId="0" borderId="130" xfId="0" applyFont="1" applyFill="1" applyBorder="1" applyAlignment="1">
      <alignment horizontal="center" vertical="center" wrapText="1"/>
    </xf>
    <xf numFmtId="3" fontId="25" fillId="2" borderId="167" xfId="4" applyNumberFormat="1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horizontal="center" vertical="center" wrapText="1"/>
    </xf>
    <xf numFmtId="0" fontId="23" fillId="0" borderId="167" xfId="0" applyFont="1" applyBorder="1" applyAlignment="1">
      <alignment horizontal="center" vertical="center" wrapText="1"/>
    </xf>
    <xf numFmtId="0" fontId="23" fillId="0" borderId="128" xfId="0" applyFont="1" applyBorder="1" applyAlignment="1">
      <alignment horizontal="center" vertical="center" wrapText="1"/>
    </xf>
    <xf numFmtId="3" fontId="25" fillId="0" borderId="192" xfId="4" applyNumberFormat="1" applyFont="1" applyFill="1" applyBorder="1" applyAlignment="1">
      <alignment horizontal="center" vertical="center" wrapText="1"/>
    </xf>
    <xf numFmtId="0" fontId="32" fillId="0" borderId="192" xfId="0" applyFont="1" applyFill="1" applyBorder="1" applyAlignment="1">
      <alignment horizontal="center" vertical="center" wrapText="1"/>
    </xf>
    <xf numFmtId="3" fontId="25" fillId="2" borderId="183" xfId="4" applyNumberFormat="1" applyFont="1" applyFill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0" fontId="23" fillId="0" borderId="183" xfId="0" applyFont="1" applyBorder="1" applyAlignment="1">
      <alignment horizontal="center" vertical="center" wrapText="1"/>
    </xf>
    <xf numFmtId="3" fontId="24" fillId="22" borderId="167" xfId="4" applyNumberFormat="1" applyFont="1" applyFill="1" applyBorder="1" applyAlignment="1">
      <alignment horizontal="center" vertical="center"/>
    </xf>
    <xf numFmtId="3" fontId="24" fillId="22" borderId="177" xfId="4" applyNumberFormat="1" applyFont="1" applyFill="1" applyBorder="1" applyAlignment="1">
      <alignment horizontal="center" vertical="center"/>
    </xf>
    <xf numFmtId="3" fontId="24" fillId="22" borderId="128" xfId="4" applyNumberFormat="1" applyFont="1" applyFill="1" applyBorder="1" applyAlignment="1">
      <alignment horizontal="center" vertical="center"/>
    </xf>
    <xf numFmtId="0" fontId="17" fillId="0" borderId="172" xfId="4" applyFont="1" applyFill="1" applyBorder="1" applyAlignment="1">
      <alignment horizontal="center" vertical="center" wrapText="1"/>
    </xf>
    <xf numFmtId="0" fontId="0" fillId="0" borderId="172" xfId="0" applyFont="1" applyBorder="1" applyAlignment="1">
      <alignment horizontal="center" vertical="center" wrapText="1"/>
    </xf>
    <xf numFmtId="0" fontId="37" fillId="0" borderId="170" xfId="0" applyFont="1" applyBorder="1" applyAlignment="1">
      <alignment horizontal="center" vertical="center" wrapText="1"/>
    </xf>
    <xf numFmtId="3" fontId="25" fillId="0" borderId="167" xfId="4" applyNumberFormat="1" applyFont="1" applyFill="1" applyBorder="1" applyAlignment="1">
      <alignment horizontal="center" vertical="center" wrapText="1"/>
    </xf>
    <xf numFmtId="0" fontId="32" fillId="0" borderId="167" xfId="0" applyFont="1" applyFill="1" applyBorder="1" applyAlignment="1">
      <alignment horizontal="center" vertical="center" wrapText="1"/>
    </xf>
    <xf numFmtId="0" fontId="25" fillId="0" borderId="177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172" xfId="4" quotePrefix="1" applyFont="1" applyFill="1" applyBorder="1" applyAlignment="1">
      <alignment horizontal="center" vertical="center" wrapText="1"/>
    </xf>
    <xf numFmtId="0" fontId="17" fillId="0" borderId="174" xfId="4" applyFont="1" applyFill="1" applyBorder="1" applyAlignment="1">
      <alignment horizontal="center" vertical="center" wrapText="1"/>
    </xf>
    <xf numFmtId="0" fontId="32" fillId="0" borderId="168" xfId="0" applyFont="1" applyBorder="1" applyAlignment="1">
      <alignment horizontal="center" vertical="center" wrapText="1"/>
    </xf>
    <xf numFmtId="0" fontId="25" fillId="2" borderId="167" xfId="4" applyFont="1" applyFill="1" applyBorder="1" applyAlignment="1">
      <alignment horizontal="center" vertical="center" wrapText="1"/>
    </xf>
    <xf numFmtId="0" fontId="32" fillId="0" borderId="167" xfId="0" applyFont="1" applyBorder="1" applyAlignment="1">
      <alignment wrapText="1"/>
    </xf>
    <xf numFmtId="0" fontId="32" fillId="0" borderId="128" xfId="0" applyFont="1" applyBorder="1" applyAlignment="1">
      <alignment wrapText="1"/>
    </xf>
    <xf numFmtId="0" fontId="20" fillId="19" borderId="70" xfId="4" applyFont="1" applyFill="1" applyBorder="1" applyAlignment="1">
      <alignment horizontal="center" vertical="center" wrapText="1"/>
    </xf>
    <xf numFmtId="0" fontId="0" fillId="19" borderId="167" xfId="0" applyFont="1" applyFill="1" applyBorder="1" applyAlignment="1">
      <alignment horizontal="center" vertical="center" wrapText="1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4" xfId="4" applyFont="1" applyFill="1" applyBorder="1" applyAlignment="1">
      <alignment horizontal="left" vertical="center" wrapText="1"/>
    </xf>
    <xf numFmtId="0" fontId="18" fillId="0" borderId="70" xfId="4" applyFont="1" applyBorder="1" applyAlignment="1">
      <alignment horizontal="center" vertical="center" wrapText="1"/>
    </xf>
    <xf numFmtId="0" fontId="0" fillId="0" borderId="167" xfId="0" applyFont="1" applyBorder="1" applyAlignment="1">
      <alignment horizontal="center" vertical="center" wrapText="1"/>
    </xf>
    <xf numFmtId="0" fontId="22" fillId="0" borderId="167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17" fillId="0" borderId="70" xfId="4" applyFont="1" applyBorder="1" applyAlignment="1">
      <alignment horizontal="center" vertical="center" wrapText="1"/>
    </xf>
    <xf numFmtId="0" fontId="17" fillId="0" borderId="167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200" xfId="4" applyFont="1" applyFill="1" applyBorder="1" applyAlignment="1">
      <alignment horizontal="center" vertical="center"/>
    </xf>
    <xf numFmtId="0" fontId="37" fillId="0" borderId="194" xfId="0" applyFont="1" applyFill="1" applyBorder="1" applyAlignment="1">
      <alignment horizontal="center" vertical="center" wrapText="1"/>
    </xf>
    <xf numFmtId="3" fontId="25" fillId="2" borderId="199" xfId="4" applyNumberFormat="1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horizontal="center" vertical="center" wrapText="1"/>
    </xf>
    <xf numFmtId="0" fontId="25" fillId="2" borderId="199" xfId="4" applyFont="1" applyFill="1" applyBorder="1" applyAlignment="1">
      <alignment horizontal="center" vertical="center" wrapText="1"/>
    </xf>
    <xf numFmtId="0" fontId="32" fillId="0" borderId="199" xfId="0" applyFont="1" applyBorder="1" applyAlignment="1">
      <alignment wrapText="1"/>
    </xf>
    <xf numFmtId="0" fontId="32" fillId="0" borderId="209" xfId="0" applyFont="1" applyBorder="1" applyAlignment="1">
      <alignment wrapText="1"/>
    </xf>
    <xf numFmtId="49" fontId="22" fillId="0" borderId="5" xfId="3" applyNumberFormat="1" applyFont="1" applyBorder="1" applyAlignment="1">
      <alignment horizontal="center" vertical="center" wrapText="1"/>
    </xf>
    <xf numFmtId="49" fontId="22" fillId="0" borderId="11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0" fontId="24" fillId="2" borderId="138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49" fontId="22" fillId="0" borderId="66" xfId="3" applyNumberFormat="1" applyFont="1" applyBorder="1" applyAlignment="1">
      <alignment horizontal="center" vertical="center" wrapText="1"/>
    </xf>
    <xf numFmtId="49" fontId="22" fillId="0" borderId="67" xfId="3" applyNumberFormat="1" applyFont="1" applyBorder="1" applyAlignment="1">
      <alignment horizontal="center" vertical="center" wrapText="1"/>
    </xf>
    <xf numFmtId="49" fontId="22" fillId="0" borderId="69" xfId="3" applyNumberFormat="1" applyFont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49" fontId="78" fillId="0" borderId="66" xfId="3" applyNumberFormat="1" applyFont="1" applyBorder="1" applyAlignment="1">
      <alignment horizontal="center" vertical="center" wrapText="1"/>
    </xf>
    <xf numFmtId="49" fontId="78" fillId="0" borderId="67" xfId="3" applyNumberFormat="1" applyFont="1" applyBorder="1" applyAlignment="1">
      <alignment horizontal="center" vertical="center" wrapText="1"/>
    </xf>
    <xf numFmtId="49" fontId="78" fillId="0" borderId="69" xfId="3" applyNumberFormat="1" applyFont="1" applyBorder="1" applyAlignment="1">
      <alignment horizontal="center" vertical="center" wrapText="1"/>
    </xf>
    <xf numFmtId="0" fontId="24" fillId="2" borderId="19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138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38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3" fontId="25" fillId="22" borderId="137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8" xfId="0" applyFont="1" applyBorder="1"/>
    <xf numFmtId="0" fontId="18" fillId="0" borderId="66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wrapText="1"/>
    </xf>
    <xf numFmtId="0" fontId="0" fillId="0" borderId="69" xfId="0" applyFont="1" applyBorder="1" applyAlignment="1">
      <alignment horizontal="center" wrapText="1"/>
    </xf>
    <xf numFmtId="0" fontId="23" fillId="0" borderId="195" xfId="6" applyFont="1" applyBorder="1" applyAlignment="1">
      <alignment horizontal="center" vertical="center"/>
    </xf>
    <xf numFmtId="0" fontId="0" fillId="19" borderId="13" xfId="0" applyFont="1" applyFill="1" applyBorder="1" applyAlignment="1">
      <alignment horizontal="center" vertical="center" wrapText="1"/>
    </xf>
    <xf numFmtId="3" fontId="25" fillId="22" borderId="137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0" fillId="0" borderId="6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13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17" fillId="0" borderId="66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0" fontId="17" fillId="0" borderId="69" xfId="4" applyFont="1" applyBorder="1" applyAlignment="1">
      <alignment horizontal="center" vertical="center" wrapText="1"/>
    </xf>
    <xf numFmtId="3" fontId="24" fillId="22" borderId="195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95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0" fillId="0" borderId="25" xfId="0" applyNumberFormat="1" applyFont="1" applyBorder="1" applyAlignment="1">
      <alignment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95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3" fillId="0" borderId="197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/>
    <xf numFmtId="2" fontId="0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2" xfId="0" applyNumberFormat="1" applyFont="1" applyFill="1" applyBorder="1" applyAlignment="1">
      <alignment horizontal="center" vertical="center" wrapText="1"/>
    </xf>
    <xf numFmtId="2" fontId="20" fillId="31" borderId="43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25" fillId="2" borderId="197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0" fillId="0" borderId="197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16" fillId="2" borderId="24" xfId="0" applyNumberFormat="1" applyFont="1" applyFill="1" applyBorder="1" applyAlignment="1">
      <alignment horizontal="left" vertical="center" wrapText="1"/>
    </xf>
    <xf numFmtId="2" fontId="25" fillId="22" borderId="195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6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17" fillId="0" borderId="69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9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95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18" fillId="0" borderId="66" xfId="0" applyNumberFormat="1" applyFont="1" applyFill="1" applyBorder="1" applyAlignment="1">
      <alignment horizontal="center" vertical="center" wrapText="1"/>
    </xf>
    <xf numFmtId="2" fontId="0" fillId="0" borderId="67" xfId="0" applyNumberFormat="1" applyFont="1" applyBorder="1" applyAlignment="1">
      <alignment horizontal="center" wrapText="1"/>
    </xf>
    <xf numFmtId="2" fontId="0" fillId="0" borderId="69" xfId="0" applyNumberFormat="1" applyFont="1" applyBorder="1" applyAlignment="1">
      <alignment horizontal="center" wrapText="1"/>
    </xf>
    <xf numFmtId="0" fontId="20" fillId="19" borderId="12" xfId="4" applyFont="1" applyFill="1" applyBorder="1" applyAlignment="1">
      <alignment horizontal="center" vertical="center" wrapText="1"/>
    </xf>
    <xf numFmtId="3" fontId="24" fillId="22" borderId="95" xfId="0" applyNumberFormat="1" applyFont="1" applyFill="1" applyBorder="1" applyAlignment="1">
      <alignment horizontal="center" vertical="center"/>
    </xf>
    <xf numFmtId="3" fontId="25" fillId="22" borderId="95" xfId="0" applyNumberFormat="1" applyFont="1" applyFill="1" applyBorder="1" applyAlignment="1">
      <alignment horizontal="center" vertical="center"/>
    </xf>
    <xf numFmtId="3" fontId="25" fillId="22" borderId="177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3" fontId="25" fillId="22" borderId="135" xfId="0" applyNumberFormat="1" applyFont="1" applyFill="1" applyBorder="1" applyAlignment="1">
      <alignment horizontal="center" vertical="center"/>
    </xf>
    <xf numFmtId="3" fontId="25" fillId="22" borderId="101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3" fontId="24" fillId="22" borderId="177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 wrapText="1"/>
    </xf>
    <xf numFmtId="0" fontId="19" fillId="0" borderId="175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8" xfId="4" applyFont="1" applyFill="1" applyBorder="1" applyAlignment="1">
      <alignment horizontal="center" vertical="center" wrapText="1"/>
    </xf>
    <xf numFmtId="0" fontId="8" fillId="0" borderId="197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3" fontId="24" fillId="22" borderId="101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25" fillId="2" borderId="197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8" fillId="0" borderId="105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13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1" fillId="32" borderId="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5" fillId="2" borderId="105" xfId="0" applyFont="1" applyFill="1" applyBorder="1" applyAlignment="1">
      <alignment horizontal="center" vertical="center" wrapText="1"/>
    </xf>
    <xf numFmtId="0" fontId="7" fillId="0" borderId="19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 wrapText="1"/>
    </xf>
    <xf numFmtId="0" fontId="32" fillId="0" borderId="41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25" fillId="8" borderId="138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8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5" fillId="2" borderId="91" xfId="0" applyFont="1" applyFill="1" applyBorder="1" applyAlignment="1">
      <alignment horizontal="center" vertical="center" wrapText="1"/>
    </xf>
    <xf numFmtId="0" fontId="6" fillId="0" borderId="10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23" fillId="0" borderId="13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" borderId="134" xfId="4" applyNumberFormat="1" applyFont="1" applyFill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77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77" xfId="0" applyFont="1" applyBorder="1" applyAlignment="1">
      <alignment horizontal="center" vertical="center"/>
    </xf>
    <xf numFmtId="3" fontId="25" fillId="25" borderId="208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4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3" fontId="25" fillId="2" borderId="135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0" fontId="23" fillId="0" borderId="195" xfId="0" applyFont="1" applyBorder="1" applyAlignment="1">
      <alignment horizontal="center" vertical="center"/>
    </xf>
    <xf numFmtId="3" fontId="25" fillId="2" borderId="195" xfId="4" applyNumberFormat="1" applyFont="1" applyFill="1" applyBorder="1" applyAlignment="1">
      <alignment horizontal="center" vertical="center" wrapText="1"/>
    </xf>
    <xf numFmtId="3" fontId="25" fillId="22" borderId="135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5" fillId="2" borderId="12" xfId="4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4" xfId="4" applyFont="1" applyFill="1" applyBorder="1" applyAlignment="1">
      <alignment horizontal="center" vertical="center"/>
    </xf>
    <xf numFmtId="0" fontId="27" fillId="8" borderId="199" xfId="4" applyFont="1" applyFill="1" applyBorder="1" applyAlignment="1">
      <alignment horizontal="center" vertical="center"/>
    </xf>
    <xf numFmtId="0" fontId="27" fillId="8" borderId="135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5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3" fontId="25" fillId="25" borderId="135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5" borderId="110" xfId="0" applyNumberFormat="1" applyFont="1" applyFill="1" applyBorder="1" applyAlignment="1">
      <alignment horizontal="center" vertical="center"/>
    </xf>
    <xf numFmtId="3" fontId="24" fillId="34" borderId="192" xfId="4" applyNumberFormat="1" applyFont="1" applyFill="1" applyBorder="1" applyAlignment="1">
      <alignment horizontal="center" vertical="center"/>
    </xf>
    <xf numFmtId="3" fontId="24" fillId="34" borderId="128" xfId="4" applyNumberFormat="1" applyFont="1" applyFill="1" applyBorder="1" applyAlignment="1">
      <alignment horizontal="center" vertical="center"/>
    </xf>
    <xf numFmtId="3" fontId="25" fillId="22" borderId="195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2" borderId="22" xfId="4" applyFont="1" applyFill="1" applyBorder="1" applyAlignment="1">
      <alignment horizontal="center" vertical="center" wrapText="1"/>
    </xf>
    <xf numFmtId="3" fontId="24" fillId="34" borderId="195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24" fillId="0" borderId="41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center" vertical="center"/>
    </xf>
    <xf numFmtId="0" fontId="18" fillId="0" borderId="66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18" fillId="0" borderId="69" xfId="4" applyFont="1" applyFill="1" applyBorder="1" applyAlignment="1">
      <alignment horizontal="center" vertical="center" wrapText="1"/>
    </xf>
    <xf numFmtId="0" fontId="25" fillId="2" borderId="200" xfId="4" applyFont="1" applyFill="1" applyBorder="1" applyAlignment="1">
      <alignment horizontal="center" vertical="center" wrapText="1"/>
    </xf>
    <xf numFmtId="0" fontId="0" fillId="0" borderId="202" xfId="0" applyFont="1" applyBorder="1"/>
    <xf numFmtId="0" fontId="32" fillId="0" borderId="200" xfId="0" applyFont="1" applyBorder="1" applyAlignment="1">
      <alignment horizontal="center" vertical="center" wrapText="1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72" xfId="4" applyFont="1" applyFill="1" applyBorder="1" applyAlignment="1">
      <alignment horizontal="center" vertical="center" wrapText="1"/>
    </xf>
    <xf numFmtId="0" fontId="32" fillId="0" borderId="172" xfId="0" applyFont="1" applyBorder="1" applyAlignment="1">
      <alignment horizontal="center" vertical="center" wrapText="1"/>
    </xf>
    <xf numFmtId="0" fontId="0" fillId="0" borderId="141" xfId="0" applyFont="1" applyBorder="1"/>
    <xf numFmtId="0" fontId="18" fillId="0" borderId="23" xfId="4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18" fillId="0" borderId="199" xfId="4" applyFont="1" applyFill="1" applyBorder="1" applyAlignment="1">
      <alignment horizontal="center" vertical="center" wrapText="1"/>
    </xf>
    <xf numFmtId="0" fontId="18" fillId="0" borderId="128" xfId="4" applyFont="1" applyFill="1" applyBorder="1" applyAlignment="1">
      <alignment horizontal="center" vertical="center" wrapText="1"/>
    </xf>
    <xf numFmtId="0" fontId="24" fillId="2" borderId="189" xfId="4" applyFont="1" applyFill="1" applyBorder="1" applyAlignment="1">
      <alignment horizontal="center" vertical="center" wrapText="1"/>
    </xf>
    <xf numFmtId="0" fontId="24" fillId="2" borderId="189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99" xfId="4" applyNumberFormat="1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12" xfId="4" applyFont="1" applyFill="1" applyBorder="1" applyAlignment="1">
      <alignment horizontal="center" vertical="center" wrapText="1"/>
    </xf>
    <xf numFmtId="0" fontId="25" fillId="0" borderId="187" xfId="4" applyFont="1" applyFill="1" applyBorder="1" applyAlignment="1">
      <alignment horizontal="center" vertical="center" wrapText="1"/>
    </xf>
    <xf numFmtId="0" fontId="32" fillId="0" borderId="187" xfId="0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0" fontId="25" fillId="0" borderId="189" xfId="4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3" fontId="25" fillId="22" borderId="135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3" fontId="25" fillId="2" borderId="91" xfId="4" applyNumberFormat="1" applyFont="1" applyFill="1" applyBorder="1" applyAlignment="1">
      <alignment horizontal="center" vertical="center" wrapText="1"/>
    </xf>
    <xf numFmtId="0" fontId="25" fillId="2" borderId="91" xfId="4" applyFont="1" applyFill="1" applyBorder="1" applyAlignment="1">
      <alignment horizontal="center" vertical="center" wrapText="1"/>
    </xf>
    <xf numFmtId="3" fontId="17" fillId="26" borderId="95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24" fillId="26" borderId="127" xfId="4" applyNumberFormat="1" applyFont="1" applyFill="1" applyBorder="1" applyAlignment="1">
      <alignment horizontal="center" vertical="center"/>
    </xf>
    <xf numFmtId="3" fontId="24" fillId="26" borderId="95" xfId="4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3" fontId="17" fillId="26" borderId="195" xfId="4" applyNumberFormat="1" applyFont="1" applyFill="1" applyBorder="1" applyAlignment="1">
      <alignment horizontal="center" vertical="center"/>
    </xf>
    <xf numFmtId="3" fontId="17" fillId="26" borderId="177" xfId="4" applyNumberFormat="1" applyFont="1" applyFill="1" applyBorder="1" applyAlignment="1">
      <alignment horizontal="center" vertical="center"/>
    </xf>
    <xf numFmtId="0" fontId="25" fillId="32" borderId="195" xfId="4" applyFont="1" applyFill="1" applyBorder="1" applyAlignment="1">
      <alignment horizontal="center" vertical="center" wrapText="1"/>
    </xf>
    <xf numFmtId="0" fontId="25" fillId="32" borderId="13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18" fillId="0" borderId="12" xfId="4" applyFont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3" fontId="25" fillId="2" borderId="121" xfId="4" applyNumberFormat="1" applyFont="1" applyFill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8" fillId="0" borderId="205" xfId="0" applyFont="1" applyFill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  <xf numFmtId="3" fontId="24" fillId="26" borderId="135" xfId="4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8" fillId="0" borderId="66" xfId="112" applyFont="1" applyFill="1" applyBorder="1" applyAlignment="1">
      <alignment horizontal="center" vertical="center" wrapText="1"/>
    </xf>
    <xf numFmtId="0" fontId="18" fillId="0" borderId="67" xfId="112" applyFont="1" applyFill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4" fillId="0" borderId="69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25" xfId="112" applyNumberFormat="1" applyFont="1" applyBorder="1" applyAlignment="1">
      <alignment horizontal="center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9" xfId="4" applyFont="1" applyFill="1" applyBorder="1" applyAlignment="1">
      <alignment horizontal="center" vertical="center" wrapText="1"/>
    </xf>
    <xf numFmtId="2" fontId="4" fillId="0" borderId="11" xfId="112" applyNumberFormat="1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66FF66"/>
      <color rgb="FF00FF00"/>
      <color rgb="FF0000CC"/>
      <color rgb="FF003300"/>
      <color rgb="FF00CC00"/>
      <color rgb="FFFF0000"/>
      <color rgb="FFFF33CC"/>
      <color rgb="FFCC00FF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58</xdr:row>
      <xdr:rowOff>0</xdr:rowOff>
    </xdr:from>
    <xdr:to>
      <xdr:col>18</xdr:col>
      <xdr:colOff>0</xdr:colOff>
      <xdr:row>58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>
        <row r="88">
          <cell r="N88">
            <v>564353135</v>
          </cell>
        </row>
      </sheetData>
      <sheetData sheetId="2">
        <row r="9">
          <cell r="D9">
            <v>826101606</v>
          </cell>
        </row>
      </sheetData>
      <sheetData sheetId="3">
        <row r="8">
          <cell r="D8">
            <v>102016554</v>
          </cell>
        </row>
        <row r="162">
          <cell r="M162">
            <v>378288</v>
          </cell>
          <cell r="P162">
            <v>1089145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10">
          <cell r="D10">
            <v>336434992</v>
          </cell>
        </row>
      </sheetData>
      <sheetData sheetId="7">
        <row r="8">
          <cell r="D8">
            <v>29987978</v>
          </cell>
        </row>
      </sheetData>
      <sheetData sheetId="8">
        <row r="9">
          <cell r="D9">
            <v>44879279</v>
          </cell>
        </row>
      </sheetData>
      <sheetData sheetId="9">
        <row r="8">
          <cell r="D8">
            <v>105743053</v>
          </cell>
        </row>
      </sheetData>
      <sheetData sheetId="10">
        <row r="9">
          <cell r="D9">
            <v>2254391</v>
          </cell>
        </row>
      </sheetData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  <row r="268">
          <cell r="D268">
            <v>780000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Q1043"/>
  <sheetViews>
    <sheetView showGridLines="0" tabSelected="1" view="pageBreakPreview" zoomScaleNormal="110" zoomScaleSheetLayoutView="100" workbookViewId="0"/>
  </sheetViews>
  <sheetFormatPr defaultColWidth="9.140625" defaultRowHeight="12.75" outlineLevelCol="1"/>
  <cols>
    <col min="1" max="1" width="49.140625" style="1177" customWidth="1"/>
    <col min="2" max="2" width="16" style="1178" customWidth="1"/>
    <col min="3" max="4" width="13.85546875" style="1178" customWidth="1"/>
    <col min="5" max="5" width="13" style="1178" customWidth="1"/>
    <col min="6" max="6" width="12.85546875" style="1178" customWidth="1"/>
    <col min="7" max="8" width="13.140625" style="1178" customWidth="1"/>
    <col min="9" max="9" width="14.42578125" style="1178" customWidth="1"/>
    <col min="10" max="10" width="16.140625" style="1177" customWidth="1"/>
    <col min="11" max="11" width="14.5703125" style="1180" customWidth="1" outlineLevel="1"/>
    <col min="12" max="12" width="14.5703125" style="1180" hidden="1" customWidth="1" outlineLevel="1"/>
    <col min="13" max="13" width="17.28515625" style="1180" hidden="1" customWidth="1" outlineLevel="1"/>
    <col min="14" max="14" width="14.7109375" style="1177" hidden="1" customWidth="1"/>
    <col min="15" max="15" width="14.28515625" style="1177" hidden="1" customWidth="1"/>
    <col min="16" max="16" width="0" style="1177" hidden="1" customWidth="1"/>
    <col min="17" max="17" width="9.7109375" style="1177" hidden="1" customWidth="1"/>
    <col min="18" max="16384" width="9.140625" style="1177"/>
  </cols>
  <sheetData>
    <row r="1" spans="1:15" ht="23.25" customHeight="1">
      <c r="A1" s="1176"/>
      <c r="E1" s="1179"/>
      <c r="G1" s="1179"/>
      <c r="H1" s="1179"/>
      <c r="I1" s="1179"/>
    </row>
    <row r="2" spans="1:15" ht="15">
      <c r="C2" s="1182"/>
      <c r="D2" s="1182"/>
      <c r="E2" s="1182"/>
      <c r="G2" s="1182"/>
      <c r="H2" s="1182"/>
      <c r="I2" s="1179" t="s">
        <v>347</v>
      </c>
      <c r="J2" s="1181"/>
    </row>
    <row r="3" spans="1:15">
      <c r="B3" s="1185"/>
      <c r="C3" s="1182"/>
      <c r="D3" s="1182"/>
      <c r="E3" s="1182"/>
      <c r="F3" s="1182"/>
      <c r="G3" s="1182"/>
      <c r="H3" s="1182"/>
      <c r="I3" s="1182"/>
      <c r="J3" s="1181"/>
    </row>
    <row r="4" spans="1:15" ht="12.75" customHeight="1">
      <c r="C4" s="1181"/>
      <c r="D4" s="1181"/>
      <c r="E4" s="1181"/>
      <c r="F4" s="1181"/>
      <c r="G4" s="1181"/>
      <c r="H4" s="1181"/>
      <c r="I4" s="1181"/>
      <c r="J4" s="1900"/>
    </row>
    <row r="5" spans="1:15" ht="72" customHeight="1">
      <c r="A5" s="2849" t="s">
        <v>0</v>
      </c>
      <c r="B5" s="2849"/>
      <c r="C5" s="2849"/>
      <c r="D5" s="2849"/>
      <c r="E5" s="2849"/>
      <c r="F5" s="2849"/>
      <c r="G5" s="2849"/>
      <c r="H5" s="2849"/>
      <c r="I5" s="2849"/>
      <c r="J5" s="2849"/>
      <c r="K5" s="2491"/>
      <c r="L5" s="2491"/>
    </row>
    <row r="6" spans="1:15" ht="12" customHeight="1">
      <c r="A6" s="1183"/>
      <c r="B6" s="1183"/>
      <c r="C6" s="1183"/>
      <c r="D6" s="1183"/>
      <c r="E6" s="1183"/>
      <c r="F6" s="1183"/>
      <c r="G6" s="1183"/>
      <c r="H6" s="1183"/>
      <c r="I6" s="1183"/>
      <c r="J6" s="1183"/>
    </row>
    <row r="7" spans="1:15" ht="48.75" customHeight="1" thickBot="1">
      <c r="A7" s="2850" t="s">
        <v>1</v>
      </c>
      <c r="B7" s="2850"/>
      <c r="C7" s="2850"/>
      <c r="D7" s="2850"/>
      <c r="E7" s="2850"/>
      <c r="F7" s="2850"/>
      <c r="G7" s="2850"/>
      <c r="H7" s="2850"/>
      <c r="I7" s="2850"/>
      <c r="J7" s="2850"/>
      <c r="K7" s="1588"/>
      <c r="L7" s="1588"/>
    </row>
    <row r="8" spans="1:15" s="1178" customFormat="1" ht="24.75" customHeight="1">
      <c r="A8" s="1184"/>
      <c r="B8" s="2854" t="s">
        <v>239</v>
      </c>
      <c r="C8" s="2861" t="s">
        <v>454</v>
      </c>
      <c r="D8" s="2857" t="s">
        <v>453</v>
      </c>
      <c r="E8" s="2857"/>
      <c r="F8" s="2857"/>
      <c r="G8" s="2857"/>
      <c r="H8" s="2857"/>
      <c r="I8" s="2858"/>
      <c r="J8" s="2851" t="s">
        <v>3</v>
      </c>
      <c r="K8" s="2832" t="s">
        <v>480</v>
      </c>
      <c r="L8" s="2839" t="s">
        <v>455</v>
      </c>
      <c r="M8" s="1185"/>
    </row>
    <row r="9" spans="1:15" ht="27" customHeight="1">
      <c r="A9" s="1186" t="s">
        <v>4</v>
      </c>
      <c r="B9" s="2855"/>
      <c r="C9" s="2862"/>
      <c r="D9" s="2859"/>
      <c r="E9" s="2859"/>
      <c r="F9" s="2859"/>
      <c r="G9" s="2859"/>
      <c r="H9" s="2859"/>
      <c r="I9" s="2860"/>
      <c r="J9" s="2852"/>
      <c r="K9" s="2833"/>
      <c r="L9" s="2840"/>
      <c r="M9" s="1185" t="s">
        <v>2</v>
      </c>
    </row>
    <row r="10" spans="1:15" ht="19.5" customHeight="1" thickBot="1">
      <c r="A10" s="1186"/>
      <c r="B10" s="1187" t="s">
        <v>433</v>
      </c>
      <c r="C10" s="2863"/>
      <c r="D10" s="1188" t="s">
        <v>6</v>
      </c>
      <c r="E10" s="1188" t="s">
        <v>184</v>
      </c>
      <c r="F10" s="1188" t="s">
        <v>186</v>
      </c>
      <c r="G10" s="1188" t="s">
        <v>230</v>
      </c>
      <c r="H10" s="1188" t="s">
        <v>231</v>
      </c>
      <c r="I10" s="1189" t="s">
        <v>229</v>
      </c>
      <c r="J10" s="2853"/>
      <c r="K10" s="2833"/>
      <c r="L10" s="2840"/>
      <c r="M10" s="235"/>
      <c r="N10" s="1190"/>
    </row>
    <row r="11" spans="1:15" ht="13.5" customHeight="1" thickBot="1">
      <c r="A11" s="1191">
        <v>1</v>
      </c>
      <c r="B11" s="1192">
        <v>2</v>
      </c>
      <c r="C11" s="1193">
        <v>3</v>
      </c>
      <c r="D11" s="1192">
        <v>4</v>
      </c>
      <c r="E11" s="1194">
        <v>5</v>
      </c>
      <c r="F11" s="1195">
        <v>6</v>
      </c>
      <c r="G11" s="1196">
        <v>7</v>
      </c>
      <c r="H11" s="1192">
        <v>8</v>
      </c>
      <c r="I11" s="1196">
        <v>9</v>
      </c>
      <c r="J11" s="2420">
        <v>10</v>
      </c>
      <c r="K11" s="1197">
        <v>11</v>
      </c>
      <c r="L11" s="2434">
        <v>11</v>
      </c>
      <c r="N11" s="2837" t="s">
        <v>42</v>
      </c>
      <c r="O11" s="2838"/>
    </row>
    <row r="12" spans="1:15" s="1203" customFormat="1" ht="18.75" customHeight="1">
      <c r="A12" s="1198" t="s">
        <v>7</v>
      </c>
      <c r="B12" s="1199">
        <f>+B13+B14</f>
        <v>249454274</v>
      </c>
      <c r="C12" s="1199">
        <f t="shared" ref="C12:D12" si="0">+C13+C14</f>
        <v>303185636</v>
      </c>
      <c r="D12" s="1199">
        <f t="shared" si="0"/>
        <v>584664280</v>
      </c>
      <c r="E12" s="1199">
        <f t="shared" ref="E12:L12" si="1">+E13+E14</f>
        <v>154526971</v>
      </c>
      <c r="F12" s="1199">
        <f t="shared" si="1"/>
        <v>80991744</v>
      </c>
      <c r="G12" s="1199">
        <f t="shared" si="1"/>
        <v>38634583</v>
      </c>
      <c r="H12" s="1199">
        <f t="shared" si="1"/>
        <v>36558257</v>
      </c>
      <c r="I12" s="1199">
        <f t="shared" si="1"/>
        <v>34978694</v>
      </c>
      <c r="J12" s="2421">
        <f>+J13+J14</f>
        <v>1482994439</v>
      </c>
      <c r="K12" s="1200">
        <f>+K13+K14</f>
        <v>1233540165</v>
      </c>
      <c r="L12" s="1245">
        <f t="shared" si="1"/>
        <v>930354529</v>
      </c>
      <c r="M12" s="1201"/>
      <c r="N12" s="507">
        <f t="shared" ref="N12:N31" si="2">+C12+D12+E12+F12+G12+H12+I12+B12</f>
        <v>1482994439</v>
      </c>
      <c r="O12" s="1202">
        <f>J12-N12</f>
        <v>0</v>
      </c>
    </row>
    <row r="13" spans="1:15" s="1203" customFormat="1" ht="17.25" customHeight="1">
      <c r="A13" s="1204" t="s">
        <v>8</v>
      </c>
      <c r="B13" s="1205">
        <f>+'Tab. 6B Polit społ i rozwój prz'!E8+'Tab. 6D - Oświata'!E11+'Tab. 6A -Drogi'!E9+'Tab. 6E - Administracja'!E10+'Tab. 6G - Roln i ochrona środ.'!E9+'Tab. 6H - Kultura fiz. i turyst'!E8+'Tab.6I - Planow. przestrz.'!E9</f>
        <v>44889336</v>
      </c>
      <c r="C13" s="1205">
        <f>+'Tab. 6B Polit społ i rozwój prz'!F8+'Tab. 6D - Oświata'!F11+'Tab. 6A -Drogi'!F9+'Tab. 6E - Administracja'!F10+'Tab. 6G - Roln i ochrona środ.'!F9+'Tab. 6H - Kultura fiz. i turyst'!F8+'Tab.6I - Planow. przestrz.'!F9</f>
        <v>52355630</v>
      </c>
      <c r="D13" s="1205">
        <f>+'Tab. 6B Polit społ i rozwój prz'!G8+'Tab. 6D - Oświata'!G11+'Tab. 6A -Drogi'!G9+'Tab. 6E - Administracja'!G10+'Tab. 6G - Roln i ochrona środ.'!G9+'Tab. 6H - Kultura fiz. i turyst'!G8+'Tab.6I - Planow. przestrz.'!G9</f>
        <v>67157809</v>
      </c>
      <c r="E13" s="1205">
        <f>+'Tab. 6B Polit społ i rozwój prz'!H8+'Tab. 6D - Oświata'!H11+'Tab. 6A -Drogi'!H9+'Tab. 6E - Administracja'!H10+'Tab. 6G - Roln i ochrona środ.'!H9+'Tab. 6H - Kultura fiz. i turyst'!H8+'Tab.6I - Planow. przestrz.'!H9</f>
        <v>50756584</v>
      </c>
      <c r="F13" s="1205">
        <f>+'Tab. 6B Polit społ i rozwój prz'!I8+'Tab. 6D - Oświata'!I11+'Tab. 6A -Drogi'!I9+'Tab. 6E - Administracja'!I10+'Tab. 6G - Roln i ochrona środ.'!I9+'Tab. 6H - Kultura fiz. i turyst'!I8+'Tab.6I - Planow. przestrz.'!I9</f>
        <v>45331842</v>
      </c>
      <c r="G13" s="1205">
        <f>+'Tab. 6B Polit społ i rozwój prz'!J8+'Tab. 6D - Oświata'!J11+'Tab. 6A -Drogi'!J9+'Tab. 6E - Administracja'!J10+'Tab. 6G - Roln i ochrona środ.'!J9+'Tab. 6H - Kultura fiz. i turyst'!J8+'Tab.6I - Planow. przestrz.'!J9</f>
        <v>38473083</v>
      </c>
      <c r="H13" s="1205">
        <f>+'Tab. 6B Polit społ i rozwój prz'!K8+'Tab. 6D - Oświata'!K11+'Tab. 6A -Drogi'!K9+'Tab. 6E - Administracja'!K10+'Tab. 6G - Roln i ochrona środ.'!K9+'Tab. 6H - Kultura fiz. i turyst'!K8+'Tab.6I - Planow. przestrz.'!K9</f>
        <v>36396757</v>
      </c>
      <c r="I13" s="1205">
        <f>+'Tab. 6B Polit społ i rozwój prz'!L8+'Tab. 6D - Oświata'!L11+'Tab. 6A -Drogi'!L9+'Tab. 6E - Administracja'!L10+'Tab. 6G - Roln i ochrona środ.'!L9+'Tab. 6H - Kultura fiz. i turyst'!L8+'Tab.6I - Planow. przestrz.'!L9</f>
        <v>34817194</v>
      </c>
      <c r="J13" s="2422">
        <f>'Tab. 6A -Drogi'!D9+'Tab. 6B Polit społ i rozwój prz'!D8+'Tab. 6D - Oświata'!D11+'Tab. 6E - Administracja'!D10+'Tab. 6G - Roln i ochrona środ.'!D9+'Tab. 6H - Kultura fiz. i turyst'!D8+'Tab.6I - Planow. przestrz.'!D9</f>
        <v>370178235</v>
      </c>
      <c r="K13" s="1476">
        <f>SUM(C13:I13)</f>
        <v>325288899</v>
      </c>
      <c r="L13" s="2435">
        <f>SUM(D13:I13)</f>
        <v>272933269</v>
      </c>
      <c r="M13" s="491">
        <f>K13-C13-D13-E13-F13-G13-H13-I13</f>
        <v>0</v>
      </c>
      <c r="N13" s="507">
        <f t="shared" si="2"/>
        <v>370178235</v>
      </c>
      <c r="O13" s="508">
        <f>J13-N13</f>
        <v>0</v>
      </c>
    </row>
    <row r="14" spans="1:15" s="1203" customFormat="1" ht="17.25" customHeight="1" thickBot="1">
      <c r="A14" s="1207" t="s">
        <v>9</v>
      </c>
      <c r="B14" s="1208">
        <f>+'Tab. 6D - Oświata'!E12+'Tab. 6A -Drogi'!E10+'Tab. 6E - Administracja'!E11+'Tab. 6G - Roln i ochrona środ.'!E10+'Tab. 6H - Kultura fiz. i turyst'!E9+'Tab. 6B Polit społ i rozwój prz'!E9+'Tab.6I - Planow. przestrz.'!E10</f>
        <v>204564938</v>
      </c>
      <c r="C14" s="1208">
        <f>+'Tab. 6D - Oświata'!F12+'Tab. 6A -Drogi'!F10+'Tab. 6E - Administracja'!F11+'Tab. 6G - Roln i ochrona środ.'!F10+'Tab. 6H - Kultura fiz. i turyst'!F9+'Tab. 6B Polit społ i rozwój prz'!F9+'Tab.6I - Planow. przestrz.'!F10</f>
        <v>250830006</v>
      </c>
      <c r="D14" s="1208">
        <f>+'Tab. 6D - Oświata'!G12+'Tab. 6A -Drogi'!G10+'Tab. 6E - Administracja'!G11+'Tab. 6G - Roln i ochrona środ.'!G10+'Tab. 6H - Kultura fiz. i turyst'!G9+'Tab. 6B Polit społ i rozwój prz'!G9+'Tab.6I - Planow. przestrz.'!G10</f>
        <v>517506471</v>
      </c>
      <c r="E14" s="1208">
        <f>+'Tab. 6D - Oświata'!H12+'Tab. 6A -Drogi'!H10+'Tab. 6E - Administracja'!H11+'Tab. 6G - Roln i ochrona środ.'!H10+'Tab. 6H - Kultura fiz. i turyst'!H9+'Tab. 6B Polit społ i rozwój prz'!H9+'Tab.6I - Planow. przestrz.'!H10</f>
        <v>103770387</v>
      </c>
      <c r="F14" s="1208">
        <f>+'Tab. 6D - Oświata'!I12+'Tab. 6A -Drogi'!I10+'Tab. 6E - Administracja'!I11+'Tab. 6G - Roln i ochrona środ.'!I10+'Tab. 6H - Kultura fiz. i turyst'!I9+'Tab. 6B Polit społ i rozwój prz'!I9+'Tab.6I - Planow. przestrz.'!I10</f>
        <v>35659902</v>
      </c>
      <c r="G14" s="1208">
        <f>+'Tab. 6D - Oświata'!J12+'Tab. 6A -Drogi'!J10+'Tab. 6E - Administracja'!J11+'Tab. 6G - Roln i ochrona środ.'!J10+'Tab. 6H - Kultura fiz. i turyst'!J9+'Tab. 6B Polit społ i rozwój prz'!J9+'Tab.6I - Planow. przestrz.'!J10</f>
        <v>161500</v>
      </c>
      <c r="H14" s="1208">
        <f>+'Tab. 6D - Oświata'!K12+'Tab. 6A -Drogi'!K10+'Tab. 6E - Administracja'!K11+'Tab. 6G - Roln i ochrona środ.'!K10+'Tab. 6H - Kultura fiz. i turyst'!K9+'Tab. 6B Polit społ i rozwój prz'!K9+'Tab.6I - Planow. przestrz.'!K10</f>
        <v>161500</v>
      </c>
      <c r="I14" s="1208">
        <f>+'Tab. 6D - Oświata'!L12+'Tab. 6A -Drogi'!L10+'Tab. 6E - Administracja'!L11+'Tab. 6G - Roln i ochrona środ.'!L10+'Tab. 6H - Kultura fiz. i turyst'!L9+'Tab. 6B Polit społ i rozwój prz'!L9+'Tab.6I - Planow. przestrz.'!L10</f>
        <v>161500</v>
      </c>
      <c r="J14" s="2423">
        <f>'Tab. 6A -Drogi'!D10+'Tab. 6B Polit społ i rozwój prz'!D9+'Tab. 6D - Oświata'!D12+'Tab. 6E - Administracja'!D11+'Tab. 6G - Roln i ochrona środ.'!D10+'Tab. 6H - Kultura fiz. i turyst'!D9+'Tab.6I - Planow. przestrz.'!D10</f>
        <v>1112816204</v>
      </c>
      <c r="K14" s="1477">
        <f>SUM(C14:I14)</f>
        <v>908251266</v>
      </c>
      <c r="L14" s="2436">
        <f>SUM(D14:I14)</f>
        <v>657421260</v>
      </c>
      <c r="M14" s="491">
        <f>K14-C14-D14-E14-F14-G14-H14-I14</f>
        <v>0</v>
      </c>
      <c r="N14" s="507">
        <f t="shared" si="2"/>
        <v>1112816204</v>
      </c>
      <c r="O14" s="508">
        <f>J14-N14</f>
        <v>0</v>
      </c>
    </row>
    <row r="15" spans="1:15" s="509" customFormat="1">
      <c r="A15" s="1209"/>
      <c r="B15" s="1210"/>
      <c r="C15" s="1210"/>
      <c r="D15" s="1210"/>
      <c r="E15" s="1210"/>
      <c r="F15" s="1210"/>
      <c r="G15" s="1210"/>
      <c r="H15" s="1210">
        <v>0</v>
      </c>
      <c r="I15" s="1210"/>
      <c r="J15" s="1210"/>
      <c r="K15" s="2443"/>
      <c r="L15" s="1210"/>
      <c r="M15" s="506"/>
      <c r="N15" s="507">
        <f t="shared" si="2"/>
        <v>0</v>
      </c>
      <c r="O15" s="508">
        <f t="shared" ref="O15:O31" si="3">J15-N15</f>
        <v>0</v>
      </c>
    </row>
    <row r="16" spans="1:15" s="1213" customFormat="1" ht="18" customHeight="1">
      <c r="A16" s="1211" t="s">
        <v>10</v>
      </c>
      <c r="B16" s="1212">
        <f t="shared" ref="B16:L16" si="4">+B17+B26</f>
        <v>249845390.30000001</v>
      </c>
      <c r="C16" s="1212">
        <f t="shared" si="4"/>
        <v>303558245</v>
      </c>
      <c r="D16" s="1212">
        <f t="shared" si="4"/>
        <v>585148364</v>
      </c>
      <c r="E16" s="1212">
        <f t="shared" si="4"/>
        <v>154616072</v>
      </c>
      <c r="F16" s="1212">
        <f t="shared" si="4"/>
        <v>81069209</v>
      </c>
      <c r="G16" s="1212">
        <f t="shared" si="4"/>
        <v>38698602</v>
      </c>
      <c r="H16" s="1212">
        <f t="shared" si="4"/>
        <v>36622275</v>
      </c>
      <c r="I16" s="1212">
        <f t="shared" si="4"/>
        <v>35042712</v>
      </c>
      <c r="J16" s="2424">
        <f>+J17+J26</f>
        <v>1484600869.3</v>
      </c>
      <c r="K16" s="2444">
        <f t="shared" ref="K16" si="5">+K17+K26</f>
        <v>1233540165</v>
      </c>
      <c r="L16" s="2437">
        <f t="shared" si="4"/>
        <v>930354529</v>
      </c>
      <c r="M16" s="491"/>
      <c r="N16" s="507">
        <f t="shared" si="2"/>
        <v>1484600869.3</v>
      </c>
      <c r="O16" s="508">
        <f>J16-N16</f>
        <v>0</v>
      </c>
    </row>
    <row r="17" spans="1:15" s="1217" customFormat="1" ht="17.25" customHeight="1">
      <c r="A17" s="1214" t="s">
        <v>11</v>
      </c>
      <c r="B17" s="1215">
        <f t="shared" ref="B17:I17" si="6">SUM(B18:B25)</f>
        <v>46221640.299999997</v>
      </c>
      <c r="C17" s="1215">
        <f t="shared" si="6"/>
        <v>56545738</v>
      </c>
      <c r="D17" s="1215">
        <f t="shared" si="6"/>
        <v>105876832</v>
      </c>
      <c r="E17" s="1215">
        <f>SUM(E18:E25)</f>
        <v>29469557</v>
      </c>
      <c r="F17" s="1215">
        <f t="shared" si="6"/>
        <v>20799535</v>
      </c>
      <c r="G17" s="1215">
        <f>SUM(G18:G25)</f>
        <v>6923467</v>
      </c>
      <c r="H17" s="1215">
        <f t="shared" si="6"/>
        <v>4969396</v>
      </c>
      <c r="I17" s="1215">
        <f t="shared" si="6"/>
        <v>4833515</v>
      </c>
      <c r="J17" s="2425">
        <f>SUM(J18:J25)</f>
        <v>275639680.30000001</v>
      </c>
      <c r="K17" s="1216">
        <f>SUM(K18:K25)</f>
        <v>228202726</v>
      </c>
      <c r="L17" s="2438">
        <f>SUM(L18:L25)</f>
        <v>172029597</v>
      </c>
      <c r="M17" s="491"/>
      <c r="N17" s="507">
        <f t="shared" si="2"/>
        <v>275639680.30000001</v>
      </c>
      <c r="O17" s="508">
        <f t="shared" si="3"/>
        <v>0</v>
      </c>
    </row>
    <row r="18" spans="1:15" s="509" customFormat="1" ht="14.25" customHeight="1">
      <c r="A18" s="1218" t="s">
        <v>12</v>
      </c>
      <c r="B18" s="1219">
        <f>+'Tab. 6B Polit społ i rozwój prz'!E12+'Tab. 6D - Oświata'!E15+'Tab. 6A -Drogi'!E13+'Tab. 6E - Administracja'!E14+'Tab. 6G - Roln i ochrona środ.'!E13+'Tab. 6H - Kultura fiz. i turyst'!E12+'Tab.6I - Planow. przestrz.'!E13+0.3</f>
        <v>19289085.300000001</v>
      </c>
      <c r="C18" s="1219">
        <f>+'Tab. 6B Polit społ i rozwój prz'!F12+'Tab. 6D - Oświata'!F15+'Tab. 6A -Drogi'!F13+'Tab. 6E - Administracja'!F14+'Tab. 6G - Roln i ochrona środ.'!F13+'Tab. 6H - Kultura fiz. i turyst'!F12+'Tab.6I - Planow. przestrz.'!F13</f>
        <v>48518032</v>
      </c>
      <c r="D18" s="1219">
        <f>+'Tab. 6B Polit społ i rozwój prz'!G12+'Tab. 6D - Oświata'!G15+'Tab. 6A -Drogi'!G13+'Tab. 6E - Administracja'!G14+'Tab. 6G - Roln i ochrona środ.'!G13+'Tab. 6H - Kultura fiz. i turyst'!G12+'Tab.6I - Planow. przestrz.'!G13</f>
        <v>93796395</v>
      </c>
      <c r="E18" s="1219">
        <f>+'Tab. 6B Polit społ i rozwój prz'!H12+'Tab. 6D - Oświata'!H15+'Tab. 6A -Drogi'!H13+'Tab. 6E - Administracja'!H14+'Tab. 6G - Roln i ochrona środ.'!H13+'Tab. 6H - Kultura fiz. i turyst'!H12+'Tab.6I - Planow. przestrz.'!H13</f>
        <v>26958543</v>
      </c>
      <c r="F18" s="1219">
        <f>+'Tab. 6B Polit społ i rozwój prz'!I12+'Tab. 6D - Oświata'!I15+'Tab. 6A -Drogi'!I13+'Tab. 6E - Administracja'!I14+'Tab. 6G - Roln i ochrona środ.'!I13+'Tab. 6H - Kultura fiz. i turyst'!I12+'Tab.6I - Planow. przestrz.'!I13</f>
        <v>19478708</v>
      </c>
      <c r="G18" s="1219">
        <f>+'Tab. 6B Polit społ i rozwój prz'!J12+'Tab. 6D - Oświata'!J15+'Tab. 6A -Drogi'!J13+'Tab. 6E - Administracja'!J14+'Tab. 6G - Roln i ochrona środ.'!J13+'Tab. 6H - Kultura fiz. i turyst'!J12+'Tab.6I - Planow. przestrz.'!J13</f>
        <v>6274372</v>
      </c>
      <c r="H18" s="1219">
        <f>+'Tab. 6B Polit społ i rozwój prz'!K12+'Tab. 6D - Oświata'!K15+'Tab. 6A -Drogi'!K13+'Tab. 6E - Administracja'!K14+'Tab. 6G - Roln i ochrona środ.'!K13+'Tab. 6H - Kultura fiz. i turyst'!K12+'Tab.6I - Planow. przestrz.'!K13</f>
        <v>4320302</v>
      </c>
      <c r="I18" s="1219">
        <f>+'Tab. 6B Polit społ i rozwój prz'!L12+'Tab. 6D - Oświata'!L15+'Tab. 6A -Drogi'!L13+'Tab. 6E - Administracja'!L14+'Tab. 6G - Roln i ochrona środ.'!L13+'Tab. 6H - Kultura fiz. i turyst'!L12+'Tab.6I - Planow. przestrz.'!L13</f>
        <v>4274790</v>
      </c>
      <c r="J18" s="2426">
        <f t="shared" ref="J18:J25" si="7">B18+C18+D18+E18+F18+G18+H18+I18</f>
        <v>222910227.30000001</v>
      </c>
      <c r="K18" s="1206">
        <f>SUM(C18:I18)</f>
        <v>203621142</v>
      </c>
      <c r="L18" s="2439">
        <f>SUM(D18:I18)</f>
        <v>155103110</v>
      </c>
      <c r="M18" s="491"/>
      <c r="N18" s="507">
        <f t="shared" si="2"/>
        <v>222910227.30000001</v>
      </c>
      <c r="O18" s="508">
        <f t="shared" si="3"/>
        <v>0</v>
      </c>
    </row>
    <row r="19" spans="1:15" s="509" customFormat="1" ht="15.75" customHeight="1">
      <c r="A19" s="510" t="s">
        <v>13</v>
      </c>
      <c r="B19" s="1219">
        <f>+'Tab. 6B Polit społ i rozwój prz'!E13+'Tab. 6A -Drogi'!E14+'Tab. 6E - Administracja'!E15+'Tab. 6G - Roln i ochrona środ.'!E14+'Tab.6I - Planow. przestrz.'!E14</f>
        <v>2611033</v>
      </c>
      <c r="C19" s="1219">
        <f>+'Tab. 6B Polit społ i rozwój prz'!F13+'Tab. 6A -Drogi'!F14+'Tab. 6E - Administracja'!F15+'Tab. 6G - Roln i ochrona środ.'!F14+'Tab.6I - Planow. przestrz.'!F14</f>
        <v>1954130</v>
      </c>
      <c r="D19" s="1219">
        <f>+'Tab. 6B Polit społ i rozwój prz'!G13+'Tab. 6A -Drogi'!G14+'Tab. 6E - Administracja'!G15+'Tab. 6G - Roln i ochrona środ.'!G14+'Tab.6I - Planow. przestrz.'!G14</f>
        <v>2941487</v>
      </c>
      <c r="E19" s="1219">
        <f>+'Tab. 6B Polit społ i rozwój prz'!H13+'Tab. 6A -Drogi'!H14+'Tab. 6E - Administracja'!H15+'Tab. 6G - Roln i ochrona środ.'!H14+'Tab.6I - Planow. przestrz.'!H14</f>
        <v>1178198</v>
      </c>
      <c r="F19" s="1219">
        <f>+'Tab. 6B Polit społ i rozwój prz'!I13+'Tab. 6A -Drogi'!I14+'Tab. 6E - Administracja'!I15+'Tab. 6G - Roln i ochrona środ.'!I14+'Tab.6I - Planow. przestrz.'!I14</f>
        <v>1243362</v>
      </c>
      <c r="G19" s="1219">
        <f>+'Tab. 6B Polit społ i rozwój prz'!J13+'Tab. 6A -Drogi'!J14+'Tab. 6E - Administracja'!J15+'Tab. 6G - Roln i ochrona środ.'!J14+'Tab.6I - Planow. przestrz.'!J14</f>
        <v>585076</v>
      </c>
      <c r="H19" s="1219">
        <f>+'Tab. 6B Polit społ i rozwój prz'!K13+'Tab. 6A -Drogi'!K14+'Tab. 6E - Administracja'!K15+'Tab. 6G - Roln i ochrona środ.'!K14+'Tab.6I - Planow. przestrz.'!K14</f>
        <v>585076</v>
      </c>
      <c r="I19" s="1219">
        <f>+'Tab. 6B Polit społ i rozwój prz'!L13+'Tab. 6A -Drogi'!L14+'Tab. 6E - Administracja'!L15+'Tab. 6G - Roln i ochrona środ.'!L14+'Tab.6I - Planow. przestrz.'!L14</f>
        <v>494707</v>
      </c>
      <c r="J19" s="2426">
        <f t="shared" si="7"/>
        <v>11593069</v>
      </c>
      <c r="K19" s="1206">
        <f t="shared" ref="K19:K22" si="8">SUM(C19:I19)</f>
        <v>8982036</v>
      </c>
      <c r="L19" s="2439">
        <f>SUM(D19:I19)</f>
        <v>7027906</v>
      </c>
      <c r="M19" s="491"/>
      <c r="N19" s="507">
        <f t="shared" si="2"/>
        <v>11593069</v>
      </c>
      <c r="O19" s="508">
        <f t="shared" si="3"/>
        <v>0</v>
      </c>
    </row>
    <row r="20" spans="1:15" s="509" customFormat="1" ht="13.5" customHeight="1">
      <c r="A20" s="510" t="s">
        <v>14</v>
      </c>
      <c r="B20" s="1219"/>
      <c r="C20" s="1220"/>
      <c r="D20" s="1220"/>
      <c r="E20" s="1220"/>
      <c r="F20" s="1220"/>
      <c r="G20" s="1220"/>
      <c r="H20" s="1220"/>
      <c r="I20" s="1220"/>
      <c r="J20" s="2426">
        <f t="shared" si="7"/>
        <v>0</v>
      </c>
      <c r="K20" s="1206">
        <f t="shared" si="8"/>
        <v>0</v>
      </c>
      <c r="L20" s="2439">
        <f t="shared" ref="K20:L24" si="9">SUM(D20:I20)</f>
        <v>0</v>
      </c>
      <c r="M20" s="491"/>
      <c r="N20" s="507">
        <f t="shared" si="2"/>
        <v>0</v>
      </c>
      <c r="O20" s="508">
        <f t="shared" si="3"/>
        <v>0</v>
      </c>
    </row>
    <row r="21" spans="1:15" s="509" customFormat="1" ht="15.75" customHeight="1">
      <c r="A21" s="510" t="s">
        <v>15</v>
      </c>
      <c r="B21" s="253">
        <f>+'Tab. 6A -Drogi'!E15+'Tab. 6H - Kultura fiz. i turyst'!E14</f>
        <v>10354695</v>
      </c>
      <c r="C21" s="1219">
        <f>+'Tab. 6A -Drogi'!F15+'Tab. 6H - Kultura fiz. i turyst'!F14</f>
        <v>2376842</v>
      </c>
      <c r="D21" s="1219">
        <f>+'Tab. 6A -Drogi'!G15+'Tab. 6H - Kultura fiz. i turyst'!G14</f>
        <v>5076165</v>
      </c>
      <c r="E21" s="2112">
        <f>+'Tab. 6A -Drogi'!H15+'Tab. 6H - Kultura fiz. i turyst'!H14</f>
        <v>0</v>
      </c>
      <c r="F21" s="2112">
        <f>+'Tab. 6A -Drogi'!I15+'Tab. 6H - Kultura fiz. i turyst'!I14</f>
        <v>0</v>
      </c>
      <c r="G21" s="2112">
        <f>+'Tab. 6A -Drogi'!J15+'Tab. 6H - Kultura fiz. i turyst'!J14</f>
        <v>0</v>
      </c>
      <c r="H21" s="2112">
        <f>+'Tab. 6A -Drogi'!K15+'Tab. 6H - Kultura fiz. i turyst'!K14</f>
        <v>0</v>
      </c>
      <c r="I21" s="2112">
        <f>+'Tab. 6A -Drogi'!L15+'Tab. 6H - Kultura fiz. i turyst'!L14</f>
        <v>0</v>
      </c>
      <c r="J21" s="2426">
        <f t="shared" si="7"/>
        <v>17807702</v>
      </c>
      <c r="K21" s="1206">
        <f t="shared" si="8"/>
        <v>7453007</v>
      </c>
      <c r="L21" s="2439">
        <f t="shared" si="9"/>
        <v>5076165</v>
      </c>
      <c r="M21" s="491"/>
      <c r="N21" s="507">
        <f t="shared" si="2"/>
        <v>17807702</v>
      </c>
      <c r="O21" s="508">
        <f t="shared" si="3"/>
        <v>0</v>
      </c>
    </row>
    <row r="22" spans="1:15" s="509" customFormat="1" ht="15.75" customHeight="1">
      <c r="A22" s="510" t="s">
        <v>16</v>
      </c>
      <c r="B22" s="1222">
        <f>+'Tab. 6A -Drogi'!E16+'Tab. 6G - Roln i ochrona środ.'!E15+'Tab. 6E - Administracja'!E16+'Tab. 6H - Kultura fiz. i turyst'!E13</f>
        <v>2196030</v>
      </c>
      <c r="C22" s="1222">
        <f>+'Tab. 6A -Drogi'!F16+'Tab. 6G - Roln i ochrona środ.'!F15+'Tab. 6E - Administracja'!F16+'Tab. 6H - Kultura fiz. i turyst'!F13</f>
        <v>3324125</v>
      </c>
      <c r="D22" s="1222">
        <f>+'Tab. 6A -Drogi'!G16+'Tab. 6G - Roln i ochrona środ.'!G15+'Tab. 6E - Administracja'!G16+'Tab. 6H - Kultura fiz. i turyst'!G13</f>
        <v>3578701</v>
      </c>
      <c r="E22" s="1222">
        <f>+'Tab. 6A -Drogi'!H16+'Tab. 6G - Roln i ochrona środ.'!H15+'Tab. 6E - Administracja'!H16+'Tab. 6H - Kultura fiz. i turyst'!H13</f>
        <v>1243715</v>
      </c>
      <c r="F22" s="2112">
        <f>+'Tab. 6A -Drogi'!I16+'Tab. 6G - Roln i ochrona środ.'!I15+'Tab. 6E - Administracja'!I16+'Tab. 6H - Kultura fiz. i turyst'!I13</f>
        <v>0</v>
      </c>
      <c r="G22" s="2112">
        <f>+'Tab. 6A -Drogi'!J16+'Tab. 6G - Roln i ochrona środ.'!J15+'Tab. 6E - Administracja'!J16+'Tab. 6H - Kultura fiz. i turyst'!J13</f>
        <v>0</v>
      </c>
      <c r="H22" s="2112">
        <f>+'Tab. 6A -Drogi'!K16+'Tab. 6G - Roln i ochrona środ.'!K15+'Tab. 6E - Administracja'!K16+'Tab. 6H - Kultura fiz. i turyst'!K13</f>
        <v>0</v>
      </c>
      <c r="I22" s="2112">
        <f>+'Tab. 6A -Drogi'!L16+'Tab. 6G - Roln i ochrona środ.'!L15+'Tab. 6E - Administracja'!L16+'Tab. 6H - Kultura fiz. i turyst'!L13</f>
        <v>0</v>
      </c>
      <c r="J22" s="2426">
        <f t="shared" si="7"/>
        <v>10342571</v>
      </c>
      <c r="K22" s="1206">
        <f t="shared" si="8"/>
        <v>8146541</v>
      </c>
      <c r="L22" s="2439">
        <f t="shared" si="9"/>
        <v>4822416</v>
      </c>
      <c r="M22" s="491"/>
      <c r="N22" s="507">
        <f t="shared" si="2"/>
        <v>10342571</v>
      </c>
      <c r="O22" s="508">
        <f t="shared" si="3"/>
        <v>0</v>
      </c>
    </row>
    <row r="23" spans="1:15" s="509" customFormat="1" ht="15.75" hidden="1" customHeight="1">
      <c r="A23" s="510" t="s">
        <v>25</v>
      </c>
      <c r="B23" s="1225"/>
      <c r="C23" s="1226">
        <v>0</v>
      </c>
      <c r="D23" s="1226">
        <v>0</v>
      </c>
      <c r="E23" s="1226">
        <v>0</v>
      </c>
      <c r="F23" s="1226">
        <v>0</v>
      </c>
      <c r="G23" s="1226">
        <f>+'Tab.6I - Planow. przestrz.'!J14</f>
        <v>0</v>
      </c>
      <c r="H23" s="1226"/>
      <c r="I23" s="1226"/>
      <c r="J23" s="2426">
        <f t="shared" si="7"/>
        <v>0</v>
      </c>
      <c r="K23" s="1206">
        <f t="shared" si="9"/>
        <v>0</v>
      </c>
      <c r="L23" s="2439">
        <f t="shared" si="9"/>
        <v>0</v>
      </c>
      <c r="M23" s="491"/>
      <c r="N23" s="507">
        <f t="shared" si="2"/>
        <v>0</v>
      </c>
      <c r="O23" s="508"/>
    </row>
    <row r="24" spans="1:15" s="509" customFormat="1" ht="15.75" hidden="1" customHeight="1">
      <c r="A24" s="510" t="s">
        <v>17</v>
      </c>
      <c r="B24" s="1222">
        <f>+'Tab. 6A -Drogi'!E17</f>
        <v>11379681</v>
      </c>
      <c r="C24" s="1221">
        <f>+'Tab. 6A -Drogi'!F17</f>
        <v>0</v>
      </c>
      <c r="D24" s="1221">
        <f>+'Tab. 6A -Drogi'!G17</f>
        <v>0</v>
      </c>
      <c r="E24" s="1221">
        <f>+'Tab. 6A -Drogi'!H17</f>
        <v>0</v>
      </c>
      <c r="F24" s="1221">
        <f>+'Tab. 6A -Drogi'!I17</f>
        <v>0</v>
      </c>
      <c r="G24" s="1221">
        <f>+'Tab. 6A -Drogi'!J17</f>
        <v>0</v>
      </c>
      <c r="H24" s="1221">
        <f>+'Tab. 6A -Drogi'!K17</f>
        <v>0</v>
      </c>
      <c r="I24" s="1221">
        <f>+'Tab. 6A -Drogi'!L17</f>
        <v>0</v>
      </c>
      <c r="J24" s="2427">
        <f t="shared" si="7"/>
        <v>11379681</v>
      </c>
      <c r="K24" s="2104">
        <f t="shared" si="9"/>
        <v>0</v>
      </c>
      <c r="L24" s="2440">
        <f t="shared" si="9"/>
        <v>0</v>
      </c>
      <c r="M24" s="491"/>
      <c r="N24" s="507">
        <f t="shared" si="2"/>
        <v>11379681</v>
      </c>
      <c r="O24" s="508">
        <f t="shared" si="3"/>
        <v>0</v>
      </c>
    </row>
    <row r="25" spans="1:15" s="509" customFormat="1" ht="15.75" customHeight="1">
      <c r="A25" s="510" t="s">
        <v>32</v>
      </c>
      <c r="B25" s="1224">
        <f>'Tab. 6E - Administracja'!E17</f>
        <v>391116</v>
      </c>
      <c r="C25" s="1224">
        <f>'Tab. 6E - Administracja'!F17</f>
        <v>372609</v>
      </c>
      <c r="D25" s="1224">
        <f>'Tab. 6E - Administracja'!G17</f>
        <v>484084</v>
      </c>
      <c r="E25" s="1224">
        <f>'Tab. 6E - Administracja'!H17</f>
        <v>89101</v>
      </c>
      <c r="F25" s="1224">
        <f>'Tab. 6E - Administracja'!I17</f>
        <v>77465</v>
      </c>
      <c r="G25" s="1224">
        <f>'Tab. 6E - Administracja'!J17</f>
        <v>64019</v>
      </c>
      <c r="H25" s="1224">
        <f>'Tab. 6E - Administracja'!K17</f>
        <v>64018</v>
      </c>
      <c r="I25" s="1224">
        <f>'Tab. 6E - Administracja'!L17</f>
        <v>64018</v>
      </c>
      <c r="J25" s="2426">
        <f t="shared" si="7"/>
        <v>1606430</v>
      </c>
      <c r="K25" s="2103" t="s">
        <v>61</v>
      </c>
      <c r="L25" s="2441" t="s">
        <v>61</v>
      </c>
      <c r="M25" s="491"/>
      <c r="N25" s="507">
        <f t="shared" si="2"/>
        <v>1606430</v>
      </c>
      <c r="O25" s="508">
        <f t="shared" si="3"/>
        <v>0</v>
      </c>
    </row>
    <row r="26" spans="1:15" s="509" customFormat="1" ht="17.25" customHeight="1">
      <c r="A26" s="503" t="s">
        <v>18</v>
      </c>
      <c r="B26" s="504">
        <f t="shared" ref="B26:C26" si="10">SUM(B27:B31)</f>
        <v>203623750</v>
      </c>
      <c r="C26" s="504">
        <f t="shared" si="10"/>
        <v>247012507</v>
      </c>
      <c r="D26" s="504">
        <f t="shared" ref="D26:J26" si="11">SUM(D27:D31)</f>
        <v>479271532</v>
      </c>
      <c r="E26" s="504">
        <f t="shared" si="11"/>
        <v>125146515</v>
      </c>
      <c r="F26" s="504">
        <f t="shared" si="11"/>
        <v>60269674</v>
      </c>
      <c r="G26" s="504">
        <f t="shared" si="11"/>
        <v>31775135</v>
      </c>
      <c r="H26" s="504">
        <f t="shared" si="11"/>
        <v>31652879</v>
      </c>
      <c r="I26" s="504">
        <f t="shared" si="11"/>
        <v>30209197</v>
      </c>
      <c r="J26" s="2428">
        <f t="shared" si="11"/>
        <v>1208961189</v>
      </c>
      <c r="K26" s="2445">
        <f>SUM(K29:K31)</f>
        <v>1005337439</v>
      </c>
      <c r="L26" s="2442">
        <f>SUM(L29:L31)</f>
        <v>758324932</v>
      </c>
      <c r="M26" s="491"/>
      <c r="N26" s="507">
        <f t="shared" si="2"/>
        <v>1208961189</v>
      </c>
      <c r="O26" s="508">
        <f t="shared" si="3"/>
        <v>0</v>
      </c>
    </row>
    <row r="27" spans="1:15" s="509" customFormat="1" ht="15.75" hidden="1" customHeight="1">
      <c r="A27" s="1218" t="s">
        <v>12</v>
      </c>
      <c r="B27" s="1219">
        <f>+'Tab. 6G - Roln i ochrona środ.'!E17</f>
        <v>0</v>
      </c>
      <c r="C27" s="1219">
        <f>+'Tab. 6G - Roln i ochrona środ.'!F17</f>
        <v>0</v>
      </c>
      <c r="D27" s="1219">
        <f>+'Tab. 6G - Roln i ochrona środ.'!G17</f>
        <v>0</v>
      </c>
      <c r="E27" s="1219">
        <f>+'Tab. 6G - Roln i ochrona środ.'!H17</f>
        <v>0</v>
      </c>
      <c r="F27" s="1219">
        <f>+'Tab. 6G - Roln i ochrona środ.'!I17</f>
        <v>0</v>
      </c>
      <c r="G27" s="1219">
        <f>+'Tab. 6G - Roln i ochrona środ.'!J17</f>
        <v>0</v>
      </c>
      <c r="H27" s="1219">
        <f>+'Tab. 6G - Roln i ochrona środ.'!K17</f>
        <v>0</v>
      </c>
      <c r="I27" s="1219">
        <f>+'Tab. 6G - Roln i ochrona środ.'!L17</f>
        <v>0</v>
      </c>
      <c r="J27" s="2426">
        <f>B27+C27+D27+E27+F27+G27+H27+I27</f>
        <v>0</v>
      </c>
      <c r="K27" s="1206">
        <f>SUM(B27:H27)</f>
        <v>0</v>
      </c>
      <c r="L27" s="2439">
        <f>SUM(C27:I27)</f>
        <v>0</v>
      </c>
      <c r="M27" s="491"/>
      <c r="N27" s="507">
        <f t="shared" si="2"/>
        <v>0</v>
      </c>
      <c r="O27" s="508">
        <f t="shared" si="3"/>
        <v>0</v>
      </c>
    </row>
    <row r="28" spans="1:15" s="509" customFormat="1" ht="13.5" hidden="1" customHeight="1">
      <c r="A28" s="1218" t="s">
        <v>19</v>
      </c>
      <c r="B28" s="1219">
        <f>+'Tab. 6A -Drogi'!E21</f>
        <v>0</v>
      </c>
      <c r="C28" s="1219">
        <f>+'Tab. 6A -Drogi'!F21</f>
        <v>0</v>
      </c>
      <c r="D28" s="1219">
        <f>+'Tab. 6A -Drogi'!G21</f>
        <v>0</v>
      </c>
      <c r="E28" s="1219">
        <f>+'Tab. 6A -Drogi'!H21</f>
        <v>0</v>
      </c>
      <c r="F28" s="1219">
        <f>+'Tab. 6A -Drogi'!I21</f>
        <v>0</v>
      </c>
      <c r="G28" s="1219">
        <f>+'Tab. 6A -Drogi'!J21</f>
        <v>0</v>
      </c>
      <c r="H28" s="1219">
        <f>+'Tab. 6A -Drogi'!K21</f>
        <v>0</v>
      </c>
      <c r="I28" s="1219">
        <f>+'Tab. 6A -Drogi'!L21</f>
        <v>0</v>
      </c>
      <c r="J28" s="2426">
        <f>B28+C28+D28+E28+F28+G28+H28+I28</f>
        <v>0</v>
      </c>
      <c r="K28" s="1206">
        <f>SUM(B28:H28)</f>
        <v>0</v>
      </c>
      <c r="L28" s="2439">
        <f>SUM(C28:I28)</f>
        <v>0</v>
      </c>
      <c r="M28" s="491"/>
      <c r="N28" s="507">
        <f t="shared" si="2"/>
        <v>0</v>
      </c>
      <c r="O28" s="508">
        <f t="shared" si="3"/>
        <v>0</v>
      </c>
    </row>
    <row r="29" spans="1:15" s="509" customFormat="1" ht="14.25" customHeight="1">
      <c r="A29" s="510" t="s">
        <v>20</v>
      </c>
      <c r="B29" s="1219">
        <f>+'Tab. 6D - Oświata'!E17+'Tab. 6A -Drogi'!E19+'Tab. 6G - Roln i ochrona środ.'!E20+'Tab.6I - Planow. przestrz.'!E17+'Tab. 6B Polit społ i rozwój prz'!E15</f>
        <v>7873856</v>
      </c>
      <c r="C29" s="1219">
        <f>+'Tab. 6D - Oświata'!F17+'Tab. 6A -Drogi'!F19+'Tab. 6G - Roln i ochrona środ.'!F20+'Tab.6I - Planow. przestrz.'!F17+'Tab. 6B Polit społ i rozwój prz'!F15</f>
        <v>8011183</v>
      </c>
      <c r="D29" s="1219">
        <f>+'Tab. 6D - Oświata'!G17+'Tab. 6A -Drogi'!G19+'Tab. 6G - Roln i ochrona środ.'!G20+'Tab.6I - Planow. przestrz.'!G17+'Tab. 6B Polit społ i rozwój prz'!G15</f>
        <v>22432642</v>
      </c>
      <c r="E29" s="1219">
        <f>+'Tab. 6D - Oświata'!H17+'Tab. 6A -Drogi'!H19+'Tab. 6G - Roln i ochrona środ.'!H20+'Tab.6I - Planow. przestrz.'!H17+'Tab. 6B Polit społ i rozwój prz'!H15</f>
        <v>7969850</v>
      </c>
      <c r="F29" s="1219">
        <f>+'Tab. 6D - Oświata'!I17+'Tab. 6A -Drogi'!I19+'Tab. 6G - Roln i ochrona środ.'!I20+'Tab.6I - Planow. przestrz.'!I17+'Tab. 6B Polit społ i rozwój prz'!I15</f>
        <v>183492</v>
      </c>
      <c r="G29" s="1219">
        <f>+'Tab. 6D - Oświata'!J17+'Tab. 6A -Drogi'!J19+'Tab. 6G - Roln i ochrona środ.'!J20+'Tab.6I - Planow. przestrz.'!J17+'Tab. 6B Polit społ i rozwój prz'!J15</f>
        <v>0</v>
      </c>
      <c r="H29" s="1219">
        <f>+'Tab. 6D - Oświata'!K17+'Tab. 6A -Drogi'!K19+'Tab. 6G - Roln i ochrona środ.'!K20+'Tab.6I - Planow. przestrz.'!K17+'Tab. 6B Polit społ i rozwój prz'!K15</f>
        <v>0</v>
      </c>
      <c r="I29" s="1219">
        <f>+'Tab. 6D - Oświata'!L17+'Tab. 6A -Drogi'!L19+'Tab. 6G - Roln i ochrona środ.'!L20+'Tab.6I - Planow. przestrz.'!L17+'Tab. 6B Polit społ i rozwój prz'!L15</f>
        <v>0</v>
      </c>
      <c r="J29" s="2426">
        <f>B29+C29+D29+E29+F29+G29+H29+I29</f>
        <v>46471023</v>
      </c>
      <c r="K29" s="1206">
        <f t="shared" ref="K29:K31" si="12">SUM(C29:I29)</f>
        <v>38597167</v>
      </c>
      <c r="L29" s="2439">
        <f t="shared" ref="L29:L31" si="13">SUM(D29:I29)</f>
        <v>30585984</v>
      </c>
      <c r="M29" s="491"/>
      <c r="N29" s="507">
        <f t="shared" si="2"/>
        <v>46471023</v>
      </c>
      <c r="O29" s="508">
        <f t="shared" si="3"/>
        <v>0</v>
      </c>
    </row>
    <row r="30" spans="1:15" s="509" customFormat="1" ht="14.25" hidden="1" customHeight="1">
      <c r="A30" s="510" t="s">
        <v>14</v>
      </c>
      <c r="B30" s="253">
        <f>+'Tab. 6G - Roln i ochrona środ.'!E19</f>
        <v>0</v>
      </c>
      <c r="C30" s="253">
        <f>+'Tab. 6G - Roln i ochrona środ.'!F19</f>
        <v>0</v>
      </c>
      <c r="D30" s="253">
        <f>+'Tab. 6G - Roln i ochrona środ.'!G19</f>
        <v>0</v>
      </c>
      <c r="E30" s="253">
        <f>+'Tab. 6G - Roln i ochrona środ.'!H19</f>
        <v>0</v>
      </c>
      <c r="F30" s="253">
        <f>+'Tab. 6G - Roln i ochrona środ.'!I19</f>
        <v>0</v>
      </c>
      <c r="G30" s="253">
        <f>+'Tab. 6G - Roln i ochrona środ.'!J19</f>
        <v>0</v>
      </c>
      <c r="H30" s="253">
        <f>+'Tab. 6G - Roln i ochrona środ.'!K19</f>
        <v>0</v>
      </c>
      <c r="I30" s="253">
        <f>+'Tab. 6G - Roln i ochrona środ.'!L19</f>
        <v>0</v>
      </c>
      <c r="J30" s="2426">
        <f>B30+C30+D30+E30+F30+G30+H30+I30</f>
        <v>0</v>
      </c>
      <c r="K30" s="1206">
        <f t="shared" si="12"/>
        <v>0</v>
      </c>
      <c r="L30" s="2439">
        <f t="shared" si="13"/>
        <v>0</v>
      </c>
      <c r="M30" s="491"/>
      <c r="N30" s="507">
        <f t="shared" si="2"/>
        <v>0</v>
      </c>
      <c r="O30" s="508">
        <f t="shared" si="3"/>
        <v>0</v>
      </c>
    </row>
    <row r="31" spans="1:15" s="509" customFormat="1" ht="14.25" customHeight="1">
      <c r="A31" s="510" t="s">
        <v>21</v>
      </c>
      <c r="B31" s="253">
        <f>+'Tab. 6B Polit społ i rozwój prz'!E16+'Tab. 6A -Drogi'!E20+'Tab. 6E - Administracja'!E19+'Tab. 6G - Roln i ochrona środ.'!E18+'Tab. 6H - Kultura fiz. i turyst'!E16+'Tab.6I - Planow. przestrz.'!E16</f>
        <v>195749894</v>
      </c>
      <c r="C31" s="253">
        <f>+'Tab. 6B Polit społ i rozwój prz'!F16+'Tab. 6A -Drogi'!F20+'Tab. 6E - Administracja'!F19+'Tab. 6G - Roln i ochrona środ.'!F18+'Tab. 6H - Kultura fiz. i turyst'!F16+'Tab.6I - Planow. przestrz.'!F16</f>
        <v>239001324</v>
      </c>
      <c r="D31" s="253">
        <f>+'Tab. 6B Polit społ i rozwój prz'!G16+'Tab. 6A -Drogi'!G20+'Tab. 6E - Administracja'!G19+'Tab. 6G - Roln i ochrona środ.'!G18+'Tab. 6H - Kultura fiz. i turyst'!G16+'Tab.6I - Planow. przestrz.'!G16</f>
        <v>456838890</v>
      </c>
      <c r="E31" s="253">
        <f>+'Tab. 6B Polit społ i rozwój prz'!H16+'Tab. 6A -Drogi'!H20+'Tab. 6E - Administracja'!H19+'Tab. 6G - Roln i ochrona środ.'!H18+'Tab. 6H - Kultura fiz. i turyst'!H16+'Tab.6I - Planow. przestrz.'!H16</f>
        <v>117176665</v>
      </c>
      <c r="F31" s="253">
        <f>+'Tab. 6B Polit społ i rozwój prz'!I16+'Tab. 6A -Drogi'!I20+'Tab. 6E - Administracja'!I19+'Tab. 6G - Roln i ochrona środ.'!I18+'Tab. 6H - Kultura fiz. i turyst'!I16+'Tab.6I - Planow. przestrz.'!I16</f>
        <v>60086182</v>
      </c>
      <c r="G31" s="253">
        <f>+'Tab. 6B Polit społ i rozwój prz'!J16+'Tab. 6A -Drogi'!J20+'Tab. 6E - Administracja'!J19+'Tab. 6G - Roln i ochrona środ.'!J18+'Tab. 6H - Kultura fiz. i turyst'!J16+'Tab.6I - Planow. przestrz.'!J16</f>
        <v>31775135</v>
      </c>
      <c r="H31" s="253">
        <f>+'Tab. 6B Polit społ i rozwój prz'!K16+'Tab. 6A -Drogi'!K20+'Tab. 6E - Administracja'!K19+'Tab. 6G - Roln i ochrona środ.'!K18+'Tab. 6H - Kultura fiz. i turyst'!K16+'Tab.6I - Planow. przestrz.'!K16</f>
        <v>31652879</v>
      </c>
      <c r="I31" s="253">
        <f>+'Tab. 6B Polit społ i rozwój prz'!L16+'Tab. 6A -Drogi'!L20+'Tab. 6E - Administracja'!L19+'Tab. 6G - Roln i ochrona środ.'!L18+'Tab. 6H - Kultura fiz. i turyst'!L16+'Tab.6I - Planow. przestrz.'!L16</f>
        <v>30209197</v>
      </c>
      <c r="J31" s="2426">
        <f>B31+C31+D31+E31+F31+G31+H31+I31</f>
        <v>1162490166</v>
      </c>
      <c r="K31" s="1206">
        <f t="shared" si="12"/>
        <v>966740272</v>
      </c>
      <c r="L31" s="2439">
        <f t="shared" si="13"/>
        <v>727738948</v>
      </c>
      <c r="M31" s="491"/>
      <c r="N31" s="507">
        <f t="shared" si="2"/>
        <v>1162490166</v>
      </c>
      <c r="O31" s="1202">
        <f t="shared" si="3"/>
        <v>0</v>
      </c>
    </row>
    <row r="32" spans="1:15" s="1227" customFormat="1" ht="15.75" customHeight="1">
      <c r="A32" s="1901" t="s">
        <v>22</v>
      </c>
      <c r="B32" s="1902">
        <f>+B33+B41</f>
        <v>216664228</v>
      </c>
      <c r="C32" s="1902">
        <f t="shared" ref="C32:D32" si="14">+C33+C41</f>
        <v>236252462</v>
      </c>
      <c r="D32" s="1902">
        <f t="shared" si="14"/>
        <v>493026533</v>
      </c>
      <c r="E32" s="1902">
        <f t="shared" ref="E32:I32" si="15">+E33+E41</f>
        <v>146565356</v>
      </c>
      <c r="F32" s="1902">
        <f t="shared" si="15"/>
        <v>64846653</v>
      </c>
      <c r="G32" s="1902">
        <f t="shared" si="15"/>
        <v>34535407</v>
      </c>
      <c r="H32" s="1902">
        <f t="shared" si="15"/>
        <v>32088890</v>
      </c>
      <c r="I32" s="1902">
        <f t="shared" si="15"/>
        <v>31064939</v>
      </c>
      <c r="J32" s="2429">
        <f>+J33+J41</f>
        <v>1260084212</v>
      </c>
      <c r="K32" s="2834" t="s">
        <v>23</v>
      </c>
      <c r="L32" s="2841" t="s">
        <v>23</v>
      </c>
      <c r="M32" s="491"/>
    </row>
    <row r="33" spans="1:15" s="509" customFormat="1" ht="17.25" customHeight="1">
      <c r="A33" s="503" t="s">
        <v>24</v>
      </c>
      <c r="B33" s="1903">
        <f>SUM(B34:B40)</f>
        <v>26511167</v>
      </c>
      <c r="C33" s="1903">
        <f>SUM(C34:C40)</f>
        <v>7611823</v>
      </c>
      <c r="D33" s="1903">
        <f>SUM(D34:D40)</f>
        <v>9183311</v>
      </c>
      <c r="E33" s="1903">
        <f t="shared" ref="E33:I33" si="16">SUM(E34:E40)</f>
        <v>4882197</v>
      </c>
      <c r="F33" s="1903">
        <f t="shared" si="16"/>
        <v>1243362</v>
      </c>
      <c r="G33" s="1903">
        <f t="shared" si="16"/>
        <v>611380</v>
      </c>
      <c r="H33" s="1903">
        <f t="shared" si="16"/>
        <v>585076</v>
      </c>
      <c r="I33" s="1903">
        <f t="shared" si="16"/>
        <v>494707</v>
      </c>
      <c r="J33" s="2430">
        <f>SUM(J34:J40)</f>
        <v>51123023</v>
      </c>
      <c r="K33" s="2835"/>
      <c r="L33" s="2842"/>
      <c r="M33" s="506" t="s">
        <v>216</v>
      </c>
    </row>
    <row r="34" spans="1:15" s="509" customFormat="1" ht="14.25" customHeight="1">
      <c r="A34" s="1668" t="s">
        <v>13</v>
      </c>
      <c r="B34" s="1021">
        <f>+'Tab. 6B Polit społ i rozwój prz'!E19+'Tab. 6A -Drogi'!E24+'Tab. 6E - Administracja'!E22+'Tab. 6G - Roln i ochrona środ.'!E23</f>
        <v>2580761</v>
      </c>
      <c r="C34" s="1021">
        <f>+'Tab. 6B Polit społ i rozwój prz'!F19+'Tab. 6A -Drogi'!F24+'Tab. 6E - Administracja'!F22+'Tab. 6G - Roln i ochrona środ.'!F23+'Tab.6I - Planow. przestrz.'!F20</f>
        <v>1910856</v>
      </c>
      <c r="D34" s="1021">
        <f>+'Tab. 6B Polit społ i rozwój prz'!G19+'Tab. 6A -Drogi'!G24+'Tab. 6E - Administracja'!G22+'Tab. 6G - Roln i ochrona środ.'!G23+'Tab.6I - Planow. przestrz.'!G20</f>
        <v>2988730</v>
      </c>
      <c r="E34" s="1021">
        <f>+'Tab. 6B Polit społ i rozwój prz'!H19+'Tab. 6A -Drogi'!H24+'Tab. 6E - Administracja'!H22+'Tab. 6G - Roln i ochrona środ.'!H23+'Tab.6I - Planow. przestrz.'!H20</f>
        <v>1178197</v>
      </c>
      <c r="F34" s="1021">
        <f>+'Tab. 6B Polit społ i rozwój prz'!I19+'Tab. 6A -Drogi'!I24+'Tab. 6E - Administracja'!I22+'Tab. 6G - Roln i ochrona środ.'!I23+'Tab.6I - Planow. przestrz.'!I20</f>
        <v>1243362</v>
      </c>
      <c r="G34" s="1021">
        <f>+'Tab. 6B Polit społ i rozwój prz'!J19+'Tab. 6A -Drogi'!J24+'Tab. 6E - Administracja'!J22+'Tab. 6G - Roln i ochrona środ.'!J23+'Tab.6I - Planow. przestrz.'!J20</f>
        <v>611380</v>
      </c>
      <c r="H34" s="1021">
        <f>+'Tab. 6B Polit społ i rozwój prz'!K19+'Tab. 6A -Drogi'!K24+'Tab. 6E - Administracja'!K22+'Tab. 6G - Roln i ochrona środ.'!K23+'Tab.6I - Planow. przestrz.'!K20</f>
        <v>585076</v>
      </c>
      <c r="I34" s="1021">
        <f>+'Tab. 6B Polit społ i rozwój prz'!L19+'Tab. 6A -Drogi'!L24+'Tab. 6E - Administracja'!L22+'Tab. 6G - Roln i ochrona środ.'!L23+'Tab.6I - Planow. przestrz.'!L20</f>
        <v>494707</v>
      </c>
      <c r="J34" s="2426">
        <f t="shared" ref="J34:J40" si="17">B34+C34+D34+E34+F34+G34+H34+I34</f>
        <v>11593069</v>
      </c>
      <c r="K34" s="2835"/>
      <c r="L34" s="2842"/>
      <c r="M34" s="506"/>
    </row>
    <row r="35" spans="1:15" s="509" customFormat="1" hidden="1">
      <c r="A35" s="1668" t="s">
        <v>25</v>
      </c>
      <c r="B35" s="1021"/>
      <c r="C35" s="1021">
        <v>0</v>
      </c>
      <c r="D35" s="1021">
        <v>0</v>
      </c>
      <c r="E35" s="1021">
        <v>0</v>
      </c>
      <c r="F35" s="1021">
        <v>0</v>
      </c>
      <c r="G35" s="1021">
        <v>0</v>
      </c>
      <c r="H35" s="1228">
        <f>+'Tab. 6G - Roln i ochrona środ.'!K26</f>
        <v>0</v>
      </c>
      <c r="I35" s="1228">
        <f>+'Tab. 6G - Roln i ochrona środ.'!L26</f>
        <v>0</v>
      </c>
      <c r="J35" s="2426">
        <f t="shared" si="17"/>
        <v>0</v>
      </c>
      <c r="K35" s="2835"/>
      <c r="L35" s="2842"/>
      <c r="M35" s="506"/>
    </row>
    <row r="36" spans="1:15" s="509" customFormat="1" ht="14.25" hidden="1" customHeight="1">
      <c r="A36" s="1668" t="s">
        <v>14</v>
      </c>
      <c r="B36" s="1021">
        <f>+'Tab. 6G - Roln i ochrona środ.'!E24</f>
        <v>0</v>
      </c>
      <c r="C36" s="1021">
        <f>+'Tab. 6G - Roln i ochrona środ.'!F24</f>
        <v>0</v>
      </c>
      <c r="D36" s="1021">
        <f>+'Tab. 6G - Roln i ochrona środ.'!G24</f>
        <v>0</v>
      </c>
      <c r="E36" s="1021">
        <f>+'Tab. 6G - Roln i ochrona środ.'!H24</f>
        <v>0</v>
      </c>
      <c r="F36" s="1021">
        <f>+'Tab. 6G - Roln i ochrona środ.'!I24</f>
        <v>0</v>
      </c>
      <c r="G36" s="1021">
        <f>+'Tab. 6G - Roln i ochrona środ.'!J24</f>
        <v>0</v>
      </c>
      <c r="H36" s="1021">
        <f>+'Tab. 6G - Roln i ochrona środ.'!K24</f>
        <v>0</v>
      </c>
      <c r="I36" s="1021">
        <f>+'Tab. 6G - Roln i ochrona środ.'!L24</f>
        <v>0</v>
      </c>
      <c r="J36" s="2426">
        <f t="shared" si="17"/>
        <v>0</v>
      </c>
      <c r="K36" s="2835"/>
      <c r="L36" s="2842"/>
      <c r="M36" s="506">
        <f>J36-J20</f>
        <v>0</v>
      </c>
    </row>
    <row r="37" spans="1:15" s="509" customFormat="1" ht="14.25" customHeight="1">
      <c r="A37" s="1668" t="s">
        <v>15</v>
      </c>
      <c r="B37" s="1219">
        <f>+'Tab. 6A -Drogi'!E25+'Tab. 6H - Kultura fiz. i turyst'!E21</f>
        <v>10354695</v>
      </c>
      <c r="C37" s="1219">
        <f>+'Tab. 6A -Drogi'!F25+'Tab. 6H - Kultura fiz. i turyst'!F21</f>
        <v>2376842</v>
      </c>
      <c r="D37" s="1219">
        <f>+'Tab. 6A -Drogi'!G25+'Tab. 6H - Kultura fiz. i turyst'!G21</f>
        <v>5076165</v>
      </c>
      <c r="E37" s="2113">
        <f>+'Tab. 6A -Drogi'!H25+'Tab. 6H - Kultura fiz. i turyst'!H21</f>
        <v>0</v>
      </c>
      <c r="F37" s="2113">
        <f>+'Tab. 6A -Drogi'!I25+'Tab. 6H - Kultura fiz. i turyst'!I21</f>
        <v>0</v>
      </c>
      <c r="G37" s="2113">
        <f>+'Tab. 6A -Drogi'!J25+'Tab. 6H - Kultura fiz. i turyst'!J21</f>
        <v>0</v>
      </c>
      <c r="H37" s="2113">
        <f>+'Tab. 6A -Drogi'!K25+'Tab. 6H - Kultura fiz. i turyst'!K21</f>
        <v>0</v>
      </c>
      <c r="I37" s="2113">
        <f>+'Tab. 6A -Drogi'!L25+'Tab. 6G - Roln i ochrona środ.'!L24+'Tab. 6E - Administracja'!L22+'Tab. 6H - Kultura fiz. i turyst'!L19</f>
        <v>0</v>
      </c>
      <c r="J37" s="2426">
        <f t="shared" si="17"/>
        <v>17807702</v>
      </c>
      <c r="K37" s="2835"/>
      <c r="L37" s="2842"/>
      <c r="M37" s="506">
        <f>J37-J21</f>
        <v>0</v>
      </c>
      <c r="N37" s="1229"/>
    </row>
    <row r="38" spans="1:15" s="509" customFormat="1">
      <c r="A38" s="1668" t="s">
        <v>16</v>
      </c>
      <c r="B38" s="1904">
        <f>+'Tab. 6A -Drogi'!E26+'Tab. 6G - Roln i ochrona środ.'!E25+'Tab. 6E - Administracja'!E23+'Tab. 6H - Kultura fiz. i turyst'!E20</f>
        <v>2196030</v>
      </c>
      <c r="C38" s="1904">
        <f>+'Tab. 6A -Drogi'!F26+'Tab. 6G - Roln i ochrona środ.'!F25+'Tab. 6E - Administracja'!F23+'Tab. 6H - Kultura fiz. i turyst'!F20</f>
        <v>3324125</v>
      </c>
      <c r="D38" s="1904">
        <f>+'Tab. 6A -Drogi'!G26+'Tab. 6G - Roln i ochrona środ.'!G25+'Tab. 6E - Administracja'!G23+'Tab. 6H - Kultura fiz. i turyst'!G20</f>
        <v>1118416</v>
      </c>
      <c r="E38" s="1904">
        <f>+'Tab. 6A -Drogi'!H26+'Tab. 6G - Roln i ochrona środ.'!H25+'Tab. 6E - Administracja'!H23+'Tab. 6H - Kultura fiz. i turyst'!H20</f>
        <v>3704000</v>
      </c>
      <c r="F38" s="2113">
        <f>+'Tab. 6A -Drogi'!I26+'Tab. 6G - Roln i ochrona środ.'!I25+'Tab. 6E - Administracja'!I23+'Tab. 6H - Kultura fiz. i turyst'!I20</f>
        <v>0</v>
      </c>
      <c r="G38" s="2113">
        <f>+'Tab. 6A -Drogi'!J26+'Tab. 6G - Roln i ochrona środ.'!J25+'Tab. 6E - Administracja'!J23+'Tab. 6H - Kultura fiz. i turyst'!J20</f>
        <v>0</v>
      </c>
      <c r="H38" s="2113">
        <f>+'Tab. 6A -Drogi'!K26+'Tab. 6G - Roln i ochrona środ.'!K25+'Tab. 6E - Administracja'!K23+'Tab. 6H - Kultura fiz. i turyst'!K20</f>
        <v>0</v>
      </c>
      <c r="I38" s="2113">
        <f>+'Tab. 6A -Drogi'!L26+'Tab. 6G - Roln i ochrona środ.'!L25+'Tab. 6E - Administracja'!L23+'Tab. 6H - Kultura fiz. i turyst'!L20</f>
        <v>0</v>
      </c>
      <c r="J38" s="2426">
        <f t="shared" si="17"/>
        <v>10342571</v>
      </c>
      <c r="K38" s="2835"/>
      <c r="L38" s="2842"/>
      <c r="M38" s="506">
        <f>J38-J22</f>
        <v>0</v>
      </c>
    </row>
    <row r="39" spans="1:15" s="509" customFormat="1" ht="15" hidden="1" customHeight="1">
      <c r="A39" s="1668" t="s">
        <v>17</v>
      </c>
      <c r="B39" s="1219">
        <f>+'Tab. 6A -Drogi'!E27</f>
        <v>11379681</v>
      </c>
      <c r="C39" s="1220">
        <f>+'Tab. 6A -Drogi'!F27</f>
        <v>0</v>
      </c>
      <c r="D39" s="1220">
        <f>+'Tab. 6A -Drogi'!G27</f>
        <v>0</v>
      </c>
      <c r="E39" s="1220">
        <f>+'Tab. 6A -Drogi'!H27</f>
        <v>0</v>
      </c>
      <c r="F39" s="1220">
        <f>+'Tab. 6A -Drogi'!I27</f>
        <v>0</v>
      </c>
      <c r="G39" s="1220">
        <f>+'Tab. 6A -Drogi'!J27</f>
        <v>0</v>
      </c>
      <c r="H39" s="1220">
        <f>+'Tab. 6A -Drogi'!K27</f>
        <v>0</v>
      </c>
      <c r="I39" s="1220">
        <f>+'Tab. 6A -Drogi'!L27</f>
        <v>0</v>
      </c>
      <c r="J39" s="2426">
        <f t="shared" si="17"/>
        <v>11379681</v>
      </c>
      <c r="K39" s="2835"/>
      <c r="L39" s="2842"/>
      <c r="M39" s="506">
        <f>J39-J24</f>
        <v>0</v>
      </c>
    </row>
    <row r="40" spans="1:15" s="509" customFormat="1" ht="25.5" hidden="1" customHeight="1">
      <c r="A40" s="1218" t="s">
        <v>26</v>
      </c>
      <c r="B40" s="1224">
        <f>+'Tab. 6A -Drogi'!E28</f>
        <v>0</v>
      </c>
      <c r="C40" s="1223">
        <f>+'Tab. 6A -Drogi'!F28</f>
        <v>0</v>
      </c>
      <c r="D40" s="1223">
        <f>+'Tab. 6A -Drogi'!G28</f>
        <v>0</v>
      </c>
      <c r="E40" s="1223">
        <f>+'Tab. 6A -Drogi'!H28</f>
        <v>0</v>
      </c>
      <c r="F40" s="1223">
        <f>+'Tab. 6A -Drogi'!I28</f>
        <v>0</v>
      </c>
      <c r="G40" s="1223">
        <f>+'Tab. 6A -Drogi'!J28</f>
        <v>0</v>
      </c>
      <c r="H40" s="1223">
        <f>+'Tab. 6A -Drogi'!K28</f>
        <v>0</v>
      </c>
      <c r="I40" s="1223">
        <f>+'Tab. 6A -Drogi'!L28</f>
        <v>0</v>
      </c>
      <c r="J40" s="2426">
        <f t="shared" si="17"/>
        <v>0</v>
      </c>
      <c r="K40" s="2835"/>
      <c r="L40" s="2842"/>
      <c r="M40" s="506"/>
    </row>
    <row r="41" spans="1:15" s="509" customFormat="1" ht="16.5" customHeight="1">
      <c r="A41" s="503" t="s">
        <v>18</v>
      </c>
      <c r="B41" s="1905">
        <f t="shared" ref="B41:C41" si="18">SUM(B42:B46)</f>
        <v>190153061</v>
      </c>
      <c r="C41" s="1905">
        <f t="shared" si="18"/>
        <v>228640639</v>
      </c>
      <c r="D41" s="1905">
        <f t="shared" ref="D41:I41" si="19">SUM(D42:D46)</f>
        <v>483843222</v>
      </c>
      <c r="E41" s="1905">
        <f t="shared" si="19"/>
        <v>141683159</v>
      </c>
      <c r="F41" s="1905">
        <f t="shared" si="19"/>
        <v>63603291</v>
      </c>
      <c r="G41" s="1905">
        <f t="shared" si="19"/>
        <v>33924027</v>
      </c>
      <c r="H41" s="1905">
        <f t="shared" si="19"/>
        <v>31503814</v>
      </c>
      <c r="I41" s="1905">
        <f t="shared" si="19"/>
        <v>30570232</v>
      </c>
      <c r="J41" s="2430">
        <f>SUM(J42:J46)</f>
        <v>1208961189</v>
      </c>
      <c r="K41" s="2835"/>
      <c r="L41" s="2842"/>
      <c r="M41" s="506"/>
    </row>
    <row r="42" spans="1:15" s="509" customFormat="1" ht="15.75" hidden="1" customHeight="1">
      <c r="A42" s="1906" t="s">
        <v>17</v>
      </c>
      <c r="B42" s="1230"/>
      <c r="C42" s="1219"/>
      <c r="D42" s="1219"/>
      <c r="E42" s="1219"/>
      <c r="F42" s="1219"/>
      <c r="G42" s="1219"/>
      <c r="H42" s="1219"/>
      <c r="I42" s="1219"/>
      <c r="J42" s="2426">
        <f>B42+C42+D42+E42+F42+G42+H42+I42</f>
        <v>0</v>
      </c>
      <c r="K42" s="2835"/>
      <c r="L42" s="2842"/>
      <c r="M42" s="506"/>
    </row>
    <row r="43" spans="1:15" s="509" customFormat="1" ht="14.25" hidden="1" customHeight="1">
      <c r="A43" s="1668" t="s">
        <v>19</v>
      </c>
      <c r="B43" s="1219">
        <f>+'Tab. 6A -Drogi'!E33</f>
        <v>0</v>
      </c>
      <c r="C43" s="1219">
        <f>+'Tab. 6A -Drogi'!F33</f>
        <v>0</v>
      </c>
      <c r="D43" s="1219">
        <f>+'Tab. 6A -Drogi'!G33</f>
        <v>0</v>
      </c>
      <c r="E43" s="1219">
        <f>+'Tab. 6A -Drogi'!H33</f>
        <v>0</v>
      </c>
      <c r="F43" s="1219">
        <f>+'Tab. 6A -Drogi'!I33</f>
        <v>0</v>
      </c>
      <c r="G43" s="1219">
        <f>+'Tab. 6A -Drogi'!J33</f>
        <v>0</v>
      </c>
      <c r="H43" s="1219">
        <f>+'Tab. 6A -Drogi'!K33</f>
        <v>0</v>
      </c>
      <c r="I43" s="1219">
        <f>+'Tab. 6A -Drogi'!L33</f>
        <v>0</v>
      </c>
      <c r="J43" s="2426">
        <f>B43+C43+D43+E43+F43+G43+H43+I43</f>
        <v>0</v>
      </c>
      <c r="K43" s="2835"/>
      <c r="L43" s="2842"/>
      <c r="M43" s="506">
        <f>J43-J28</f>
        <v>0</v>
      </c>
    </row>
    <row r="44" spans="1:15" s="509" customFormat="1" ht="15.75" hidden="1" customHeight="1">
      <c r="A44" s="1668" t="s">
        <v>14</v>
      </c>
      <c r="B44" s="1219">
        <f>+'Tab. 6G - Roln i ochrona środ.'!E30</f>
        <v>0</v>
      </c>
      <c r="C44" s="1219">
        <f>+'Tab. 6G - Roln i ochrona środ.'!F30</f>
        <v>0</v>
      </c>
      <c r="D44" s="1219">
        <f>+'Tab. 6G - Roln i ochrona środ.'!G30</f>
        <v>0</v>
      </c>
      <c r="E44" s="1219">
        <f>+'Tab. 6G - Roln i ochrona środ.'!H30</f>
        <v>0</v>
      </c>
      <c r="F44" s="1219">
        <f>+'Tab. 6G - Roln i ochrona środ.'!I30</f>
        <v>0</v>
      </c>
      <c r="G44" s="1219">
        <f>+'Tab. 6G - Roln i ochrona środ.'!J30</f>
        <v>0</v>
      </c>
      <c r="H44" s="1219">
        <f>+'Tab. 6G - Roln i ochrona środ.'!K30</f>
        <v>0</v>
      </c>
      <c r="I44" s="1219">
        <f>+'Tab. 6G - Roln i ochrona środ.'!L30</f>
        <v>0</v>
      </c>
      <c r="J44" s="2426">
        <f>B44+C44+D44+E44+F44+G44+H44+I44</f>
        <v>0</v>
      </c>
      <c r="K44" s="2835"/>
      <c r="L44" s="2842"/>
      <c r="M44" s="506">
        <f>J44-J30</f>
        <v>0</v>
      </c>
    </row>
    <row r="45" spans="1:15" s="509" customFormat="1" ht="14.25" customHeight="1">
      <c r="A45" s="1668" t="s">
        <v>20</v>
      </c>
      <c r="B45" s="1907">
        <f>+'Tab. 6A -Drogi'!E31+'Tab. 6G - Roln i ochrona środ.'!E31+'Tab. 6D - Oświata'!E20+'Tab.6I - Planow. przestrz.'!E23+'Tab. 6B Polit społ i rozwój prz'!E21</f>
        <v>9417736</v>
      </c>
      <c r="C45" s="1907">
        <f>+'Tab. 6A -Drogi'!F31+'Tab. 6G - Roln i ochrona środ.'!F31+'Tab. 6D - Oświata'!F20+'Tab.6I - Planow. przestrz.'!F23+'Tab. 6B Polit społ i rozwój prz'!F21</f>
        <v>622052</v>
      </c>
      <c r="D45" s="1907">
        <f>+'Tab. 6A -Drogi'!G31+'Tab. 6G - Roln i ochrona środ.'!G31+'Tab. 6D - Oświata'!G20+'Tab.6I - Planow. przestrz.'!G23+'Tab. 6B Polit społ i rozwój prz'!G21</f>
        <v>18889433</v>
      </c>
      <c r="E45" s="1907">
        <f>+'Tab. 6A -Drogi'!H31+'Tab. 6G - Roln i ochrona środ.'!H31+'Tab. 6D - Oświata'!H20+'Tab.6I - Planow. przestrz.'!H23+'Tab. 6B Polit społ i rozwój prz'!H21</f>
        <v>14156094</v>
      </c>
      <c r="F45" s="1907">
        <f>+'Tab. 6A -Drogi'!I31+'Tab. 6G - Roln i ochrona środ.'!I31+'Tab. 6D - Oświata'!I20+'Tab.6I - Planow. przestrz.'!I23+'Tab. 6B Polit społ i rozwój prz'!I21</f>
        <v>3299388</v>
      </c>
      <c r="G45" s="1907">
        <f>+'Tab. 6A -Drogi'!J31+'Tab. 6G - Roln i ochrona środ.'!J31+'Tab. 6D - Oświata'!J20+'Tab.6I - Planow. przestrz.'!J23+'Tab. 6B Polit społ i rozwój prz'!J21</f>
        <v>86320</v>
      </c>
      <c r="H45" s="1907">
        <f>+'Tab. 6A -Drogi'!K31+'Tab. 6G - Roln i ochrona środ.'!K31+'Tab. 6D - Oświata'!K20+'Tab.6I - Planow. przestrz.'!K23+'Tab. 6B Polit społ i rozwój prz'!K21</f>
        <v>0</v>
      </c>
      <c r="I45" s="1907">
        <f>+'Tab. 6A -Drogi'!L31+'Tab. 6G - Roln i ochrona środ.'!L31+'Tab. 6D - Oświata'!L20+'Tab.6I - Planow. przestrz.'!L23+'Tab. 6B Polit społ i rozwój prz'!L21</f>
        <v>0</v>
      </c>
      <c r="J45" s="2426">
        <f>B45+C45+D45+E45+F45+G45+H45+I45</f>
        <v>46471023</v>
      </c>
      <c r="K45" s="2835"/>
      <c r="L45" s="2842"/>
      <c r="M45" s="506">
        <f>J45-J29-J27</f>
        <v>0</v>
      </c>
      <c r="N45" s="1229" t="s">
        <v>399</v>
      </c>
    </row>
    <row r="46" spans="1:15" s="509" customFormat="1" ht="15.75" customHeight="1" thickBot="1">
      <c r="A46" s="1255" t="s">
        <v>21</v>
      </c>
      <c r="B46" s="1908">
        <f>+'Tab. 6B Polit społ i rozwój prz'!E22+'Tab. 6A -Drogi'!E32+'Tab. 6E - Administracja'!E25+'Tab. 6G - Roln i ochrona środ.'!E29+'Tab. 6H - Kultura fiz. i turyst'!E23+'Tab.6I - Planow. przestrz.'!E22</f>
        <v>180735325</v>
      </c>
      <c r="C46" s="1909">
        <f>+'Tab. 6B Polit społ i rozwój prz'!F22+'Tab. 6A -Drogi'!F32+'Tab. 6E - Administracja'!F25+'Tab. 6G - Roln i ochrona środ.'!F29+'Tab. 6H - Kultura fiz. i turyst'!F23+'Tab.6I - Planow. przestrz.'!F22</f>
        <v>228018587</v>
      </c>
      <c r="D46" s="1909">
        <f>+'Tab. 6B Polit społ i rozwój prz'!G22+'Tab. 6A -Drogi'!G32+'Tab. 6E - Administracja'!G25+'Tab. 6G - Roln i ochrona środ.'!G29+'Tab. 6H - Kultura fiz. i turyst'!G23+'Tab.6I - Planow. przestrz.'!G22</f>
        <v>464953789</v>
      </c>
      <c r="E46" s="1909">
        <f>+'Tab. 6B Polit społ i rozwój prz'!H22+'Tab. 6A -Drogi'!H32+'Tab. 6E - Administracja'!H25+'Tab. 6G - Roln i ochrona środ.'!H29+'Tab. 6H - Kultura fiz. i turyst'!H23+'Tab.6I - Planow. przestrz.'!H22</f>
        <v>127527065</v>
      </c>
      <c r="F46" s="1909">
        <f>+'Tab. 6B Polit społ i rozwój prz'!I22+'Tab. 6A -Drogi'!I32+'Tab. 6E - Administracja'!I25+'Tab. 6G - Roln i ochrona środ.'!I29+'Tab. 6H - Kultura fiz. i turyst'!I23+'Tab.6I - Planow. przestrz.'!I22</f>
        <v>60303903</v>
      </c>
      <c r="G46" s="1909">
        <f>+'Tab. 6B Polit społ i rozwój prz'!J22+'Tab. 6A -Drogi'!J32+'Tab. 6E - Administracja'!J25+'Tab. 6G - Roln i ochrona środ.'!J29+'Tab. 6H - Kultura fiz. i turyst'!J23+'Tab.6I - Planow. przestrz.'!J22</f>
        <v>33837707</v>
      </c>
      <c r="H46" s="1909">
        <f>+'Tab. 6B Polit społ i rozwój prz'!K22+'Tab. 6A -Drogi'!K32+'Tab. 6E - Administracja'!K25+'Tab. 6G - Roln i ochrona środ.'!K29+'Tab. 6H - Kultura fiz. i turyst'!K23+'Tab.6I - Planow. przestrz.'!K22</f>
        <v>31503814</v>
      </c>
      <c r="I46" s="1909">
        <f>+'Tab. 6B Polit społ i rozwój prz'!L22+'Tab. 6A -Drogi'!L32+'Tab. 6E - Administracja'!L25+'Tab. 6G - Roln i ochrona środ.'!L29+'Tab. 6H - Kultura fiz. i turyst'!L23+'Tab.6I - Planow. przestrz.'!L22</f>
        <v>30570232</v>
      </c>
      <c r="J46" s="2431">
        <f>B46+C46+D46+E46+F46+G46+H46+I46+5028154+11590</f>
        <v>1162490166</v>
      </c>
      <c r="K46" s="2836"/>
      <c r="L46" s="2843"/>
      <c r="M46" s="506">
        <f>J46-J31</f>
        <v>0</v>
      </c>
      <c r="N46" s="1229"/>
    </row>
    <row r="47" spans="1:15" s="509" customFormat="1" ht="21" customHeight="1" thickBot="1">
      <c r="A47" s="1209"/>
      <c r="B47" s="1210"/>
      <c r="C47" s="1210"/>
      <c r="D47" s="1210"/>
      <c r="E47" s="1210"/>
      <c r="F47" s="1210"/>
      <c r="G47" s="1210"/>
      <c r="H47" s="1210"/>
      <c r="I47" s="1210"/>
      <c r="J47" s="1210"/>
      <c r="K47" s="1234"/>
      <c r="L47" s="1234"/>
      <c r="M47" s="506"/>
    </row>
    <row r="48" spans="1:15" s="1213" customFormat="1" ht="18.75" customHeight="1" thickBot="1">
      <c r="A48" s="1235" t="s">
        <v>27</v>
      </c>
      <c r="B48" s="1236">
        <f>+B16-B25</f>
        <v>249454274.30000001</v>
      </c>
      <c r="C48" s="1236">
        <f t="shared" ref="C48:I48" si="20">+C16-C25</f>
        <v>303185636</v>
      </c>
      <c r="D48" s="1236">
        <f t="shared" si="20"/>
        <v>584664280</v>
      </c>
      <c r="E48" s="1236">
        <f t="shared" si="20"/>
        <v>154526971</v>
      </c>
      <c r="F48" s="1236">
        <f t="shared" si="20"/>
        <v>80991744</v>
      </c>
      <c r="G48" s="1236">
        <f t="shared" si="20"/>
        <v>38634583</v>
      </c>
      <c r="H48" s="1236">
        <f t="shared" si="20"/>
        <v>36558257</v>
      </c>
      <c r="I48" s="1236">
        <f t="shared" si="20"/>
        <v>34978694</v>
      </c>
      <c r="J48" s="2432">
        <f>+J16-J25</f>
        <v>1482994439.3</v>
      </c>
      <c r="K48" s="2446">
        <f>+C48+D48+E48+F48+G48+H48+I48</f>
        <v>1233540165</v>
      </c>
      <c r="L48" s="1237">
        <f>+D48+E48+F48+G48+H48+I48</f>
        <v>930354529</v>
      </c>
      <c r="M48" s="1238">
        <f>B48+C48+D48+E48+F48+G48+H48+I48</f>
        <v>1482994439.3</v>
      </c>
      <c r="N48" s="1239">
        <f>M48-J48</f>
        <v>0</v>
      </c>
      <c r="O48" s="1239"/>
    </row>
    <row r="49" spans="1:15" s="1213" customFormat="1" ht="16.5" customHeight="1" thickBot="1">
      <c r="A49" s="1235" t="s">
        <v>28</v>
      </c>
      <c r="B49" s="1240">
        <f>+B32</f>
        <v>216664228</v>
      </c>
      <c r="C49" s="1240">
        <f>+C32</f>
        <v>236252462</v>
      </c>
      <c r="D49" s="1240">
        <f t="shared" ref="D49:I49" si="21">+D32</f>
        <v>493026533</v>
      </c>
      <c r="E49" s="1240">
        <f t="shared" si="21"/>
        <v>146565356</v>
      </c>
      <c r="F49" s="1240">
        <f t="shared" si="21"/>
        <v>64846653</v>
      </c>
      <c r="G49" s="1240">
        <f t="shared" si="21"/>
        <v>34535407</v>
      </c>
      <c r="H49" s="1240">
        <f t="shared" si="21"/>
        <v>32088890</v>
      </c>
      <c r="I49" s="1240">
        <f t="shared" si="21"/>
        <v>31064939</v>
      </c>
      <c r="J49" s="2433">
        <f>+J32</f>
        <v>1260084212</v>
      </c>
      <c r="K49" s="2447" t="s">
        <v>23</v>
      </c>
      <c r="L49" s="1241" t="s">
        <v>23</v>
      </c>
      <c r="M49" s="1238">
        <v>105067692</v>
      </c>
      <c r="N49" s="1239" t="s">
        <v>228</v>
      </c>
    </row>
    <row r="50" spans="1:15" s="509" customFormat="1" ht="18.75" hidden="1" customHeight="1">
      <c r="A50" s="1242"/>
      <c r="B50" s="1210">
        <f>'Tab. 6A -Drogi'!E16+'Tab. 6E - Administracja'!E16+'Tab. 6G - Roln i ochrona środ.'!E15</f>
        <v>2196030</v>
      </c>
      <c r="C50" s="1210"/>
      <c r="D50" s="1210"/>
      <c r="E50" s="1210"/>
      <c r="F50" s="1210"/>
      <c r="G50" s="1210"/>
      <c r="H50" s="1210"/>
      <c r="I50" s="1210"/>
      <c r="J50" s="1234"/>
      <c r="K50" s="1229"/>
      <c r="L50" s="1229"/>
      <c r="M50" s="1229">
        <f>M49+M48</f>
        <v>1588062131.3</v>
      </c>
      <c r="N50" s="1229">
        <f>J48-M50</f>
        <v>-105067692</v>
      </c>
    </row>
    <row r="51" spans="1:15" s="509" customFormat="1" ht="12.75" hidden="1" customHeight="1">
      <c r="A51" s="1210"/>
      <c r="B51" s="1210">
        <f>'Tab. 6A -Drogi'!E32+'Tab. 6B Polit społ i rozwój prz'!E22+'Tab. 6E - Administracja'!E25+'Tab. 6H - Kultura fiz. i turyst'!E23+'Tab.6I - Planow. przestrz.'!E22+'Tab. 6G - Roln i ochrona środ.'!E29</f>
        <v>180735325</v>
      </c>
      <c r="C51" s="1210">
        <f>'Tab. 6A -Drogi'!F32+'Tab. 6B Polit społ i rozwój prz'!F22+'Tab. 6E - Administracja'!F25+'Tab. 6H - Kultura fiz. i turyst'!F23+'Tab.6I - Planow. przestrz.'!F22+'Tab. 6G - Roln i ochrona środ.'!F29</f>
        <v>228018587</v>
      </c>
      <c r="D51" s="1210">
        <f>'Tab. 6A -Drogi'!G32+'Tab. 6B Polit społ i rozwój prz'!G22+'Tab. 6E - Administracja'!G25+'Tab. 6H - Kultura fiz. i turyst'!G23+'Tab.6I - Planow. przestrz.'!G22+'Tab. 6G - Roln i ochrona środ.'!G29</f>
        <v>464953789</v>
      </c>
      <c r="E51" s="1210">
        <f>'Tab. 6A -Drogi'!H32+'Tab. 6B Polit społ i rozwój prz'!H22+'Tab. 6E - Administracja'!H25+'Tab. 6H - Kultura fiz. i turyst'!H23+'Tab.6I - Planow. przestrz.'!H22+'Tab. 6G - Roln i ochrona środ.'!H29</f>
        <v>127527065</v>
      </c>
      <c r="F51" s="1210">
        <f>'Tab. 6A -Drogi'!I32+'Tab. 6B Polit społ i rozwój prz'!I22+'Tab. 6E - Administracja'!I25+'Tab. 6H - Kultura fiz. i turyst'!I23+'Tab.6I - Planow. przestrz.'!I22+'Tab. 6G - Roln i ochrona środ.'!I29</f>
        <v>60303903</v>
      </c>
      <c r="G51" s="1210">
        <f>'Tab. 6A -Drogi'!J32+'Tab. 6B Polit społ i rozwój prz'!J22+'Tab. 6E - Administracja'!J25+'Tab. 6H - Kultura fiz. i turyst'!J23+'Tab.6I - Planow. przestrz.'!J22+'Tab. 6G - Roln i ochrona środ.'!J29</f>
        <v>33837707</v>
      </c>
      <c r="H51" s="1210">
        <f>'Tab. 6A -Drogi'!K32+'Tab. 6B Polit społ i rozwój prz'!K22+'Tab. 6E - Administracja'!K25+'Tab. 6H - Kultura fiz. i turyst'!K23+'Tab.6I - Planow. przestrz.'!K22+'Tab. 6G - Roln i ochrona środ.'!K29</f>
        <v>31503814</v>
      </c>
      <c r="I51" s="1210">
        <f>'Tab. 6A -Drogi'!L32+'Tab. 6B Polit społ i rozwój prz'!L22+'Tab. 6E - Administracja'!L25+'Tab. 6H - Kultura fiz. i turyst'!L23+'Tab.6I - Planow. przestrz.'!L22+'Tab. 6G - Roln i ochrona środ.'!L29</f>
        <v>30570232</v>
      </c>
      <c r="J51" s="1210" t="e">
        <f>B51+#REF!+#REF!+C51+D51+E51+F51+G51+H51+I51</f>
        <v>#REF!</v>
      </c>
      <c r="K51" s="506"/>
      <c r="L51" s="506"/>
      <c r="M51" s="506"/>
    </row>
    <row r="52" spans="1:15" s="509" customFormat="1" hidden="1">
      <c r="A52" s="1243"/>
      <c r="B52" s="1210">
        <f>B46-B51</f>
        <v>0</v>
      </c>
      <c r="C52" s="1210">
        <f t="shared" ref="C52:I52" si="22">C46-C51</f>
        <v>0</v>
      </c>
      <c r="D52" s="1210">
        <f t="shared" si="22"/>
        <v>0</v>
      </c>
      <c r="E52" s="1210">
        <f t="shared" si="22"/>
        <v>0</v>
      </c>
      <c r="F52" s="1210">
        <f t="shared" si="22"/>
        <v>0</v>
      </c>
      <c r="G52" s="1210">
        <f t="shared" si="22"/>
        <v>0</v>
      </c>
      <c r="H52" s="1210">
        <f t="shared" si="22"/>
        <v>0</v>
      </c>
      <c r="I52" s="1210">
        <f t="shared" si="22"/>
        <v>0</v>
      </c>
      <c r="J52" s="1210"/>
      <c r="K52" s="506"/>
      <c r="L52" s="506"/>
      <c r="M52" s="506"/>
    </row>
    <row r="53" spans="1:15" s="509" customFormat="1">
      <c r="A53" s="1242"/>
      <c r="B53" s="1210"/>
      <c r="C53" s="1210"/>
      <c r="D53" s="1210"/>
      <c r="E53" s="1210"/>
      <c r="F53" s="1210"/>
      <c r="G53" s="1210"/>
      <c r="H53" s="1210"/>
      <c r="I53" s="1210"/>
      <c r="J53" s="1234"/>
      <c r="K53" s="506"/>
      <c r="L53" s="506"/>
      <c r="M53" s="506"/>
    </row>
    <row r="54" spans="1:15" ht="31.5" customHeight="1" thickBot="1">
      <c r="A54" s="2856" t="s">
        <v>29</v>
      </c>
      <c r="B54" s="2856"/>
      <c r="C54" s="2856"/>
      <c r="D54" s="2856"/>
      <c r="E54" s="2856"/>
      <c r="F54" s="2856"/>
      <c r="G54" s="2856"/>
      <c r="H54" s="2856"/>
      <c r="I54" s="2856"/>
      <c r="J54" s="2856"/>
      <c r="K54" s="1244"/>
      <c r="L54" s="1244"/>
    </row>
    <row r="55" spans="1:15" s="1178" customFormat="1" ht="34.5" customHeight="1">
      <c r="A55" s="1184"/>
      <c r="B55" s="2854" t="s">
        <v>239</v>
      </c>
      <c r="C55" s="2861" t="s">
        <v>454</v>
      </c>
      <c r="D55" s="2857" t="s">
        <v>453</v>
      </c>
      <c r="E55" s="2857"/>
      <c r="F55" s="2857"/>
      <c r="G55" s="2857"/>
      <c r="H55" s="2857"/>
      <c r="I55" s="2858"/>
      <c r="J55" s="2851" t="s">
        <v>3</v>
      </c>
      <c r="K55" s="2832" t="s">
        <v>480</v>
      </c>
      <c r="L55" s="2832" t="s">
        <v>455</v>
      </c>
    </row>
    <row r="56" spans="1:15" ht="19.5" customHeight="1">
      <c r="A56" s="1186" t="s">
        <v>4</v>
      </c>
      <c r="B56" s="2855"/>
      <c r="C56" s="2862"/>
      <c r="D56" s="2859"/>
      <c r="E56" s="2859"/>
      <c r="F56" s="2859"/>
      <c r="G56" s="2859"/>
      <c r="H56" s="2859"/>
      <c r="I56" s="2860"/>
      <c r="J56" s="2852"/>
      <c r="K56" s="2833"/>
      <c r="L56" s="2833"/>
    </row>
    <row r="57" spans="1:15" ht="24" customHeight="1" thickBot="1">
      <c r="A57" s="1186"/>
      <c r="B57" s="1187" t="s">
        <v>433</v>
      </c>
      <c r="C57" s="2863"/>
      <c r="D57" s="1188" t="s">
        <v>6</v>
      </c>
      <c r="E57" s="1188" t="s">
        <v>184</v>
      </c>
      <c r="F57" s="1188" t="s">
        <v>186</v>
      </c>
      <c r="G57" s="1188" t="s">
        <v>230</v>
      </c>
      <c r="H57" s="1188" t="s">
        <v>231</v>
      </c>
      <c r="I57" s="1189" t="s">
        <v>229</v>
      </c>
      <c r="J57" s="2853"/>
      <c r="K57" s="2833"/>
      <c r="L57" s="2833"/>
    </row>
    <row r="58" spans="1:15" ht="13.5" customHeight="1" thickBot="1">
      <c r="A58" s="1191">
        <v>1</v>
      </c>
      <c r="B58" s="1192">
        <v>2</v>
      </c>
      <c r="C58" s="1193">
        <v>4</v>
      </c>
      <c r="D58" s="1192">
        <v>5</v>
      </c>
      <c r="E58" s="1194">
        <v>6</v>
      </c>
      <c r="F58" s="1195">
        <v>7</v>
      </c>
      <c r="G58" s="1196">
        <v>8</v>
      </c>
      <c r="H58" s="1192">
        <v>9</v>
      </c>
      <c r="I58" s="1196">
        <v>10</v>
      </c>
      <c r="J58" s="2420">
        <v>11</v>
      </c>
      <c r="K58" s="1197">
        <v>12</v>
      </c>
      <c r="L58" s="1197">
        <v>12</v>
      </c>
    </row>
    <row r="59" spans="1:15" ht="18.75" customHeight="1">
      <c r="A59" s="1198" t="s">
        <v>7</v>
      </c>
      <c r="B59" s="1199">
        <f>+B60+B61</f>
        <v>466299215</v>
      </c>
      <c r="C59" s="1199">
        <f t="shared" ref="C59:L59" si="23">+C60+C61</f>
        <v>192495967</v>
      </c>
      <c r="D59" s="1199">
        <f t="shared" si="23"/>
        <v>244837047</v>
      </c>
      <c r="E59" s="1199">
        <f>+E60+E61</f>
        <v>270611930</v>
      </c>
      <c r="F59" s="1199">
        <f>+F60+F61</f>
        <v>210086782</v>
      </c>
      <c r="G59" s="1199">
        <f>+G60+G61</f>
        <v>52896082</v>
      </c>
      <c r="H59" s="1199">
        <f>+H60+H61</f>
        <v>7257957</v>
      </c>
      <c r="I59" s="1199">
        <f>+I60+I61</f>
        <v>4270868</v>
      </c>
      <c r="J59" s="2448">
        <f t="shared" si="23"/>
        <v>1483063295</v>
      </c>
      <c r="K59" s="1200">
        <f t="shared" ref="K59" si="24">+K60+K61</f>
        <v>1016764080</v>
      </c>
      <c r="L59" s="1245">
        <f t="shared" si="23"/>
        <v>824268113</v>
      </c>
      <c r="M59" s="491">
        <f>+L63-L59</f>
        <v>0</v>
      </c>
      <c r="N59" s="507">
        <f>+C59+D59+E59+F59+G59+H59+I59+B59+'Tab. 6C - Ochrona zdrowia'!P51+'Tab. 6C - Ochrona zdrowia'!P56</f>
        <v>1483063295</v>
      </c>
      <c r="O59" s="508">
        <f>J59-N59</f>
        <v>0</v>
      </c>
    </row>
    <row r="60" spans="1:15" s="1203" customFormat="1" ht="15" customHeight="1">
      <c r="A60" s="1204" t="s">
        <v>348</v>
      </c>
      <c r="B60" s="1205">
        <f>'Tab. 6A -Drogi'!E486+'Tab. 6C - Ochrona zdrowia'!E11+'Tab. 6D - Oświata'!E74+'Tab. 6E - Administracja'!E239+'Tab. 6F - Kultura'!E8+'Tab. 6G - Roln i ochrona środ.'!E77+'Tab. 6H - Kultura fiz. i turyst'!E202+'Tab.6I - Planow. przestrz.'!E84</f>
        <v>362255011</v>
      </c>
      <c r="C60" s="1205">
        <f>'Tab. 6A -Drogi'!F486+'Tab. 6C - Ochrona zdrowia'!F11+'Tab. 6D - Oświata'!F74+'Tab. 6E - Administracja'!F239+'Tab. 6F - Kultura'!F8+'Tab. 6G - Roln i ochrona środ.'!F77+'Tab. 6H - Kultura fiz. i turyst'!F202+'Tab.6I - Planow. przestrz.'!F84</f>
        <v>142364942</v>
      </c>
      <c r="D60" s="1205">
        <f>'Tab. 6A -Drogi'!G486+'Tab. 6C - Ochrona zdrowia'!G11+'Tab. 6D - Oświata'!G74+'Tab. 6E - Administracja'!G239+'Tab. 6F - Kultura'!G8+'Tab. 6G - Roln i ochrona środ.'!G77+'Tab. 6H - Kultura fiz. i turyst'!G202+'Tab.6I - Planow. przestrz.'!G84</f>
        <v>167651340</v>
      </c>
      <c r="E60" s="1205">
        <f>'Tab. 6A -Drogi'!H486+'Tab. 6C - Ochrona zdrowia'!H11+'Tab. 6D - Oświata'!H74+'Tab. 6E - Administracja'!H239+'Tab. 6F - Kultura'!H8+'Tab. 6G - Roln i ochrona środ.'!H77+'Tab. 6H - Kultura fiz. i turyst'!H202+'Tab.6I - Planow. przestrz.'!H84</f>
        <v>154687625</v>
      </c>
      <c r="F60" s="1205">
        <f>'Tab. 6A -Drogi'!I486+'Tab. 6C - Ochrona zdrowia'!I11+'Tab. 6D - Oświata'!I74+'Tab. 6E - Administracja'!I239+'Tab. 6F - Kultura'!I8+'Tab. 6G - Roln i ochrona środ.'!I77+'Tab. 6H - Kultura fiz. i turyst'!I202+'Tab.6I - Planow. przestrz.'!I84</f>
        <v>149195282</v>
      </c>
      <c r="G60" s="1205">
        <f>'Tab. 6A -Drogi'!J486+'Tab. 6C - Ochrona zdrowia'!J11+'Tab. 6D - Oświata'!J74+'Tab. 6E - Administracja'!J239+'Tab. 6F - Kultura'!J8+'Tab. 6G - Roln i ochrona środ.'!J77+'Tab. 6H - Kultura fiz. i turyst'!J202+'Tab.6I - Planow. przestrz.'!J84</f>
        <v>9268402</v>
      </c>
      <c r="H60" s="1205">
        <f>'Tab. 6A -Drogi'!K486+'Tab. 6C - Ochrona zdrowia'!K11+'Tab. 6D - Oświata'!K74+'Tab. 6E - Administracja'!K239+'Tab. 6F - Kultura'!K8+'Tab. 6G - Roln i ochrona środ.'!K77+'Tab. 6H - Kultura fiz. i turyst'!K202+'Tab.6I - Planow. przestrz.'!K84</f>
        <v>5199552</v>
      </c>
      <c r="I60" s="1205">
        <f>'Tab. 6A -Drogi'!L486+'Tab. 6C - Ochrona zdrowia'!L11+'Tab. 6D - Oświata'!L74+'Tab. 6E - Administracja'!L239+'Tab. 6F - Kultura'!L8+'Tab. 6G - Roln i ochrona środ.'!L77+'Tab. 6H - Kultura fiz. i turyst'!L202+'Tab.6I - Planow. przestrz.'!L84</f>
        <v>4270868</v>
      </c>
      <c r="J60" s="2449">
        <f>'Tab. 6A -Drogi'!D486+'Tab. 6C - Ochrona zdrowia'!D11+'Tab. 6D - Oświata'!D74+'Tab. 6E - Administracja'!D239+'Tab. 6F - Kultura'!D8+'Tab. 6G - Roln i ochrona środ.'!D77+'Tab. 6H - Kultura fiz. i turyst'!D202+'Tab.6I - Planow. przestrz.'!D84</f>
        <v>1029200469</v>
      </c>
      <c r="K60" s="1476">
        <f>SUM(C60:I60)+'Tab. 6C - Ochrona zdrowia'!P51+'Tab. 6C - Ochrona zdrowia'!P56</f>
        <v>666945458</v>
      </c>
      <c r="L60" s="1476">
        <f>SUM(D60:I60)+'Tab. 6C - Ochrona zdrowia'!P51+'Tab. 6C - Ochrona zdrowia'!P56</f>
        <v>524580516</v>
      </c>
      <c r="M60" s="235"/>
      <c r="N60" s="507">
        <f>+C60+D60+E60+F60+G60+H60+I60+B60+'Tab. 6C - Ochrona zdrowia'!P51+'Tab. 6C - Ochrona zdrowia'!P56</f>
        <v>1029200469</v>
      </c>
      <c r="O60" s="508">
        <f t="shared" ref="O60:O74" si="25">J60-N60</f>
        <v>0</v>
      </c>
    </row>
    <row r="61" spans="1:15" ht="14.25" customHeight="1" thickBot="1">
      <c r="A61" s="1246" t="s">
        <v>30</v>
      </c>
      <c r="B61" s="1247">
        <f>'Tab. 6A -Drogi'!E487+'Tab. 6C - Ochrona zdrowia'!E12+'Tab. 6D - Oświata'!E75+'Tab. 6E - Administracja'!E240+'Tab. 6F - Kultura'!E9+'Tab. 6G - Roln i ochrona środ.'!E78</f>
        <v>104044204</v>
      </c>
      <c r="C61" s="1247">
        <f>'Tab. 6A -Drogi'!F487+'Tab. 6C - Ochrona zdrowia'!F12+'Tab. 6D - Oświata'!F75+'Tab. 6E - Administracja'!F240+'Tab. 6F - Kultura'!F9+'Tab. 6G - Roln i ochrona środ.'!F78</f>
        <v>50131025</v>
      </c>
      <c r="D61" s="1247">
        <f>'Tab. 6A -Drogi'!G487+'Tab. 6C - Ochrona zdrowia'!G12+'Tab. 6D - Oświata'!G75+'Tab. 6E - Administracja'!G240+'Tab. 6F - Kultura'!G9+'Tab. 6G - Roln i ochrona środ.'!G78</f>
        <v>77185707</v>
      </c>
      <c r="E61" s="1247">
        <f>'Tab. 6A -Drogi'!H487+'Tab. 6C - Ochrona zdrowia'!H12+'Tab. 6D - Oświata'!H75+'Tab. 6E - Administracja'!H240+'Tab. 6F - Kultura'!H9+'Tab. 6G - Roln i ochrona środ.'!H78</f>
        <v>115924305</v>
      </c>
      <c r="F61" s="1247">
        <f>'Tab. 6A -Drogi'!I487+'Tab. 6C - Ochrona zdrowia'!I12+'Tab. 6D - Oświata'!I75+'Tab. 6E - Administracja'!I240+'Tab. 6F - Kultura'!I9+'Tab. 6G - Roln i ochrona środ.'!I78</f>
        <v>60891500</v>
      </c>
      <c r="G61" s="1247">
        <f>'Tab. 6A -Drogi'!J487+'Tab. 6C - Ochrona zdrowia'!J12+'Tab. 6D - Oświata'!J75+'Tab. 6E - Administracja'!J240+'Tab. 6F - Kultura'!J9+'Tab. 6G - Roln i ochrona środ.'!J78</f>
        <v>43627680</v>
      </c>
      <c r="H61" s="1247">
        <f>'Tab. 6A -Drogi'!K487+'Tab. 6C - Ochrona zdrowia'!K12+'Tab. 6D - Oświata'!K75+'Tab. 6E - Administracja'!K240+'Tab. 6F - Kultura'!K9+'Tab. 6G - Roln i ochrona środ.'!K78</f>
        <v>2058405</v>
      </c>
      <c r="I61" s="1247">
        <f>'Tab. 6A -Drogi'!L487+'Tab. 6C - Ochrona zdrowia'!L12+'Tab. 6D - Oświata'!L75+'Tab. 6E - Administracja'!L240+'Tab. 6F - Kultura'!L9+'Tab. 6G - Roln i ochrona środ.'!L78</f>
        <v>0</v>
      </c>
      <c r="J61" s="2450">
        <f>'Tab. 6A -Drogi'!D487+'Tab. 6C - Ochrona zdrowia'!D12+'Tab. 6D - Oświata'!D75+'Tab. 6E - Administracja'!D240+'Tab. 6F - Kultura'!D9+'Tab. 6G - Roln i ochrona środ.'!D78</f>
        <v>453862826</v>
      </c>
      <c r="K61" s="1477">
        <f>SUM(C61:I61)</f>
        <v>349818622</v>
      </c>
      <c r="L61" s="1477">
        <f>SUM(D61:I61)</f>
        <v>299687597</v>
      </c>
      <c r="M61" s="235"/>
      <c r="N61" s="507">
        <f>+C61+D61+E61+F61+G61+H61+I61+B61</f>
        <v>453862826</v>
      </c>
      <c r="O61" s="508">
        <f t="shared" si="25"/>
        <v>0</v>
      </c>
    </row>
    <row r="62" spans="1:15" s="509" customFormat="1" ht="4.5" customHeight="1">
      <c r="A62" s="1209"/>
      <c r="B62" s="1210"/>
      <c r="C62" s="1210"/>
      <c r="D62" s="1232"/>
      <c r="E62" s="1210"/>
      <c r="F62" s="1210"/>
      <c r="G62" s="1210"/>
      <c r="H62" s="1210"/>
      <c r="I62" s="1210"/>
      <c r="J62" s="1234"/>
      <c r="K62" s="2455"/>
      <c r="L62" s="1233"/>
      <c r="M62" s="506"/>
      <c r="N62" s="507"/>
      <c r="O62" s="508"/>
    </row>
    <row r="63" spans="1:15" s="1227" customFormat="1" ht="18" customHeight="1">
      <c r="A63" s="1211" t="s">
        <v>10</v>
      </c>
      <c r="B63" s="1212">
        <f>+B64+B73</f>
        <v>482372376.63999999</v>
      </c>
      <c r="C63" s="1212">
        <f t="shared" ref="C63:J63" si="26">+C64+C73</f>
        <v>201069635</v>
      </c>
      <c r="D63" s="1212">
        <f t="shared" si="26"/>
        <v>259775262</v>
      </c>
      <c r="E63" s="1212">
        <f>+E64+E73</f>
        <v>295002593</v>
      </c>
      <c r="F63" s="1212">
        <f>+F64+F73</f>
        <v>222758938</v>
      </c>
      <c r="G63" s="1212">
        <f>+G64+G73</f>
        <v>61396082</v>
      </c>
      <c r="H63" s="1212">
        <f>+H64+H73</f>
        <v>17350457</v>
      </c>
      <c r="I63" s="1212">
        <f>+I64+I73</f>
        <v>4270868</v>
      </c>
      <c r="J63" s="2424">
        <f t="shared" si="26"/>
        <v>1578303658.6400001</v>
      </c>
      <c r="K63" s="2444">
        <f>+K64</f>
        <v>1016764080</v>
      </c>
      <c r="L63" s="1248">
        <f>+L64</f>
        <v>824268113</v>
      </c>
      <c r="M63" s="1238"/>
      <c r="N63" s="507">
        <f>+C63+D63+E63+F63+G63+H63+I63+B63+'Tab. 6C - Ochrona zdrowia'!P51+'Tab. 6C - Ochrona zdrowia'!P56</f>
        <v>1578303658.6399999</v>
      </c>
      <c r="O63" s="508">
        <f t="shared" si="25"/>
        <v>0</v>
      </c>
    </row>
    <row r="64" spans="1:15" s="1217" customFormat="1" ht="18" customHeight="1">
      <c r="A64" s="1214" t="s">
        <v>11</v>
      </c>
      <c r="B64" s="1249">
        <f t="shared" ref="B64" si="27">SUM(B65:B72)</f>
        <v>482372376.63999999</v>
      </c>
      <c r="C64" s="1249">
        <f t="shared" ref="C64:J64" si="28">SUM(C65:C72)</f>
        <v>201022630</v>
      </c>
      <c r="D64" s="1249">
        <f t="shared" si="28"/>
        <v>244854298</v>
      </c>
      <c r="E64" s="1249">
        <f>SUM(E65:E72)</f>
        <v>270611930</v>
      </c>
      <c r="F64" s="1249">
        <f t="shared" si="28"/>
        <v>210086782</v>
      </c>
      <c r="G64" s="1249">
        <f>SUM(G65:G72)</f>
        <v>52896082</v>
      </c>
      <c r="H64" s="1249">
        <f>SUM(H65:H72)</f>
        <v>7257957</v>
      </c>
      <c r="I64" s="1249">
        <f>SUM(I65:I72)</f>
        <v>4270868</v>
      </c>
      <c r="J64" s="2451">
        <f t="shared" si="28"/>
        <v>1507680370.6400001</v>
      </c>
      <c r="K64" s="2456">
        <f>SUM(K65:K72)</f>
        <v>1016764080</v>
      </c>
      <c r="L64" s="1250">
        <f>SUM(L65:L72)</f>
        <v>824268113</v>
      </c>
      <c r="M64" s="506"/>
      <c r="N64" s="507">
        <f>+C64+D64+E64+F64+G64+H64+I64+B64+'Tab. 6C - Ochrona zdrowia'!P51+'Tab. 6C - Ochrona zdrowia'!P56</f>
        <v>1507680370.6399999</v>
      </c>
      <c r="O64" s="508">
        <f t="shared" si="25"/>
        <v>0</v>
      </c>
    </row>
    <row r="65" spans="1:15" s="509" customFormat="1" ht="16.5" customHeight="1">
      <c r="A65" s="1218" t="s">
        <v>31</v>
      </c>
      <c r="B65" s="512">
        <f>+'Tab. 6D - Oświata'!E80+'Tab. 6A -Drogi'!E490+'Tab. 6E - Administracja'!E243+'Tab. 6C - Ochrona zdrowia'!E15+'Tab.6I - Planow. przestrz.'!E88+'Tab. 6G - Roln i ochrona środ.'!E81+'Tab. 6H - Kultura fiz. i turyst'!E206</f>
        <v>392412644</v>
      </c>
      <c r="C65" s="512">
        <f>+'Tab. 6D - Oświata'!F80+'Tab. 6A -Drogi'!F490+'Tab. 6E - Administracja'!F243+'Tab. 6C - Ochrona zdrowia'!F15+'Tab.6I - Planow. przestrz.'!F88+'Tab. 6G - Roln i ochrona środ.'!F81+'Tab. 6H - Kultura fiz. i turyst'!F206</f>
        <v>139885619</v>
      </c>
      <c r="D65" s="512">
        <f>+'Tab. 6D - Oświata'!G80+'Tab. 6A -Drogi'!G490+'Tab. 6E - Administracja'!G243+'Tab. 6C - Ochrona zdrowia'!G15+'Tab.6I - Planow. przestrz.'!G88+'Tab. 6G - Roln i ochrona środ.'!G81+'Tab. 6H - Kultura fiz. i turyst'!G206</f>
        <v>186648817</v>
      </c>
      <c r="E65" s="512">
        <f>+'Tab. 6D - Oświata'!H80+'Tab. 6A -Drogi'!H490+'Tab. 6E - Administracja'!H243+'Tab. 6C - Ochrona zdrowia'!H15+'Tab.6I - Planow. przestrz.'!H88+'Tab. 6G - Roln i ochrona środ.'!H81+'Tab. 6H - Kultura fiz. i turyst'!H206</f>
        <v>182519028</v>
      </c>
      <c r="F65" s="512">
        <f>+'Tab. 6D - Oświata'!I80+'Tab. 6A -Drogi'!I490+'Tab. 6E - Administracja'!I243+'Tab. 6C - Ochrona zdrowia'!I15+'Tab.6I - Planow. przestrz.'!I88+'Tab. 6G - Roln i ochrona środ.'!I81+'Tab. 6H - Kultura fiz. i turyst'!I206</f>
        <v>169583510</v>
      </c>
      <c r="G65" s="512">
        <f>+'Tab. 6D - Oświata'!J80+'Tab. 6A -Drogi'!J490+'Tab. 6E - Administracja'!J243+'Tab. 6C - Ochrona zdrowia'!J15+'Tab.6I - Planow. przestrz.'!J88+'Tab. 6G - Roln i ochrona środ.'!J81+'Tab. 6H - Kultura fiz. i turyst'!J206</f>
        <v>9268402</v>
      </c>
      <c r="H65" s="512">
        <f>+'Tab. 6D - Oświata'!K80+'Tab. 6A -Drogi'!K490+'Tab. 6E - Administracja'!K243+'Tab. 6C - Ochrona zdrowia'!K15+'Tab.6I - Planow. przestrz.'!K88+'Tab. 6G - Roln i ochrona środ.'!K81+'Tab. 6H - Kultura fiz. i turyst'!K206</f>
        <v>5199552</v>
      </c>
      <c r="I65" s="512">
        <f>+'Tab. 6D - Oświata'!L80+'Tab. 6A -Drogi'!L490+'Tab. 6E - Administracja'!L243+'Tab. 6C - Ochrona zdrowia'!L15+'Tab.6I - Planow. przestrz.'!L88+'Tab. 6G - Roln i ochrona środ.'!L81+'Tab. 6H - Kultura fiz. i turyst'!L206</f>
        <v>4270868</v>
      </c>
      <c r="J65" s="2426">
        <f>B65+C65+D65+E65+F65+G65+H65+I65+'Tab. 6C - Ochrona zdrowia'!P51+'Tab. 6C - Ochrona zdrowia'!P56</f>
        <v>1124095887</v>
      </c>
      <c r="K65" s="1206">
        <f>SUM(C65:I65)+'Tab. 6C - Ochrona zdrowia'!P51+'Tab. 6C - Ochrona zdrowia'!P56</f>
        <v>731683243</v>
      </c>
      <c r="L65" s="1206">
        <f>SUM(D65:I65)+'Tab. 6C - Ochrona zdrowia'!P51+'Tab. 6C - Ochrona zdrowia'!P56</f>
        <v>591797624</v>
      </c>
      <c r="M65" s="235"/>
      <c r="N65" s="507">
        <f>+C65+D65+E65+F65+G65+H65+I65+B65+'Tab. 6C - Ochrona zdrowia'!P51+'Tab. 6C - Ochrona zdrowia'!P56</f>
        <v>1124095887</v>
      </c>
      <c r="O65" s="508">
        <f t="shared" si="25"/>
        <v>0</v>
      </c>
    </row>
    <row r="66" spans="1:15" s="509" customFormat="1" ht="15.75" customHeight="1">
      <c r="A66" s="510" t="s">
        <v>16</v>
      </c>
      <c r="B66" s="511">
        <f>+'Tab. 6A -Drogi'!E493+'Tab. 6G - Roln i ochrona środ.'!E85+'Tab. 6H - Kultura fiz. i turyst'!E13</f>
        <v>0</v>
      </c>
      <c r="C66" s="512">
        <f>+'Tab. 6A -Drogi'!F493+'Tab. 6G - Roln i ochrona środ.'!F85+'Tab. 6H - Kultura fiz. i turyst'!F207</f>
        <v>10003578</v>
      </c>
      <c r="D66" s="512">
        <f>+'Tab. 6A -Drogi'!G493+'Tab. 6G - Roln i ochrona środ.'!G85+'Tab. 6H - Kultura fiz. i turyst'!G207</f>
        <v>24142763</v>
      </c>
      <c r="E66" s="512">
        <f>+'Tab. 6A -Drogi'!H493+'Tab. 6G - Roln i ochrona środ.'!H85+'Tab. 6H - Kultura fiz. i turyst'!H207</f>
        <v>14120000</v>
      </c>
      <c r="F66" s="512">
        <f>+'Tab. 6A -Drogi'!I493+'Tab. 6G - Roln i ochrona środ.'!I85+'Tab. 6H - Kultura fiz. i turyst'!I207</f>
        <v>14182860</v>
      </c>
      <c r="G66" s="511">
        <f>+'Tab. 6A -Drogi'!J493+'Tab. 6G - Roln i ochrona środ.'!J85+'Tab. 6H - Kultura fiz. i turyst'!J207</f>
        <v>0</v>
      </c>
      <c r="H66" s="511">
        <f>+'Tab. 6A -Drogi'!K493+'Tab. 6G - Roln i ochrona środ.'!K85+'Tab. 6H - Kultura fiz. i turyst'!K207</f>
        <v>0</v>
      </c>
      <c r="I66" s="511">
        <f>+'Tab. 6A -Drogi'!L493+'Tab. 6G - Roln i ochrona środ.'!L85+'Tab. 6H - Kultura fiz. i turyst'!L207</f>
        <v>0</v>
      </c>
      <c r="J66" s="2426">
        <f t="shared" ref="J66:J72" si="29">B66+C66+D66+E66+F66+G66+H66+I66</f>
        <v>62449201</v>
      </c>
      <c r="K66" s="1206">
        <f t="shared" ref="K66" si="30">SUM(C66:I66)</f>
        <v>62449201</v>
      </c>
      <c r="L66" s="1206">
        <f>SUM(D66:I66)</f>
        <v>52445623</v>
      </c>
      <c r="M66" s="235"/>
      <c r="N66" s="507">
        <f>+C66+D66+E66+F66+G66+H66+I66+B66</f>
        <v>62449201</v>
      </c>
      <c r="O66" s="508">
        <f t="shared" si="25"/>
        <v>0</v>
      </c>
    </row>
    <row r="67" spans="1:15" s="509" customFormat="1" ht="15.75" customHeight="1">
      <c r="A67" s="510" t="s">
        <v>32</v>
      </c>
      <c r="B67" s="512">
        <f>+'Tab. 6F - Kultura'!E12+'Tab. 6C - Ochrona zdrowia'!E16</f>
        <v>16073161.640000001</v>
      </c>
      <c r="C67" s="512">
        <f>+'Tab. 6F - Kultura'!F12+'Tab. 6C - Ochrona zdrowia'!F16</f>
        <v>8526663</v>
      </c>
      <c r="D67" s="511">
        <f>+'Tab. 6F - Kultura'!G12+'Tab. 6C - Ochrona zdrowia'!G16</f>
        <v>17251</v>
      </c>
      <c r="E67" s="511">
        <f>+'Tab. 6F - Kultura'!H12+'Tab. 6C - Ochrona zdrowia'!H16</f>
        <v>0</v>
      </c>
      <c r="F67" s="511">
        <f>+'Tab. 6F - Kultura'!I12+'Tab. 6C - Ochrona zdrowia'!I16</f>
        <v>0</v>
      </c>
      <c r="G67" s="511">
        <f>+'Tab. 6F - Kultura'!J12+'Tab. 6C - Ochrona zdrowia'!J16</f>
        <v>0</v>
      </c>
      <c r="H67" s="511">
        <f>+'Tab. 6F - Kultura'!K12+'Tab. 6C - Ochrona zdrowia'!K16</f>
        <v>0</v>
      </c>
      <c r="I67" s="511">
        <f>+'Tab. 6F - Kultura'!L12+'Tab. 6C - Ochrona zdrowia'!L16+'Tab. 6H - Kultura fiz. i turyst'!L13</f>
        <v>0</v>
      </c>
      <c r="J67" s="2426">
        <f t="shared" si="29"/>
        <v>24617075.640000001</v>
      </c>
      <c r="K67" s="2103" t="s">
        <v>61</v>
      </c>
      <c r="L67" s="2103" t="s">
        <v>61</v>
      </c>
      <c r="M67" s="506"/>
      <c r="N67" s="507">
        <f t="shared" ref="N67:N74" si="31">+C67+D67+E67+F67+G67+H67+I67+B67</f>
        <v>24617075.640000001</v>
      </c>
      <c r="O67" s="508">
        <f t="shared" si="25"/>
        <v>0</v>
      </c>
    </row>
    <row r="68" spans="1:15" s="509" customFormat="1" ht="15.75" customHeight="1">
      <c r="A68" s="1218" t="s">
        <v>33</v>
      </c>
      <c r="B68" s="512">
        <f>+'Tab. 6F - Kultura'!E13+'Tab. 6C - Ochrona zdrowia'!E17+'Tab. 6D - Oświata'!E79+'Tab. 6H - Kultura fiz. i turyst'!E215</f>
        <v>33000296</v>
      </c>
      <c r="C68" s="512">
        <f>+'Tab. 6F - Kultura'!F13+'Tab. 6C - Ochrona zdrowia'!F17+'Tab. 6D - Oświata'!F79+'Tab. 6H - Kultura fiz. i turyst'!F215</f>
        <v>8629331</v>
      </c>
      <c r="D68" s="512">
        <f>+'Tab. 6F - Kultura'!G13+'Tab. 6C - Ochrona zdrowia'!G17+'Tab. 6D - Oświata'!G79+'Tab. 6H - Kultura fiz. i turyst'!G215</f>
        <v>15181227</v>
      </c>
      <c r="E68" s="512">
        <f>+'Tab. 6F - Kultura'!H13+'Tab. 6C - Ochrona zdrowia'!H17+'Tab. 6D - Oświata'!H79+'Tab. 6H - Kultura fiz. i turyst'!H215</f>
        <v>13811745</v>
      </c>
      <c r="F68" s="512">
        <f>+'Tab. 6F - Kultura'!I13+'Tab. 6C - Ochrona zdrowia'!I17+'Tab. 6D - Oświata'!I79+'Tab. 6H - Kultura fiz. i turyst'!I215</f>
        <v>5936412</v>
      </c>
      <c r="G68" s="512">
        <f>+'Tab. 6F - Kultura'!J13+'Tab. 6C - Ochrona zdrowia'!J17+'Tab. 6D - Oświata'!J79+'Tab. 6H - Kultura fiz. i turyst'!J215</f>
        <v>3566880</v>
      </c>
      <c r="H68" s="512">
        <f>+'Tab. 6F - Kultura'!K13+'Tab. 6C - Ochrona zdrowia'!K17+'Tab. 6D - Oświata'!K79+'Tab. 6H - Kultura fiz. i turyst'!K215</f>
        <v>1472245</v>
      </c>
      <c r="I68" s="512">
        <f>+'Tab. 6F - Kultura'!L13+'Tab. 6C - Ochrona zdrowia'!L17+'Tab. 6D - Oświata'!L79+'Tab. 6H - Kultura fiz. i turyst'!L215</f>
        <v>0</v>
      </c>
      <c r="J68" s="2426">
        <f t="shared" si="29"/>
        <v>81598136</v>
      </c>
      <c r="K68" s="1206">
        <f t="shared" ref="K68:K72" si="32">SUM(C68:I68)</f>
        <v>48597840</v>
      </c>
      <c r="L68" s="1206">
        <f>SUM(D68:I68)</f>
        <v>39968509</v>
      </c>
      <c r="M68" s="235"/>
      <c r="N68" s="507">
        <f t="shared" si="31"/>
        <v>81598136</v>
      </c>
      <c r="O68" s="508">
        <f t="shared" si="25"/>
        <v>0</v>
      </c>
    </row>
    <row r="69" spans="1:15" s="509" customFormat="1" ht="15.75" customHeight="1">
      <c r="A69" s="510" t="s">
        <v>15</v>
      </c>
      <c r="B69" s="512">
        <f>+'Tab. 6A -Drogi'!E492+'Tab. 6C - Ochrona zdrowia'!E20</f>
        <v>13737991</v>
      </c>
      <c r="C69" s="512">
        <f>+'Tab. 6A -Drogi'!F492+'Tab. 6C - Ochrona zdrowia'!F20</f>
        <v>4243008</v>
      </c>
      <c r="D69" s="511">
        <f>+'Tab. 6A -Drogi'!G492+'Tab. 6C - Ochrona zdrowia'!G20</f>
        <v>0</v>
      </c>
      <c r="E69" s="511">
        <f>+'Tab. 6A -Drogi'!H492+'Tab. 6C - Ochrona zdrowia'!H20</f>
        <v>0</v>
      </c>
      <c r="F69" s="511">
        <f>+'Tab. 6A -Drogi'!I492+'Tab. 6C - Ochrona zdrowia'!I20</f>
        <v>0</v>
      </c>
      <c r="G69" s="511">
        <f>+'Tab. 6A -Drogi'!J492+'Tab. 6C - Ochrona zdrowia'!J20</f>
        <v>0</v>
      </c>
      <c r="H69" s="511">
        <f>+'Tab. 6A -Drogi'!K492+'Tab. 6C - Ochrona zdrowia'!K20</f>
        <v>0</v>
      </c>
      <c r="I69" s="511">
        <f>+'Tab. 6A -Drogi'!L492+'Tab. 6C - Ochrona zdrowia'!L20</f>
        <v>0</v>
      </c>
      <c r="J69" s="2426">
        <f t="shared" si="29"/>
        <v>17980999</v>
      </c>
      <c r="K69" s="1206">
        <f t="shared" si="32"/>
        <v>4243008</v>
      </c>
      <c r="L69" s="1206">
        <f>SUM(D69:I69)</f>
        <v>0</v>
      </c>
      <c r="M69" s="235"/>
      <c r="N69" s="507">
        <f t="shared" si="31"/>
        <v>17980999</v>
      </c>
      <c r="O69" s="508">
        <f t="shared" si="25"/>
        <v>0</v>
      </c>
    </row>
    <row r="70" spans="1:15" s="509" customFormat="1" ht="15.75" customHeight="1">
      <c r="A70" s="510" t="s">
        <v>13</v>
      </c>
      <c r="B70" s="512">
        <f>+'Tab. 6A -Drogi'!E491+'Tab. 6C - Ochrona zdrowia'!E18</f>
        <v>27148284</v>
      </c>
      <c r="C70" s="512">
        <f>+'Tab. 6A -Drogi'!F491+'Tab. 6C - Ochrona zdrowia'!F18</f>
        <v>25729988</v>
      </c>
      <c r="D70" s="511">
        <f>+'Tab. 6A -Drogi'!G491+'Tab. 6C - Ochrona zdrowia'!G18</f>
        <v>0</v>
      </c>
      <c r="E70" s="511">
        <f>+'Tab. 6A -Drogi'!H491+'Tab. 6C - Ochrona zdrowia'!H18</f>
        <v>0</v>
      </c>
      <c r="F70" s="511">
        <f>+'Tab. 6A -Drogi'!I491+'Tab. 6C - Ochrona zdrowia'!I18</f>
        <v>0</v>
      </c>
      <c r="G70" s="511">
        <f>+'Tab. 6A -Drogi'!J491+'Tab. 6C - Ochrona zdrowia'!J18</f>
        <v>0</v>
      </c>
      <c r="H70" s="511">
        <f>+'Tab. 6A -Drogi'!K491+'Tab. 6C - Ochrona zdrowia'!K18</f>
        <v>0</v>
      </c>
      <c r="I70" s="511">
        <f>+'Tab. 6A -Drogi'!L491+'Tab. 6C - Ochrona zdrowia'!L18</f>
        <v>0</v>
      </c>
      <c r="J70" s="2426">
        <f t="shared" si="29"/>
        <v>52878272</v>
      </c>
      <c r="K70" s="1206">
        <f t="shared" si="32"/>
        <v>25729988</v>
      </c>
      <c r="L70" s="1206">
        <f>SUM(D70:I70)</f>
        <v>0</v>
      </c>
      <c r="M70" s="235"/>
      <c r="N70" s="507">
        <f t="shared" si="31"/>
        <v>52878272</v>
      </c>
      <c r="O70" s="508">
        <f t="shared" si="25"/>
        <v>0</v>
      </c>
    </row>
    <row r="71" spans="1:15" s="509" customFormat="1" ht="13.5" hidden="1" customHeight="1">
      <c r="A71" s="1251" t="s">
        <v>34</v>
      </c>
      <c r="B71" s="512">
        <v>0</v>
      </c>
      <c r="C71" s="511">
        <f>+'Tab. 6C - Ochrona zdrowia'!F19</f>
        <v>0</v>
      </c>
      <c r="D71" s="511">
        <f>+'Tab. 6D - Oświata'!G78</f>
        <v>0</v>
      </c>
      <c r="E71" s="511">
        <f>+'Tab. 6D - Oświata'!H78</f>
        <v>0</v>
      </c>
      <c r="F71" s="511">
        <f>+'Tab. 6D - Oświata'!I78</f>
        <v>0</v>
      </c>
      <c r="G71" s="511">
        <f>+'Tab. 6D - Oświata'!J78</f>
        <v>0</v>
      </c>
      <c r="H71" s="511">
        <f>+'Tab. 6D - Oświata'!K78</f>
        <v>0</v>
      </c>
      <c r="I71" s="511">
        <f>+'Tab. 6D - Oświata'!L78</f>
        <v>0</v>
      </c>
      <c r="J71" s="2426">
        <f t="shared" si="29"/>
        <v>0</v>
      </c>
      <c r="K71" s="1206">
        <f t="shared" si="32"/>
        <v>0</v>
      </c>
      <c r="L71" s="1206">
        <f>SUM(D71:I71)+'Tab. 6C - Ochrona zdrowia'!P57+'Tab. 6C - Ochrona zdrowia'!P62</f>
        <v>0</v>
      </c>
      <c r="M71" s="506"/>
      <c r="N71" s="507">
        <f t="shared" si="31"/>
        <v>0</v>
      </c>
      <c r="O71" s="508">
        <f t="shared" si="25"/>
        <v>0</v>
      </c>
    </row>
    <row r="72" spans="1:15" s="509" customFormat="1" ht="15.75" customHeight="1">
      <c r="A72" s="510" t="s">
        <v>14</v>
      </c>
      <c r="B72" s="511">
        <f>+'Tab. 6G - Roln i ochrona środ.'!E84+'Tab. 6E - Administracja'!E260</f>
        <v>0</v>
      </c>
      <c r="C72" s="512">
        <f>'Tab. 6G - Roln i ochrona środ.'!F84</f>
        <v>4004443</v>
      </c>
      <c r="D72" s="512">
        <f>'Tab. 6G - Roln i ochrona środ.'!G84</f>
        <v>18864240</v>
      </c>
      <c r="E72" s="512">
        <f>'Tab. 6G - Roln i ochrona środ.'!H84</f>
        <v>60161157</v>
      </c>
      <c r="F72" s="512">
        <f>'Tab. 6G - Roln i ochrona środ.'!I84</f>
        <v>20384000</v>
      </c>
      <c r="G72" s="512">
        <f>'Tab. 6G - Roln i ochrona środ.'!J84</f>
        <v>40060800</v>
      </c>
      <c r="H72" s="512">
        <f>'Tab. 6G - Roln i ochrona środ.'!K84</f>
        <v>586160</v>
      </c>
      <c r="I72" s="511">
        <f>'Tab. 6G - Roln i ochrona środ.'!L84</f>
        <v>0</v>
      </c>
      <c r="J72" s="2426">
        <f t="shared" si="29"/>
        <v>144060800</v>
      </c>
      <c r="K72" s="1206">
        <f t="shared" si="32"/>
        <v>144060800</v>
      </c>
      <c r="L72" s="1206">
        <f>SUM(D72:I72)</f>
        <v>140056357</v>
      </c>
      <c r="M72" s="235"/>
      <c r="N72" s="507">
        <f t="shared" si="31"/>
        <v>144060800</v>
      </c>
      <c r="O72" s="508">
        <f t="shared" si="25"/>
        <v>0</v>
      </c>
    </row>
    <row r="73" spans="1:15" s="509" customFormat="1" ht="18" customHeight="1">
      <c r="A73" s="503" t="s">
        <v>18</v>
      </c>
      <c r="B73" s="505">
        <f t="shared" ref="B73:I73" si="33">SUM(B74:B74)</f>
        <v>0</v>
      </c>
      <c r="C73" s="504">
        <f t="shared" si="33"/>
        <v>47005</v>
      </c>
      <c r="D73" s="504">
        <f t="shared" si="33"/>
        <v>14920964</v>
      </c>
      <c r="E73" s="504">
        <f t="shared" si="33"/>
        <v>24390663</v>
      </c>
      <c r="F73" s="504">
        <f t="shared" si="33"/>
        <v>12672156</v>
      </c>
      <c r="G73" s="504">
        <f t="shared" si="33"/>
        <v>8500000</v>
      </c>
      <c r="H73" s="504">
        <f t="shared" si="33"/>
        <v>10092500</v>
      </c>
      <c r="I73" s="505">
        <f t="shared" si="33"/>
        <v>0</v>
      </c>
      <c r="J73" s="2428">
        <f>+J74</f>
        <v>70623288</v>
      </c>
      <c r="K73" s="2457" t="s">
        <v>61</v>
      </c>
      <c r="L73" s="2105" t="s">
        <v>61</v>
      </c>
      <c r="M73" s="506"/>
      <c r="N73" s="507">
        <f t="shared" si="31"/>
        <v>70623288</v>
      </c>
      <c r="O73" s="508">
        <f t="shared" si="25"/>
        <v>0</v>
      </c>
    </row>
    <row r="74" spans="1:15" s="509" customFormat="1" ht="16.5" customHeight="1">
      <c r="A74" s="510" t="s">
        <v>35</v>
      </c>
      <c r="B74" s="511">
        <f>+'Tab. 6D - Oświata'!E82+'Tab. 6F - Kultura'!E16+'Tab. 6C - Ochrona zdrowia'!E22</f>
        <v>0</v>
      </c>
      <c r="C74" s="512">
        <f>+'Tab. 6D - Oświata'!F82+'Tab. 6F - Kultura'!F16+'Tab. 6C - Ochrona zdrowia'!F22</f>
        <v>47005</v>
      </c>
      <c r="D74" s="512">
        <f>+'Tab. 6D - Oświata'!G82+'Tab. 6F - Kultura'!G16+'Tab. 6C - Ochrona zdrowia'!G22</f>
        <v>14920964</v>
      </c>
      <c r="E74" s="512">
        <f>+'Tab. 6D - Oświata'!H82+'Tab. 6F - Kultura'!H16+'Tab. 6C - Ochrona zdrowia'!H22</f>
        <v>24390663</v>
      </c>
      <c r="F74" s="512">
        <f>+'Tab. 6D - Oświata'!I82+'Tab. 6F - Kultura'!I16+'Tab. 6C - Ochrona zdrowia'!I22</f>
        <v>12672156</v>
      </c>
      <c r="G74" s="512">
        <f>+'Tab. 6D - Oświata'!J82+'Tab. 6F - Kultura'!J16+'Tab. 6C - Ochrona zdrowia'!J22</f>
        <v>8500000</v>
      </c>
      <c r="H74" s="512">
        <f>+'Tab. 6D - Oświata'!K82+'Tab. 6F - Kultura'!K16+'Tab. 6C - Ochrona zdrowia'!K22</f>
        <v>10092500</v>
      </c>
      <c r="I74" s="511">
        <f>+'Tab. 6D - Oświata'!L82+'Tab. 6F - Kultura'!L16+'Tab. 6C - Ochrona zdrowia'!L22</f>
        <v>0</v>
      </c>
      <c r="J74" s="2426">
        <f>B74+C74+D74+E74+F74+G74+H74+I74</f>
        <v>70623288</v>
      </c>
      <c r="K74" s="2106" t="s">
        <v>61</v>
      </c>
      <c r="L74" s="2106" t="s">
        <v>61</v>
      </c>
      <c r="M74" s="506"/>
      <c r="N74" s="507">
        <f t="shared" si="31"/>
        <v>70623288</v>
      </c>
      <c r="O74" s="508">
        <f t="shared" si="25"/>
        <v>0</v>
      </c>
    </row>
    <row r="75" spans="1:15" s="1213" customFormat="1" ht="18" customHeight="1">
      <c r="A75" s="1211" t="s">
        <v>22</v>
      </c>
      <c r="B75" s="1019">
        <f>+B76+B82</f>
        <v>92837287</v>
      </c>
      <c r="C75" s="1019">
        <f t="shared" ref="C75:F75" si="34">+C76+C82</f>
        <v>56417806</v>
      </c>
      <c r="D75" s="1019">
        <f t="shared" si="34"/>
        <v>64566998</v>
      </c>
      <c r="E75" s="1019">
        <f t="shared" si="34"/>
        <v>121615445</v>
      </c>
      <c r="F75" s="1019">
        <f t="shared" si="34"/>
        <v>67258804</v>
      </c>
      <c r="G75" s="1019">
        <f t="shared" ref="G75:I75" si="35">+G76+G82</f>
        <v>50560800</v>
      </c>
      <c r="H75" s="1019">
        <f t="shared" si="35"/>
        <v>12329389</v>
      </c>
      <c r="I75" s="1664">
        <f t="shared" si="35"/>
        <v>0</v>
      </c>
      <c r="J75" s="2452">
        <f t="shared" ref="J75" si="36">+J76+J82</f>
        <v>465586529</v>
      </c>
      <c r="K75" s="2834" t="s">
        <v>23</v>
      </c>
      <c r="L75" s="2844" t="s">
        <v>23</v>
      </c>
      <c r="M75" s="1238"/>
    </row>
    <row r="76" spans="1:15" s="509" customFormat="1" ht="15" customHeight="1">
      <c r="A76" s="503" t="s">
        <v>24</v>
      </c>
      <c r="B76" s="1020">
        <f>SUM(B77:B81)</f>
        <v>92837287</v>
      </c>
      <c r="C76" s="1020">
        <f t="shared" ref="C76:F76" si="37">SUM(C77:C81)</f>
        <v>56395451</v>
      </c>
      <c r="D76" s="1020">
        <f t="shared" si="37"/>
        <v>49621384</v>
      </c>
      <c r="E76" s="1020">
        <f t="shared" si="37"/>
        <v>97224782</v>
      </c>
      <c r="F76" s="1020">
        <f t="shared" si="37"/>
        <v>54586648</v>
      </c>
      <c r="G76" s="1020">
        <f t="shared" ref="G76:I76" si="38">SUM(G77:G81)</f>
        <v>42060800</v>
      </c>
      <c r="H76" s="1020">
        <f t="shared" si="38"/>
        <v>2236889</v>
      </c>
      <c r="I76" s="1253">
        <f t="shared" si="38"/>
        <v>0</v>
      </c>
      <c r="J76" s="2430">
        <f>SUM(J77:J81)</f>
        <v>394963241</v>
      </c>
      <c r="K76" s="2835"/>
      <c r="L76" s="2835"/>
      <c r="M76" s="506" t="s">
        <v>216</v>
      </c>
    </row>
    <row r="77" spans="1:15" s="509" customFormat="1" ht="15.75" customHeight="1">
      <c r="A77" s="510" t="s">
        <v>13</v>
      </c>
      <c r="B77" s="1021">
        <f>+'Tab. 6C - Ochrona zdrowia'!E25+'Tab. 6A -Drogi'!E497</f>
        <v>27148284</v>
      </c>
      <c r="C77" s="254">
        <f>+'Tab. 6C - Ochrona zdrowia'!F25+'Tab. 6A -Drogi'!F497</f>
        <v>25729988</v>
      </c>
      <c r="D77" s="1252">
        <f>+'Tab. 6C - Ochrona zdrowia'!G25+'Tab. 6A -Drogi'!G497</f>
        <v>0</v>
      </c>
      <c r="E77" s="1252">
        <f>+'Tab. 6C - Ochrona zdrowia'!H25+'Tab. 6A -Drogi'!H497</f>
        <v>0</v>
      </c>
      <c r="F77" s="1252">
        <f>+'Tab. 6C - Ochrona zdrowia'!I25+'Tab. 6A -Drogi'!I497</f>
        <v>0</v>
      </c>
      <c r="G77" s="1252">
        <f>+'Tab. 6C - Ochrona zdrowia'!J25+'Tab. 6A -Drogi'!J497</f>
        <v>0</v>
      </c>
      <c r="H77" s="1252">
        <f>+'Tab. 6C - Ochrona zdrowia'!K25+'Tab. 6A -Drogi'!K497</f>
        <v>0</v>
      </c>
      <c r="I77" s="1252">
        <f>+'Tab. 6C - Ochrona zdrowia'!L25+'Tab. 6A -Drogi'!L497</f>
        <v>0</v>
      </c>
      <c r="J77" s="2426">
        <f>B77+C77+D77+E77+F77+G77+H77+I77</f>
        <v>52878272</v>
      </c>
      <c r="K77" s="2835"/>
      <c r="L77" s="2835"/>
      <c r="M77" s="506">
        <f>J77-J70</f>
        <v>0</v>
      </c>
    </row>
    <row r="78" spans="1:15" s="509" customFormat="1" ht="15" customHeight="1">
      <c r="A78" s="510" t="s">
        <v>15</v>
      </c>
      <c r="B78" s="1021">
        <f>+'Tab. 6A -Drogi'!E498+'Tab. 6C - Ochrona zdrowia'!E26</f>
        <v>13737991</v>
      </c>
      <c r="C78" s="254">
        <f>+'Tab. 6A -Drogi'!F498+'Tab. 6C - Ochrona zdrowia'!F26</f>
        <v>4243008</v>
      </c>
      <c r="D78" s="1252">
        <f>+'Tab. 6A -Drogi'!G498+'Tab. 6C - Ochrona zdrowia'!G26</f>
        <v>0</v>
      </c>
      <c r="E78" s="1252">
        <f>+'Tab. 6A -Drogi'!H498+'Tab. 6C - Ochrona zdrowia'!H26</f>
        <v>0</v>
      </c>
      <c r="F78" s="1252">
        <f>+'Tab. 6A -Drogi'!I498+'Tab. 6C - Ochrona zdrowia'!I26</f>
        <v>0</v>
      </c>
      <c r="G78" s="1252">
        <f>+'Tab. 6A -Drogi'!J498+'Tab. 6C - Ochrona zdrowia'!J26</f>
        <v>0</v>
      </c>
      <c r="H78" s="1252">
        <f>+'Tab. 6A -Drogi'!K498+'Tab. 6C - Ochrona zdrowia'!K26</f>
        <v>0</v>
      </c>
      <c r="I78" s="1252">
        <f>+'Tab. 6A -Drogi'!L498+'Tab. 6C - Ochrona zdrowia'!L26</f>
        <v>0</v>
      </c>
      <c r="J78" s="2426">
        <f>B78+C78+D78+E78+F78+G78+H78+I78</f>
        <v>17980999</v>
      </c>
      <c r="K78" s="2835"/>
      <c r="L78" s="2835"/>
      <c r="M78" s="506">
        <f>J78-J69</f>
        <v>0</v>
      </c>
    </row>
    <row r="79" spans="1:15" s="509" customFormat="1" ht="15" customHeight="1">
      <c r="A79" s="510" t="s">
        <v>16</v>
      </c>
      <c r="B79" s="1021">
        <f>+'Tab. 6A -Drogi'!E499+'Tab. 6G - Roln i ochrona środ.'!E91</f>
        <v>28772061</v>
      </c>
      <c r="C79" s="1021">
        <f>+'Tab. 6A -Drogi'!F499+'Tab. 6G - Roln i ochrona środ.'!F91</f>
        <v>8419285</v>
      </c>
      <c r="D79" s="1021">
        <f>+'Tab. 6A -Drogi'!G499+'Tab. 6G - Roln i ochrona środ.'!G91</f>
        <v>8419285</v>
      </c>
      <c r="E79" s="1021">
        <f>+'Tab. 6A -Drogi'!H499+'Tab. 6G - Roln i ochrona środ.'!H91</f>
        <v>8419285</v>
      </c>
      <c r="F79" s="1021">
        <f>+'Tab. 6A -Drogi'!I499+'Tab. 6G - Roln i ochrona środ.'!I91</f>
        <v>8419285</v>
      </c>
      <c r="G79" s="1228">
        <f>+'Tab. 6A -Drogi'!J499+'Tab. 6G - Roln i ochrona środ.'!J91</f>
        <v>0</v>
      </c>
      <c r="H79" s="1228">
        <f>+'Tab. 6A -Drogi'!K499+'Tab. 6G - Roln i ochrona środ.'!K91</f>
        <v>0</v>
      </c>
      <c r="I79" s="1228">
        <f>+'Tab. 6A -Drogi'!L499+'Tab. 6G - Roln i ochrona środ.'!L91</f>
        <v>0</v>
      </c>
      <c r="J79" s="2426">
        <f>B79+C79+D79+E79+F79+G79+H79+I79</f>
        <v>62449201</v>
      </c>
      <c r="K79" s="2835"/>
      <c r="L79" s="2835"/>
      <c r="M79" s="506">
        <f>J79-J66</f>
        <v>0</v>
      </c>
    </row>
    <row r="80" spans="1:15" s="509" customFormat="1" ht="14.25" customHeight="1">
      <c r="A80" s="1218" t="s">
        <v>190</v>
      </c>
      <c r="B80" s="1022">
        <f>+'Tab. 6F - Kultura'!E19+'Tab. 6D - Oświata'!E86+'Tab. 6A -Drogi'!E496</f>
        <v>23178951</v>
      </c>
      <c r="C80" s="1219">
        <f>+'Tab. 6F - Kultura'!F19+'Tab. 6D - Oświata'!F86+'Tab. 6A -Drogi'!F496</f>
        <v>13998727</v>
      </c>
      <c r="D80" s="1219">
        <f>+'Tab. 6F - Kultura'!G19+'Tab. 6D - Oświata'!G86+'Tab. 6A -Drogi'!G496</f>
        <v>22337859</v>
      </c>
      <c r="E80" s="1219">
        <f>+'Tab. 6F - Kultura'!H19+'Tab. 6D - Oświata'!H86+'Tab. 6A -Drogi'!H496</f>
        <v>28644340</v>
      </c>
      <c r="F80" s="1219">
        <f>+'Tab. 6F - Kultura'!I19+'Tab. 6D - Oświata'!I86+'Tab. 6A -Drogi'!I496</f>
        <v>25783363</v>
      </c>
      <c r="G80" s="1219">
        <f>+'Tab. 6F - Kultura'!J19+'Tab. 6D - Oświata'!J86+'Tab. 6A -Drogi'!J496</f>
        <v>2000000</v>
      </c>
      <c r="H80" s="1219">
        <f>+'Tab. 6F - Kultura'!K19+'Tab. 6D - Oświata'!K86+'Tab. 6A -Drogi'!K496</f>
        <v>1650729</v>
      </c>
      <c r="I80" s="1220">
        <f>+'Tab. 6F - Kultura'!L19+'Tab. 6D - Oświata'!L86+'Tab. 6A -Drogi'!L496</f>
        <v>0</v>
      </c>
      <c r="J80" s="2426">
        <f>B80+C80+D80+E80+F80+G80+H80+I80</f>
        <v>117593969</v>
      </c>
      <c r="K80" s="2835"/>
      <c r="L80" s="2835"/>
      <c r="M80" s="506"/>
    </row>
    <row r="81" spans="1:14" s="509" customFormat="1" ht="15" customHeight="1">
      <c r="A81" s="510" t="s">
        <v>14</v>
      </c>
      <c r="B81" s="1228">
        <f>+'Tab. 6G - Roln i ochrona środ.'!E90+'Tab. 6E - Administracja'!E263</f>
        <v>0</v>
      </c>
      <c r="C81" s="1219">
        <f>+'Tab. 6G - Roln i ochrona środ.'!F90</f>
        <v>4004443</v>
      </c>
      <c r="D81" s="1219">
        <f>+'Tab. 6G - Roln i ochrona środ.'!G90</f>
        <v>18864240</v>
      </c>
      <c r="E81" s="1219">
        <f>+'Tab. 6G - Roln i ochrona środ.'!H90</f>
        <v>60161157</v>
      </c>
      <c r="F81" s="1219">
        <f>+'Tab. 6G - Roln i ochrona środ.'!I90</f>
        <v>20384000</v>
      </c>
      <c r="G81" s="1219">
        <f>+'Tab. 6G - Roln i ochrona środ.'!J90</f>
        <v>40060800</v>
      </c>
      <c r="H81" s="1219">
        <f>+'Tab. 6G - Roln i ochrona środ.'!K90</f>
        <v>586160</v>
      </c>
      <c r="I81" s="1252">
        <f>+'Tab. 6G - Roln i ochrona środ.'!L90</f>
        <v>0</v>
      </c>
      <c r="J81" s="2426">
        <f>B81+C81+D81+E81+F81+G81+H81+I81</f>
        <v>144060800</v>
      </c>
      <c r="K81" s="2835"/>
      <c r="L81" s="2835"/>
      <c r="M81" s="506">
        <f>J81-J72</f>
        <v>0</v>
      </c>
    </row>
    <row r="82" spans="1:14" s="509" customFormat="1" ht="14.25" customHeight="1">
      <c r="A82" s="503" t="s">
        <v>18</v>
      </c>
      <c r="B82" s="1254">
        <f t="shared" ref="B82:I82" si="39">SUM(B83:B83)</f>
        <v>0</v>
      </c>
      <c r="C82" s="1023">
        <f t="shared" si="39"/>
        <v>22355</v>
      </c>
      <c r="D82" s="1023">
        <f t="shared" si="39"/>
        <v>14945614</v>
      </c>
      <c r="E82" s="1023">
        <f t="shared" si="39"/>
        <v>24390663</v>
      </c>
      <c r="F82" s="1023">
        <f t="shared" si="39"/>
        <v>12672156</v>
      </c>
      <c r="G82" s="1023">
        <f t="shared" si="39"/>
        <v>8500000</v>
      </c>
      <c r="H82" s="1023">
        <f t="shared" si="39"/>
        <v>10092500</v>
      </c>
      <c r="I82" s="1254">
        <f t="shared" si="39"/>
        <v>0</v>
      </c>
      <c r="J82" s="2453">
        <f>+J83</f>
        <v>70623288</v>
      </c>
      <c r="K82" s="2835"/>
      <c r="L82" s="2835"/>
      <c r="M82" s="506"/>
    </row>
    <row r="83" spans="1:14" s="509" customFormat="1" ht="15.75" customHeight="1" thickBot="1">
      <c r="A83" s="1255" t="s">
        <v>35</v>
      </c>
      <c r="B83" s="1663">
        <f>+'Tab. 6D - Oświata'!E88+'Tab. 6F - Kultura'!E22+'Tab. 6C - Ochrona zdrowia'!E28</f>
        <v>0</v>
      </c>
      <c r="C83" s="1665">
        <f>+'Tab. 6D - Oświata'!F88+'Tab. 6F - Kultura'!F22+'Tab. 6C - Ochrona zdrowia'!F28</f>
        <v>22355</v>
      </c>
      <c r="D83" s="1257">
        <f>+'Tab. 6D - Oświata'!G88+'Tab. 6F - Kultura'!G22+'Tab. 6C - Ochrona zdrowia'!G28</f>
        <v>14945614</v>
      </c>
      <c r="E83" s="1257">
        <f>+'Tab. 6D - Oświata'!H88+'Tab. 6F - Kultura'!H22+'Tab. 6C - Ochrona zdrowia'!H28</f>
        <v>24390663</v>
      </c>
      <c r="F83" s="1257">
        <f>+'Tab. 6D - Oświata'!I88+'Tab. 6F - Kultura'!I22+'Tab. 6C - Ochrona zdrowia'!I28</f>
        <v>12672156</v>
      </c>
      <c r="G83" s="1257">
        <f>+'Tab. 6D - Oświata'!J88+'Tab. 6F - Kultura'!J22+'Tab. 6C - Ochrona zdrowia'!J28</f>
        <v>8500000</v>
      </c>
      <c r="H83" s="1257">
        <f>+'Tab. 6D - Oświata'!K88+'Tab. 6F - Kultura'!K22+'Tab. 6C - Ochrona zdrowia'!K28</f>
        <v>10092500</v>
      </c>
      <c r="I83" s="1256">
        <f>+'Tab. 6D - Oświata'!L88+'Tab. 6F - Kultura'!L22+'Tab. 6C - Ochrona zdrowia'!L28</f>
        <v>0</v>
      </c>
      <c r="J83" s="2454">
        <f>B83+C83+D83+E83+F83+G83+H83+I83</f>
        <v>70623288</v>
      </c>
      <c r="K83" s="2836"/>
      <c r="L83" s="2836"/>
      <c r="M83" s="506"/>
      <c r="N83" s="1229"/>
    </row>
    <row r="84" spans="1:14" s="509" customFormat="1" ht="9.75" customHeight="1" thickBot="1">
      <c r="A84" s="1242"/>
      <c r="B84" s="1210"/>
      <c r="C84" s="1210"/>
      <c r="D84" s="1210"/>
      <c r="E84" s="1210"/>
      <c r="F84" s="1210"/>
      <c r="G84" s="1232"/>
      <c r="H84" s="1231"/>
      <c r="I84" s="1231"/>
      <c r="J84" s="1234"/>
      <c r="K84" s="1234"/>
      <c r="L84" s="1234"/>
      <c r="M84" s="506"/>
    </row>
    <row r="85" spans="1:14" s="1213" customFormat="1" ht="18" customHeight="1" thickBot="1">
      <c r="A85" s="1258" t="s">
        <v>27</v>
      </c>
      <c r="B85" s="1259">
        <f>+B63-B71-B73-B67</f>
        <v>466299215</v>
      </c>
      <c r="C85" s="1259">
        <f t="shared" ref="C85" si="40">+C63-C71-C73-C67</f>
        <v>192495967</v>
      </c>
      <c r="D85" s="1260">
        <f t="shared" ref="D85:I85" si="41">+D63-D71-D73-D67</f>
        <v>244837047</v>
      </c>
      <c r="E85" s="1260">
        <f t="shared" si="41"/>
        <v>270611930</v>
      </c>
      <c r="F85" s="1260">
        <f t="shared" si="41"/>
        <v>210086782</v>
      </c>
      <c r="G85" s="1260">
        <f t="shared" si="41"/>
        <v>52896082</v>
      </c>
      <c r="H85" s="1259">
        <f t="shared" si="41"/>
        <v>7257957</v>
      </c>
      <c r="I85" s="1259">
        <f t="shared" si="41"/>
        <v>4270868</v>
      </c>
      <c r="J85" s="1261">
        <f>SUM(C85:I85)+B85+'Tab. 6C - Ochrona zdrowia'!P51+'Tab. 6C - Ochrona zdrowia'!P56</f>
        <v>1483063295</v>
      </c>
      <c r="K85" s="1262">
        <f>+C85+D85+E85+F85+G85+H85+I85+'Tab. 6C - Ochrona zdrowia'!P51+'Tab. 6C - Ochrona zdrowia'!P56</f>
        <v>1016764080</v>
      </c>
      <c r="L85" s="1262">
        <f>+D85+E85+F85+G85+H85+I85+'Tab. 6C - Ochrona zdrowia'!P51+'Tab. 6C - Ochrona zdrowia'!P56</f>
        <v>824268113</v>
      </c>
      <c r="M85" s="1238">
        <f>+C85+D85+E85+F85+G85+H85+I85+M86-L85</f>
        <v>192495967</v>
      </c>
      <c r="N85" s="1239">
        <f>J65+J66+J68+J69+J70+J72-J85</f>
        <v>0</v>
      </c>
    </row>
    <row r="86" spans="1:14" s="1213" customFormat="1" ht="18" customHeight="1" thickBot="1">
      <c r="A86" s="1258" t="s">
        <v>28</v>
      </c>
      <c r="B86" s="1263">
        <f>+B75-B82</f>
        <v>92837287</v>
      </c>
      <c r="C86" s="1263">
        <f t="shared" ref="C86:I86" si="42">+C75-C82</f>
        <v>56395451</v>
      </c>
      <c r="D86" s="1264">
        <f t="shared" si="42"/>
        <v>49621384</v>
      </c>
      <c r="E86" s="1264">
        <f t="shared" si="42"/>
        <v>97224782</v>
      </c>
      <c r="F86" s="1264">
        <f t="shared" si="42"/>
        <v>54586648</v>
      </c>
      <c r="G86" s="1264">
        <f t="shared" si="42"/>
        <v>42060800</v>
      </c>
      <c r="H86" s="1263">
        <f t="shared" si="42"/>
        <v>2236889</v>
      </c>
      <c r="I86" s="1263">
        <f t="shared" si="42"/>
        <v>0</v>
      </c>
      <c r="J86" s="1261">
        <f>SUM(C86:I86)+B86</f>
        <v>394963241</v>
      </c>
      <c r="K86" s="1265" t="s">
        <v>23</v>
      </c>
      <c r="L86" s="1265" t="s">
        <v>23</v>
      </c>
      <c r="M86" s="1238">
        <f>+'Tab. 6C - Ochrona zdrowia'!P51+'Tab. 6C - Ochrona zdrowia'!P56</f>
        <v>34307447</v>
      </c>
      <c r="N86" s="1213" t="s">
        <v>394</v>
      </c>
    </row>
    <row r="87" spans="1:14" s="1269" customFormat="1" ht="15" customHeight="1" thickBot="1">
      <c r="A87" s="1266"/>
      <c r="B87" s="1267"/>
      <c r="C87" s="1267"/>
      <c r="D87" s="1267"/>
      <c r="E87" s="1267"/>
      <c r="F87" s="1267"/>
      <c r="G87" s="1267"/>
      <c r="H87" s="1267"/>
      <c r="I87" s="1267"/>
      <c r="J87" s="1267"/>
      <c r="K87" s="1267"/>
      <c r="L87" s="1267"/>
      <c r="M87" s="1268"/>
    </row>
    <row r="88" spans="1:14" s="1269" customFormat="1" ht="18" customHeight="1" thickBot="1">
      <c r="A88" s="1270" t="s">
        <v>36</v>
      </c>
      <c r="B88" s="1271">
        <f>B89+B90</f>
        <v>715753489</v>
      </c>
      <c r="C88" s="1271">
        <f t="shared" ref="C88:D88" si="43">C89+C90</f>
        <v>495681603</v>
      </c>
      <c r="D88" s="1271">
        <f t="shared" si="43"/>
        <v>829501327</v>
      </c>
      <c r="E88" s="1271">
        <f t="shared" ref="E88:L88" si="44">E89+E90</f>
        <v>425138901</v>
      </c>
      <c r="F88" s="1271">
        <f t="shared" si="44"/>
        <v>291078526</v>
      </c>
      <c r="G88" s="1271">
        <f t="shared" si="44"/>
        <v>91530665</v>
      </c>
      <c r="H88" s="1271">
        <f t="shared" si="44"/>
        <v>43816214</v>
      </c>
      <c r="I88" s="1271">
        <f t="shared" si="44"/>
        <v>39249562</v>
      </c>
      <c r="J88" s="1272">
        <f t="shared" si="44"/>
        <v>2966057734</v>
      </c>
      <c r="K88" s="1273">
        <f>K89+K90</f>
        <v>2250304245</v>
      </c>
      <c r="L88" s="1273">
        <f t="shared" si="44"/>
        <v>1754622642</v>
      </c>
      <c r="M88" s="1268"/>
    </row>
    <row r="89" spans="1:14" s="1269" customFormat="1" ht="18" customHeight="1" thickTop="1">
      <c r="A89" s="1274" t="s">
        <v>37</v>
      </c>
      <c r="B89" s="1275">
        <f t="shared" ref="B89:L89" si="45">B13+B60</f>
        <v>407144347</v>
      </c>
      <c r="C89" s="1275">
        <f t="shared" si="45"/>
        <v>194720572</v>
      </c>
      <c r="D89" s="1275">
        <f t="shared" si="45"/>
        <v>234809149</v>
      </c>
      <c r="E89" s="1275">
        <f>E13+E60</f>
        <v>205444209</v>
      </c>
      <c r="F89" s="1275">
        <f t="shared" si="45"/>
        <v>194527124</v>
      </c>
      <c r="G89" s="1275">
        <f t="shared" si="45"/>
        <v>47741485</v>
      </c>
      <c r="H89" s="1275">
        <f t="shared" si="45"/>
        <v>41596309</v>
      </c>
      <c r="I89" s="1275">
        <f t="shared" si="45"/>
        <v>39088062</v>
      </c>
      <c r="J89" s="1276">
        <f>J13+J60</f>
        <v>1399378704</v>
      </c>
      <c r="K89" s="1277">
        <f>K13+K60</f>
        <v>992234357</v>
      </c>
      <c r="L89" s="1277">
        <f t="shared" si="45"/>
        <v>797513785</v>
      </c>
      <c r="M89" s="1268"/>
    </row>
    <row r="90" spans="1:14" s="1269" customFormat="1" ht="18" customHeight="1">
      <c r="A90" s="1274" t="s">
        <v>38</v>
      </c>
      <c r="B90" s="1275">
        <f t="shared" ref="B90:L90" si="46">B14+B61</f>
        <v>308609142</v>
      </c>
      <c r="C90" s="1275">
        <f t="shared" si="46"/>
        <v>300961031</v>
      </c>
      <c r="D90" s="1275">
        <f t="shared" si="46"/>
        <v>594692178</v>
      </c>
      <c r="E90" s="1275">
        <f t="shared" si="46"/>
        <v>219694692</v>
      </c>
      <c r="F90" s="1275">
        <f t="shared" si="46"/>
        <v>96551402</v>
      </c>
      <c r="G90" s="1275">
        <f t="shared" si="46"/>
        <v>43789180</v>
      </c>
      <c r="H90" s="1275">
        <f t="shared" si="46"/>
        <v>2219905</v>
      </c>
      <c r="I90" s="1275">
        <f t="shared" si="46"/>
        <v>161500</v>
      </c>
      <c r="J90" s="1276">
        <f>J14+J61</f>
        <v>1566679030</v>
      </c>
      <c r="K90" s="1277">
        <f t="shared" ref="K90" si="47">K14+K61</f>
        <v>1258069888</v>
      </c>
      <c r="L90" s="1277">
        <f t="shared" si="46"/>
        <v>957108857</v>
      </c>
      <c r="M90" s="1268"/>
    </row>
    <row r="91" spans="1:14" s="1269" customFormat="1" ht="18" customHeight="1" thickBot="1">
      <c r="A91" s="1278" t="s">
        <v>39</v>
      </c>
      <c r="B91" s="1279">
        <f>B49+B86</f>
        <v>309501515</v>
      </c>
      <c r="C91" s="1279">
        <f t="shared" ref="C91:D91" si="48">C49+C86</f>
        <v>292647913</v>
      </c>
      <c r="D91" s="1279">
        <f t="shared" si="48"/>
        <v>542647917</v>
      </c>
      <c r="E91" s="1279">
        <f t="shared" ref="E91:I91" si="49">E49+E86</f>
        <v>243790138</v>
      </c>
      <c r="F91" s="1279">
        <f>F49+F86</f>
        <v>119433301</v>
      </c>
      <c r="G91" s="1279">
        <f t="shared" si="49"/>
        <v>76596207</v>
      </c>
      <c r="H91" s="1279">
        <f t="shared" si="49"/>
        <v>34325779</v>
      </c>
      <c r="I91" s="1279">
        <f t="shared" si="49"/>
        <v>31064939</v>
      </c>
      <c r="J91" s="1279">
        <f>J49+J86</f>
        <v>1655047453</v>
      </c>
      <c r="K91" s="1280" t="s">
        <v>23</v>
      </c>
      <c r="L91" s="1280" t="s">
        <v>23</v>
      </c>
      <c r="M91" s="1268">
        <f>'Tab. 6A -Drogi'!D22+'Tab. 6A -Drogi'!D494+'Tab. 6B Polit społ i rozwój prz'!D17+'Tab. 6C - Ochrona zdrowia'!D24+'Tab. 6D - Oświata'!D18+'Tab. 6E - Administracja'!D20+'Tab. 6E - Administracja'!D245+'Tab. 6F - Kultura'!D19+'Tab. 6G - Roln i ochrona środ.'!D21+'Tab. 6G - Roln i ochrona środ.'!D86+'Tab. 6H - Kultura fiz. i turyst'!D18+'Tab.6I - Planow. przestrz.'!D18</f>
        <v>1655047453</v>
      </c>
      <c r="N91" s="1269" t="s">
        <v>217</v>
      </c>
    </row>
    <row r="92" spans="1:14" s="1269" customFormat="1" ht="18.75" customHeight="1" thickTop="1">
      <c r="A92" s="1274" t="s">
        <v>40</v>
      </c>
      <c r="B92" s="1275">
        <f>B98+B102</f>
        <v>89454124</v>
      </c>
      <c r="C92" s="1275">
        <f>C98+C102</f>
        <v>91105023</v>
      </c>
      <c r="D92" s="1275">
        <f t="shared" ref="C92:D93" si="50">D98+D102</f>
        <v>91162494</v>
      </c>
      <c r="E92" s="1275">
        <f t="shared" ref="E92:I93" si="51">E98+E102</f>
        <v>81330799</v>
      </c>
      <c r="F92" s="1275">
        <f t="shared" si="51"/>
        <v>73055933</v>
      </c>
      <c r="G92" s="1275">
        <f t="shared" si="51"/>
        <v>34613714</v>
      </c>
      <c r="H92" s="1275">
        <f t="shared" si="51"/>
        <v>33578119</v>
      </c>
      <c r="I92" s="1275">
        <f t="shared" si="51"/>
        <v>30903439</v>
      </c>
      <c r="J92" s="1275">
        <f>J98+J102</f>
        <v>530243389</v>
      </c>
      <c r="K92" s="1281" t="s">
        <v>23</v>
      </c>
      <c r="L92" s="1281" t="s">
        <v>23</v>
      </c>
      <c r="M92" s="1268">
        <f>J91-M91</f>
        <v>0</v>
      </c>
      <c r="N92" s="1282"/>
    </row>
    <row r="93" spans="1:14" s="1269" customFormat="1" ht="16.5" customHeight="1" thickBot="1">
      <c r="A93" s="1283" t="s">
        <v>41</v>
      </c>
      <c r="B93" s="1284">
        <f>B99+B103</f>
        <v>220047391</v>
      </c>
      <c r="C93" s="1284">
        <f t="shared" si="50"/>
        <v>201542890</v>
      </c>
      <c r="D93" s="1284">
        <f t="shared" si="50"/>
        <v>451485423</v>
      </c>
      <c r="E93" s="1284">
        <f t="shared" si="51"/>
        <v>162459339</v>
      </c>
      <c r="F93" s="1284">
        <f t="shared" si="51"/>
        <v>46377368</v>
      </c>
      <c r="G93" s="1284">
        <f t="shared" si="51"/>
        <v>41982493</v>
      </c>
      <c r="H93" s="1284">
        <f t="shared" si="51"/>
        <v>747660</v>
      </c>
      <c r="I93" s="1284">
        <f t="shared" si="51"/>
        <v>161500</v>
      </c>
      <c r="J93" s="1284">
        <f>J99+J103</f>
        <v>1124804064</v>
      </c>
      <c r="K93" s="1285" t="s">
        <v>23</v>
      </c>
      <c r="L93" s="1285" t="s">
        <v>23</v>
      </c>
      <c r="M93" s="1268">
        <f>M91-J97-J101</f>
        <v>0</v>
      </c>
    </row>
    <row r="94" spans="1:14" s="1269" customFormat="1" ht="18" hidden="1" customHeight="1">
      <c r="A94" s="1286" t="s">
        <v>42</v>
      </c>
      <c r="B94" s="1287">
        <f>B92+B93-B91</f>
        <v>0</v>
      </c>
      <c r="C94" s="1287">
        <f>C92+C93-C91</f>
        <v>0</v>
      </c>
      <c r="D94" s="1287">
        <f t="shared" ref="D94:I94" si="52">D92+D93-D91</f>
        <v>0</v>
      </c>
      <c r="E94" s="1287">
        <f t="shared" si="52"/>
        <v>0</v>
      </c>
      <c r="F94" s="1287">
        <f>F92+F93-F91</f>
        <v>0</v>
      </c>
      <c r="G94" s="1287">
        <f t="shared" si="52"/>
        <v>0</v>
      </c>
      <c r="H94" s="1287">
        <f t="shared" si="52"/>
        <v>0</v>
      </c>
      <c r="I94" s="1287">
        <f t="shared" si="52"/>
        <v>0</v>
      </c>
      <c r="J94" s="1287">
        <f>J92+J93-J91</f>
        <v>0</v>
      </c>
      <c r="K94" s="1268"/>
      <c r="L94" s="1268"/>
      <c r="M94" s="1268"/>
      <c r="N94" s="1282"/>
    </row>
    <row r="95" spans="1:14" s="1269" customFormat="1" ht="11.25" hidden="1" customHeight="1">
      <c r="A95" s="1288"/>
      <c r="B95" s="1287"/>
      <c r="C95" s="1287"/>
      <c r="D95" s="1287"/>
      <c r="E95" s="1287"/>
      <c r="F95" s="1287"/>
      <c r="G95" s="1287"/>
      <c r="H95" s="1287"/>
      <c r="I95" s="1287"/>
      <c r="J95" s="1287"/>
      <c r="K95" s="1268"/>
      <c r="L95" s="1268"/>
      <c r="M95" s="1268"/>
    </row>
    <row r="96" spans="1:14" s="1269" customFormat="1" ht="18" hidden="1" customHeight="1" thickBot="1">
      <c r="A96" s="1289" t="s">
        <v>43</v>
      </c>
      <c r="B96" s="1290">
        <f>B32-B97</f>
        <v>0</v>
      </c>
      <c r="C96" s="1290">
        <f t="shared" ref="C96:D96" si="53">C32-C97</f>
        <v>0</v>
      </c>
      <c r="D96" s="1290">
        <f t="shared" si="53"/>
        <v>0</v>
      </c>
      <c r="E96" s="1290">
        <f t="shared" ref="E96:J96" si="54">E32-E97</f>
        <v>0</v>
      </c>
      <c r="F96" s="1290">
        <f t="shared" si="54"/>
        <v>0</v>
      </c>
      <c r="G96" s="1290">
        <f t="shared" si="54"/>
        <v>0</v>
      </c>
      <c r="H96" s="1290">
        <f t="shared" si="54"/>
        <v>0</v>
      </c>
      <c r="I96" s="1290">
        <f t="shared" si="54"/>
        <v>0</v>
      </c>
      <c r="J96" s="1290">
        <f t="shared" si="54"/>
        <v>0</v>
      </c>
      <c r="K96" s="1268"/>
      <c r="L96" s="1268"/>
      <c r="M96" s="1268"/>
      <c r="N96" s="1282">
        <f>M97+M101-M91</f>
        <v>0</v>
      </c>
    </row>
    <row r="97" spans="1:15" s="1269" customFormat="1" ht="18" hidden="1" customHeight="1" thickBot="1">
      <c r="A97" s="1291" t="s">
        <v>44</v>
      </c>
      <c r="B97" s="1292">
        <f t="shared" ref="B97:D97" si="55">B98+B99</f>
        <v>216664228</v>
      </c>
      <c r="C97" s="1292">
        <f t="shared" si="55"/>
        <v>236252462</v>
      </c>
      <c r="D97" s="1292">
        <f t="shared" si="55"/>
        <v>493026533</v>
      </c>
      <c r="E97" s="1292">
        <f t="shared" ref="E97:N97" si="56">E98+E99</f>
        <v>146565356</v>
      </c>
      <c r="F97" s="1292">
        <f t="shared" si="56"/>
        <v>64846653</v>
      </c>
      <c r="G97" s="1292">
        <f t="shared" si="56"/>
        <v>34535407</v>
      </c>
      <c r="H97" s="1292">
        <f t="shared" si="56"/>
        <v>32088890</v>
      </c>
      <c r="I97" s="1292">
        <f t="shared" si="56"/>
        <v>31064939</v>
      </c>
      <c r="J97" s="1293">
        <f>J98+J99</f>
        <v>1260084212</v>
      </c>
      <c r="K97" s="1268"/>
      <c r="L97" s="1268"/>
      <c r="M97" s="1293">
        <f t="shared" si="56"/>
        <v>1260084212</v>
      </c>
      <c r="N97" s="1293">
        <f t="shared" si="56"/>
        <v>0</v>
      </c>
      <c r="O97" s="1589" t="s">
        <v>389</v>
      </c>
    </row>
    <row r="98" spans="1:15" s="1269" customFormat="1" ht="20.25" hidden="1" customHeight="1" thickTop="1">
      <c r="A98" s="1294" t="s">
        <v>40</v>
      </c>
      <c r="B98" s="1295">
        <f>'Tab. 6A -Drogi'!E633+'Tab. 6B Polit społ i rozwój prz'!E145+'Tab. 6D - Oświata'!E116+'Tab. 6E - Administracja'!E268+'Tab. 6G - Roln i ochrona środ.'!E115+'Tab. 6H - Kultura fiz. i turyst'!E231+'Tab.6I - Planow. przestrz.'!E104</f>
        <v>32809348</v>
      </c>
      <c r="C98" s="1295">
        <f>'Tab. 6A -Drogi'!F633+'Tab. 6B Polit społ i rozwój prz'!F145+'Tab. 6D - Oświata'!F116+'Tab. 6E - Administracja'!F268+'Tab. 6G - Roln i ochrona środ.'!F115+'Tab. 6H - Kultura fiz. i turyst'!F231+'Tab.6I - Planow. przestrz.'!F104</f>
        <v>43441012</v>
      </c>
      <c r="D98" s="1295">
        <f>'Tab. 6A -Drogi'!G633+'Tab. 6B Polit społ i rozwój prz'!G145+'Tab. 6D - Oświata'!G116+'Tab. 6E - Administracja'!G268+'Tab. 6G - Roln i ochrona środ.'!G115+'Tab. 6H - Kultura fiz. i turyst'!G231+'Tab.6I - Planow. przestrz.'!G104</f>
        <v>60405350</v>
      </c>
      <c r="E98" s="1295">
        <f>'Tab. 6A -Drogi'!H633+'Tab. 6B Polit społ i rozwój prz'!H145+'Tab. 6D - Oświata'!H116+'Tab. 6E - Administracja'!H268+'Tab. 6G - Roln i ochrona środ.'!H115+'Tab. 6H - Kultura fiz. i turyst'!H231+'Tab.6I - Planow. przestrz.'!H104</f>
        <v>44267174</v>
      </c>
      <c r="F98" s="1295">
        <f>'Tab. 6A -Drogi'!I633+'Tab. 6B Polit społ i rozwój prz'!I145+'Tab. 6D - Oświata'!I116+'Tab. 6E - Administracja'!I268+'Tab. 6G - Roln i ochrona środ.'!I115+'Tab. 6H - Kultura fiz. i turyst'!I231+'Tab.6I - Planow. przestrz.'!I104</f>
        <v>38853285</v>
      </c>
      <c r="G98" s="1295">
        <f>'Tab. 6A -Drogi'!J633+'Tab. 6B Polit społ i rozwój prz'!J145+'Tab. 6D - Oświata'!J116+'Tab. 6E - Administracja'!J268+'Tab. 6G - Roln i ochrona środ.'!J115+'Tab. 6H - Kultura fiz. i turyst'!J231+'Tab.6I - Planow. przestrz.'!J104</f>
        <v>32613714</v>
      </c>
      <c r="H98" s="1295">
        <f>'Tab. 6A -Drogi'!K633+'Tab. 6B Polit społ i rozwój prz'!K145+'Tab. 6D - Oświata'!K116+'Tab. 6E - Administracja'!K268+'Tab. 6G - Roln i ochrona środ.'!K115+'Tab. 6H - Kultura fiz. i turyst'!K231+'Tab.6I - Planow. przestrz.'!K104</f>
        <v>31927390</v>
      </c>
      <c r="I98" s="1295">
        <f>'Tab. 6A -Drogi'!L633+'Tab. 6B Polit społ i rozwój prz'!L145+'Tab. 6D - Oświata'!L116+'Tab. 6E - Administracja'!L268+'Tab. 6G - Roln i ochrona środ.'!L115+'Tab. 6H - Kultura fiz. i turyst'!L231+'Tab.6I - Planow. przestrz.'!L104</f>
        <v>30903439</v>
      </c>
      <c r="J98" s="1296">
        <f>B98+C98+D98+E98+F98+G98+H98+I98+5028154+11590</f>
        <v>320260456</v>
      </c>
      <c r="K98" s="1268"/>
      <c r="L98" s="1268"/>
      <c r="M98" s="1590">
        <f>'Tab. 6A -Drogi'!D633+'Tab. 6B Polit społ i rozwój prz'!D145+'Tab. 6D - Oświata'!D116+'Tab. 6E - Administracja'!D268+'Tab. 6G - Roln i ochrona środ.'!D115+'Tab. 6H - Kultura fiz. i turyst'!D231+'Tab.6I - Planow. przestrz.'!D104</f>
        <v>320248866</v>
      </c>
      <c r="N98" s="1591">
        <f>J98-M98</f>
        <v>11590</v>
      </c>
      <c r="O98" s="1591"/>
    </row>
    <row r="99" spans="1:15" s="1269" customFormat="1" ht="18" hidden="1" customHeight="1">
      <c r="A99" s="1294" t="s">
        <v>41</v>
      </c>
      <c r="B99" s="1295">
        <f>'Tab. 6A -Drogi'!E634+'Tab. 6B Polit społ i rozwój prz'!E146+'Tab. 6D - Oświata'!E117+'Tab. 6E - Administracja'!E269+'Tab. 6G - Roln i ochrona środ.'!E116+'Tab. 6H - Kultura fiz. i turyst'!E232+'Tab.6I - Planow. przestrz.'!E105</f>
        <v>183854880</v>
      </c>
      <c r="C99" s="1295">
        <f>'Tab. 6A -Drogi'!F634+'Tab. 6B Polit społ i rozwój prz'!F146+'Tab. 6D - Oświata'!F117+'Tab. 6E - Administracja'!F269+'Tab. 6G - Roln i ochrona środ.'!F116+'Tab. 6H - Kultura fiz. i turyst'!F232+'Tab.6I - Planow. przestrz.'!F105</f>
        <v>192811450</v>
      </c>
      <c r="D99" s="1295">
        <f>'Tab. 6A -Drogi'!G634+'Tab. 6B Polit społ i rozwój prz'!G146+'Tab. 6D - Oświata'!G117+'Tab. 6E - Administracja'!G269+'Tab. 6G - Roln i ochrona środ.'!G116+'Tab. 6H - Kultura fiz. i turyst'!G232+'Tab.6I - Planow. przestrz.'!G105</f>
        <v>432621183</v>
      </c>
      <c r="E99" s="1295">
        <f>'Tab. 6A -Drogi'!H634+'Tab. 6B Polit społ i rozwój prz'!H146+'Tab. 6D - Oświata'!H117+'Tab. 6E - Administracja'!H269+'Tab. 6G - Roln i ochrona środ.'!H116+'Tab. 6H - Kultura fiz. i turyst'!H232+'Tab.6I - Planow. przestrz.'!H105</f>
        <v>102298182</v>
      </c>
      <c r="F99" s="1295">
        <f>'Tab. 6A -Drogi'!I634+'Tab. 6B Polit społ i rozwój prz'!I146+'Tab. 6D - Oświata'!I117+'Tab. 6E - Administracja'!I269+'Tab. 6G - Roln i ochrona środ.'!I116+'Tab. 6H - Kultura fiz. i turyst'!I232+'Tab.6I - Planow. przestrz.'!I105</f>
        <v>25993368</v>
      </c>
      <c r="G99" s="1295">
        <f>'Tab. 6A -Drogi'!J634+'Tab. 6B Polit społ i rozwój prz'!J146+'Tab. 6D - Oświata'!J117+'Tab. 6E - Administracja'!J269+'Tab. 6G - Roln i ochrona środ.'!J116+'Tab. 6H - Kultura fiz. i turyst'!J232+'Tab.6I - Planow. przestrz.'!J105</f>
        <v>1921693</v>
      </c>
      <c r="H99" s="1295">
        <f>'Tab. 6A -Drogi'!K634+'Tab. 6B Polit społ i rozwój prz'!K146+'Tab. 6D - Oświata'!K117+'Tab. 6E - Administracja'!K269+'Tab. 6G - Roln i ochrona środ.'!K116+'Tab. 6H - Kultura fiz. i turyst'!K232+'Tab.6I - Planow. przestrz.'!K105</f>
        <v>161500</v>
      </c>
      <c r="I99" s="1295">
        <f>'Tab. 6A -Drogi'!L634+'Tab. 6B Polit społ i rozwój prz'!L146+'Tab. 6D - Oświata'!L117+'Tab. 6E - Administracja'!L269+'Tab. 6G - Roln i ochrona środ.'!L116+'Tab. 6H - Kultura fiz. i turyst'!L232+'Tab.6I - Planow. przestrz.'!L105</f>
        <v>161500</v>
      </c>
      <c r="J99" s="1296">
        <f>B99+C99+D99+E99+F99+G99+H99+I99</f>
        <v>939823756</v>
      </c>
      <c r="K99" s="1268"/>
      <c r="L99" s="1268"/>
      <c r="M99" s="1590">
        <f>'Tab. 6A -Drogi'!D634+'Tab. 6B Polit społ i rozwój prz'!D146+'Tab. 6E - Administracja'!D269+'Tab. 6G - Roln i ochrona środ.'!D116+'Tab. 6H - Kultura fiz. i turyst'!D232+'Tab.6I - Planow. przestrz.'!D105</f>
        <v>939835346</v>
      </c>
      <c r="N99" s="1591">
        <f>J99-M99</f>
        <v>-11590</v>
      </c>
      <c r="O99" s="1589"/>
    </row>
    <row r="100" spans="1:15" s="1269" customFormat="1" ht="24" hidden="1" customHeight="1" thickBot="1">
      <c r="A100" s="1289" t="s">
        <v>45</v>
      </c>
      <c r="B100" s="1290">
        <f t="shared" ref="B100:J100" si="57">B86-B101</f>
        <v>0</v>
      </c>
      <c r="C100" s="1290">
        <f>C86-C101</f>
        <v>0</v>
      </c>
      <c r="D100" s="1290">
        <f t="shared" si="57"/>
        <v>0</v>
      </c>
      <c r="E100" s="1290">
        <f t="shared" si="57"/>
        <v>0</v>
      </c>
      <c r="F100" s="1290">
        <f>F86-F101</f>
        <v>0</v>
      </c>
      <c r="G100" s="1290">
        <f t="shared" si="57"/>
        <v>0</v>
      </c>
      <c r="H100" s="1290">
        <f t="shared" si="57"/>
        <v>0</v>
      </c>
      <c r="I100" s="1290">
        <f t="shared" si="57"/>
        <v>0</v>
      </c>
      <c r="J100" s="1290">
        <f t="shared" si="57"/>
        <v>0</v>
      </c>
      <c r="K100" s="1268"/>
      <c r="L100" s="1268"/>
      <c r="M100" s="1590"/>
      <c r="N100" s="1589"/>
      <c r="O100" s="1589"/>
    </row>
    <row r="101" spans="1:15" s="1269" customFormat="1" ht="20.25" hidden="1" customHeight="1" thickBot="1">
      <c r="A101" s="1291" t="s">
        <v>44</v>
      </c>
      <c r="B101" s="1292">
        <f>B102+B103</f>
        <v>92837287</v>
      </c>
      <c r="C101" s="1292">
        <f t="shared" ref="C101:J101" si="58">C102+C103</f>
        <v>56395451</v>
      </c>
      <c r="D101" s="1292">
        <f t="shared" si="58"/>
        <v>49621384</v>
      </c>
      <c r="E101" s="1292">
        <f t="shared" si="58"/>
        <v>97224782</v>
      </c>
      <c r="F101" s="1292">
        <f t="shared" si="58"/>
        <v>54586648</v>
      </c>
      <c r="G101" s="1292">
        <f t="shared" si="58"/>
        <v>42060800</v>
      </c>
      <c r="H101" s="1292">
        <f>H102+H103</f>
        <v>2236889</v>
      </c>
      <c r="I101" s="1292">
        <f>I102+I103</f>
        <v>0</v>
      </c>
      <c r="J101" s="1293">
        <f t="shared" si="58"/>
        <v>394963241</v>
      </c>
      <c r="K101" s="1268"/>
      <c r="L101" s="1268"/>
      <c r="M101" s="1293">
        <f t="shared" ref="M101:N101" si="59">M102+M103</f>
        <v>394963241</v>
      </c>
      <c r="N101" s="1293">
        <f t="shared" si="59"/>
        <v>0</v>
      </c>
      <c r="O101" s="1589" t="s">
        <v>389</v>
      </c>
    </row>
    <row r="102" spans="1:15" s="1269" customFormat="1" ht="19.5" hidden="1" customHeight="1" thickTop="1">
      <c r="A102" s="1294" t="s">
        <v>40</v>
      </c>
      <c r="B102" s="1295">
        <f>'Tab. 6A -Drogi'!E640+'Tab. 6F - Kultura'!E19</f>
        <v>56644776</v>
      </c>
      <c r="C102" s="1295">
        <f>'Tab. 6A -Drogi'!F640+'Tab. 6F - Kultura'!F19</f>
        <v>47664011</v>
      </c>
      <c r="D102" s="1295">
        <f>'Tab. 6A -Drogi'!G640+'Tab. 6F - Kultura'!G19</f>
        <v>30757144</v>
      </c>
      <c r="E102" s="1295">
        <f>'Tab. 6A -Drogi'!H640+'Tab. 6F - Kultura'!H19</f>
        <v>37063625</v>
      </c>
      <c r="F102" s="1295">
        <f>'Tab. 6A -Drogi'!I640+'Tab. 6F - Kultura'!I19</f>
        <v>34202648</v>
      </c>
      <c r="G102" s="1295">
        <f>'Tab. 6A -Drogi'!J640+'Tab. 6F - Kultura'!J19</f>
        <v>2000000</v>
      </c>
      <c r="H102" s="1295">
        <f>'Tab. 6A -Drogi'!K640+'Tab. 6F - Kultura'!K19</f>
        <v>1650729</v>
      </c>
      <c r="I102" s="1295">
        <f>'Tab. 6A -Drogi'!L640+'Tab. 6F - Kultura'!L19</f>
        <v>0</v>
      </c>
      <c r="J102" s="1296">
        <f>B102+C102+D102+E102+F102+G102+H102+I102</f>
        <v>209982933</v>
      </c>
      <c r="K102" s="1268"/>
      <c r="L102" s="1268"/>
      <c r="M102" s="1590">
        <f>'Tab. 6A -Drogi'!D505+'Tab. 6A -Drogi'!D567+'Tab. 6A -Drogi'!D612+'Tab. 6F - Kultura'!D19+'Tab. 6A -Drogi'!D540</f>
        <v>209982933</v>
      </c>
      <c r="N102" s="1591">
        <f>J102-M102</f>
        <v>0</v>
      </c>
      <c r="O102" s="1589"/>
    </row>
    <row r="103" spans="1:15" s="1269" customFormat="1" ht="19.5" hidden="1" customHeight="1">
      <c r="A103" s="1294" t="s">
        <v>41</v>
      </c>
      <c r="B103" s="1295">
        <f>'Tab. 6A -Drogi'!E517+'Tab. 6A -Drogi'!E620+'Tab. 6C - Ochrona zdrowia'!E24+'Tab. 6G - Roln i ochrona środ.'!E97</f>
        <v>36192511</v>
      </c>
      <c r="C103" s="1295">
        <f>'Tab. 6A -Drogi'!F517+'Tab. 6A -Drogi'!F620+'Tab. 6C - Ochrona zdrowia'!F24+'Tab. 6G - Roln i ochrona środ.'!F97</f>
        <v>8731440</v>
      </c>
      <c r="D103" s="1295">
        <f>'Tab. 6A -Drogi'!G517+'Tab. 6A -Drogi'!G620+'Tab. 6C - Ochrona zdrowia'!G24+'Tab. 6G - Roln i ochrona środ.'!G97</f>
        <v>18864240</v>
      </c>
      <c r="E103" s="1295">
        <f>'Tab. 6A -Drogi'!H517+'Tab. 6A -Drogi'!H620+'Tab. 6C - Ochrona zdrowia'!H24+'Tab. 6G - Roln i ochrona środ.'!H97</f>
        <v>60161157</v>
      </c>
      <c r="F103" s="1295">
        <f>'Tab. 6A -Drogi'!I517+'Tab. 6A -Drogi'!I620+'Tab. 6C - Ochrona zdrowia'!I24+'Tab. 6G - Roln i ochrona środ.'!I97</f>
        <v>20384000</v>
      </c>
      <c r="G103" s="1295">
        <f>'Tab. 6A -Drogi'!J517+'Tab. 6A -Drogi'!J620+'Tab. 6C - Ochrona zdrowia'!J24+'Tab. 6G - Roln i ochrona środ.'!J97</f>
        <v>40060800</v>
      </c>
      <c r="H103" s="1295">
        <f>'Tab. 6A -Drogi'!K517+'Tab. 6A -Drogi'!K620+'Tab. 6C - Ochrona zdrowia'!K24+'Tab. 6G - Roln i ochrona środ.'!K97</f>
        <v>586160</v>
      </c>
      <c r="I103" s="1295">
        <f>'Tab. 6A -Drogi'!L517+'Tab. 6A -Drogi'!L620+'Tab. 6C - Ochrona zdrowia'!L24+'Tab. 6G - Roln i ochrona środ.'!L97</f>
        <v>0</v>
      </c>
      <c r="J103" s="1296">
        <f>B103+C103+D103+E103+F103+G103+H103+I103</f>
        <v>184980308</v>
      </c>
      <c r="K103" s="1268"/>
      <c r="L103" s="1268"/>
      <c r="M103" s="1590">
        <f>'Tab. 6A -Drogi'!D641+'Tab. 6C - Ochrona zdrowia'!D24+'Tab. 6G - Roln i ochrona środ.'!D97</f>
        <v>184980308</v>
      </c>
      <c r="N103" s="1591">
        <f>J103-M103</f>
        <v>0</v>
      </c>
      <c r="O103" s="1589"/>
    </row>
    <row r="104" spans="1:15" s="1269" customFormat="1" ht="18" hidden="1" customHeight="1">
      <c r="A104" s="1288"/>
      <c r="B104" s="1287">
        <f>B101+B97-B91</f>
        <v>0</v>
      </c>
      <c r="C104" s="1287">
        <f>C101+C97-C91</f>
        <v>0</v>
      </c>
      <c r="D104" s="1287">
        <f t="shared" ref="D104:I104" si="60">D101+D97-D91</f>
        <v>0</v>
      </c>
      <c r="E104" s="1287">
        <f t="shared" si="60"/>
        <v>0</v>
      </c>
      <c r="F104" s="1287">
        <f t="shared" si="60"/>
        <v>0</v>
      </c>
      <c r="G104" s="1287">
        <f t="shared" si="60"/>
        <v>0</v>
      </c>
      <c r="H104" s="1287">
        <f t="shared" si="60"/>
        <v>0</v>
      </c>
      <c r="I104" s="1287">
        <f t="shared" si="60"/>
        <v>0</v>
      </c>
      <c r="J104" s="1287">
        <f>J101+J97-J91</f>
        <v>0</v>
      </c>
      <c r="K104" s="1268"/>
      <c r="L104" s="1268"/>
      <c r="M104" s="1268"/>
    </row>
    <row r="105" spans="1:15" s="1269" customFormat="1" ht="18" hidden="1" customHeight="1" thickBot="1">
      <c r="A105" s="1297"/>
      <c r="B105" s="1298"/>
      <c r="C105" s="1298"/>
      <c r="D105" s="1298"/>
      <c r="E105" s="1298"/>
      <c r="F105" s="1298"/>
      <c r="G105" s="1298"/>
      <c r="H105" s="1298"/>
      <c r="I105" s="1298"/>
      <c r="J105" s="1298"/>
      <c r="K105" s="1268"/>
      <c r="L105" s="1268"/>
      <c r="M105" s="1268"/>
    </row>
    <row r="106" spans="1:15" s="1269" customFormat="1" ht="18" hidden="1" customHeight="1">
      <c r="A106" s="1266"/>
      <c r="B106" s="1267">
        <f>+B85-B59</f>
        <v>0</v>
      </c>
      <c r="C106" s="1267">
        <f>+C85-C59</f>
        <v>0</v>
      </c>
      <c r="D106" s="1267">
        <f>+D85-D59</f>
        <v>0</v>
      </c>
      <c r="E106" s="1267">
        <f t="shared" ref="E106:I106" si="61">+E85-E59</f>
        <v>0</v>
      </c>
      <c r="F106" s="1267">
        <f>+F85-F59</f>
        <v>0</v>
      </c>
      <c r="G106" s="1267">
        <f t="shared" si="61"/>
        <v>0</v>
      </c>
      <c r="H106" s="1267">
        <f t="shared" si="61"/>
        <v>0</v>
      </c>
      <c r="I106" s="1267">
        <f t="shared" si="61"/>
        <v>0</v>
      </c>
      <c r="J106" s="1267">
        <f>+J85-J59</f>
        <v>0</v>
      </c>
      <c r="K106" s="1267"/>
      <c r="L106" s="1267"/>
      <c r="M106" s="1268"/>
    </row>
    <row r="107" spans="1:15" s="1269" customFormat="1" ht="18" hidden="1" customHeight="1">
      <c r="A107" s="1266"/>
      <c r="B107" s="1267">
        <f t="shared" ref="B107:I107" si="62">B12+B59</f>
        <v>715753489</v>
      </c>
      <c r="C107" s="1267">
        <f t="shared" si="62"/>
        <v>495681603</v>
      </c>
      <c r="D107" s="1267">
        <f t="shared" si="62"/>
        <v>829501327</v>
      </c>
      <c r="E107" s="1267">
        <f t="shared" si="62"/>
        <v>425138901</v>
      </c>
      <c r="F107" s="1267">
        <f t="shared" si="62"/>
        <v>291078526</v>
      </c>
      <c r="G107" s="1267">
        <f t="shared" si="62"/>
        <v>91530665</v>
      </c>
      <c r="H107" s="1267">
        <f t="shared" si="62"/>
        <v>43816214</v>
      </c>
      <c r="I107" s="1267">
        <f t="shared" si="62"/>
        <v>39249562</v>
      </c>
      <c r="J107" s="1267">
        <f>J12+J59</f>
        <v>2966057734</v>
      </c>
      <c r="K107" s="1267"/>
      <c r="L107" s="1267"/>
      <c r="M107" s="1268"/>
    </row>
    <row r="108" spans="1:15" s="1269" customFormat="1" ht="16.5" hidden="1" customHeight="1" thickBot="1">
      <c r="A108" s="1266"/>
      <c r="B108" s="1299" t="s">
        <v>433</v>
      </c>
      <c r="C108" s="1300" t="s">
        <v>5</v>
      </c>
      <c r="D108" s="1301" t="s">
        <v>6</v>
      </c>
      <c r="E108" s="1301" t="s">
        <v>184</v>
      </c>
      <c r="F108" s="1301" t="s">
        <v>186</v>
      </c>
      <c r="G108" s="1301" t="s">
        <v>230</v>
      </c>
      <c r="H108" s="1301" t="s">
        <v>231</v>
      </c>
      <c r="I108" s="1301" t="s">
        <v>229</v>
      </c>
      <c r="J108" s="1302" t="s">
        <v>46</v>
      </c>
      <c r="K108" s="1302" t="s">
        <v>371</v>
      </c>
      <c r="L108" s="1302" t="s">
        <v>371</v>
      </c>
      <c r="M108" s="1268"/>
    </row>
    <row r="109" spans="1:15" s="1269" customFormat="1" ht="18" hidden="1" customHeight="1">
      <c r="A109" s="1266"/>
      <c r="B109" s="1267"/>
      <c r="C109" s="1267"/>
      <c r="D109" s="1267"/>
      <c r="E109" s="1267"/>
      <c r="F109" s="1267"/>
      <c r="G109" s="1267"/>
      <c r="H109" s="1267"/>
      <c r="I109" s="1267"/>
      <c r="J109" s="1267"/>
      <c r="K109" s="1303"/>
      <c r="L109" s="1303"/>
      <c r="M109" s="1268"/>
    </row>
    <row r="110" spans="1:15" s="1269" customFormat="1" ht="18" hidden="1" customHeight="1">
      <c r="A110" s="1266"/>
      <c r="B110" s="1267"/>
      <c r="C110" s="1267"/>
      <c r="D110" s="1267"/>
      <c r="E110" s="1267"/>
      <c r="F110" s="1267"/>
      <c r="G110" s="1267"/>
      <c r="H110" s="1267"/>
      <c r="I110" s="1267"/>
      <c r="J110" s="1267"/>
      <c r="K110" s="1303"/>
      <c r="L110" s="1303"/>
      <c r="M110" s="1268"/>
    </row>
    <row r="111" spans="1:15" s="509" customFormat="1" ht="12.75" hidden="1" customHeight="1">
      <c r="A111" s="1242"/>
      <c r="B111" s="1210"/>
      <c r="C111" s="1210">
        <f t="shared" ref="C111:D112" si="63">+C13+C60</f>
        <v>194720572</v>
      </c>
      <c r="D111" s="1210">
        <f t="shared" si="63"/>
        <v>234809149</v>
      </c>
      <c r="E111" s="1210"/>
      <c r="F111" s="1210"/>
      <c r="G111" s="1210"/>
      <c r="H111" s="1210"/>
      <c r="I111" s="1210"/>
      <c r="J111" s="1210"/>
      <c r="M111" s="506"/>
    </row>
    <row r="112" spans="1:15" s="509" customFormat="1" ht="28.5" hidden="1" customHeight="1">
      <c r="A112" s="1304"/>
      <c r="B112" s="1305"/>
      <c r="C112" s="1305">
        <f t="shared" si="63"/>
        <v>300961031</v>
      </c>
      <c r="D112" s="1305">
        <f t="shared" si="63"/>
        <v>594692178</v>
      </c>
      <c r="E112" s="1305"/>
      <c r="F112" s="1305"/>
      <c r="G112" s="1305"/>
      <c r="H112" s="1305"/>
      <c r="I112" s="1305"/>
      <c r="J112" s="1304"/>
      <c r="K112" s="1304"/>
      <c r="L112" s="1304"/>
      <c r="M112" s="506"/>
    </row>
    <row r="113" spans="1:13" s="509" customFormat="1" ht="8.25" hidden="1" customHeight="1" thickBot="1">
      <c r="A113" s="1242"/>
      <c r="B113" s="1210"/>
      <c r="C113" s="1210"/>
      <c r="D113" s="1210"/>
      <c r="E113" s="1210"/>
      <c r="F113" s="1210"/>
      <c r="G113" s="1210"/>
      <c r="H113" s="1210"/>
      <c r="I113" s="1210"/>
      <c r="J113" s="1210"/>
      <c r="M113" s="506"/>
    </row>
    <row r="114" spans="1:13" s="509" customFormat="1" ht="12.75" hidden="1" customHeight="1">
      <c r="A114" s="1242"/>
      <c r="B114" s="1306"/>
      <c r="C114" s="1307">
        <f t="shared" ref="C114:J114" si="64">+C115+C116</f>
        <v>495681603</v>
      </c>
      <c r="D114" s="1307">
        <f>+D115+D116</f>
        <v>829501327</v>
      </c>
      <c r="E114" s="1307"/>
      <c r="F114" s="1307"/>
      <c r="G114" s="1307"/>
      <c r="H114" s="1307"/>
      <c r="I114" s="1307"/>
      <c r="J114" s="1306">
        <f t="shared" si="64"/>
        <v>2966057734</v>
      </c>
      <c r="K114" s="1308"/>
      <c r="L114" s="1308"/>
      <c r="M114" s="506"/>
    </row>
    <row r="115" spans="1:13" s="509" customFormat="1" ht="12.75" hidden="1" customHeight="1">
      <c r="A115" s="1242"/>
      <c r="B115" s="1309"/>
      <c r="C115" s="1310">
        <f t="shared" ref="C115:D116" si="65">+C13+C60</f>
        <v>194720572</v>
      </c>
      <c r="D115" s="1310">
        <f t="shared" si="65"/>
        <v>234809149</v>
      </c>
      <c r="E115" s="1310"/>
      <c r="F115" s="1310"/>
      <c r="G115" s="1310"/>
      <c r="H115" s="1310"/>
      <c r="I115" s="1310"/>
      <c r="J115" s="1309">
        <f>+J13+J60</f>
        <v>1399378704</v>
      </c>
      <c r="K115" s="1311"/>
      <c r="L115" s="1311"/>
      <c r="M115" s="506"/>
    </row>
    <row r="116" spans="1:13" s="509" customFormat="1" ht="12.75" hidden="1" customHeight="1" thickBot="1">
      <c r="A116" s="1242"/>
      <c r="B116" s="1312"/>
      <c r="C116" s="1313">
        <f t="shared" si="65"/>
        <v>300961031</v>
      </c>
      <c r="D116" s="1313">
        <f t="shared" si="65"/>
        <v>594692178</v>
      </c>
      <c r="E116" s="1313"/>
      <c r="F116" s="1313"/>
      <c r="G116" s="1313"/>
      <c r="H116" s="1313"/>
      <c r="I116" s="1313"/>
      <c r="J116" s="1312">
        <f>+J14+J61</f>
        <v>1566679030</v>
      </c>
      <c r="K116" s="1314"/>
      <c r="L116" s="1314"/>
      <c r="M116" s="506"/>
    </row>
    <row r="117" spans="1:13" s="509" customFormat="1" ht="21.75" hidden="1" customHeight="1">
      <c r="A117" s="1315" t="s">
        <v>47</v>
      </c>
      <c r="B117" s="1316"/>
      <c r="C117" s="1316">
        <f t="shared" ref="C117:J117" si="66">+C85+C48</f>
        <v>495681603</v>
      </c>
      <c r="D117" s="1316">
        <f t="shared" si="66"/>
        <v>829501327</v>
      </c>
      <c r="E117" s="1316"/>
      <c r="F117" s="1316"/>
      <c r="G117" s="1316"/>
      <c r="H117" s="1316"/>
      <c r="I117" s="1316"/>
      <c r="J117" s="1316">
        <f t="shared" si="66"/>
        <v>2966057734.3000002</v>
      </c>
      <c r="K117" s="1317"/>
      <c r="L117" s="1317"/>
      <c r="M117" s="506"/>
    </row>
    <row r="118" spans="1:13" s="509" customFormat="1" ht="9.75" hidden="1" customHeight="1">
      <c r="A118" s="1315"/>
      <c r="B118" s="1305"/>
      <c r="C118" s="1305">
        <f t="shared" ref="C118:J118" si="67">+C117-C114</f>
        <v>0</v>
      </c>
      <c r="D118" s="1305">
        <f t="shared" si="67"/>
        <v>0</v>
      </c>
      <c r="E118" s="1305"/>
      <c r="F118" s="1305"/>
      <c r="G118" s="1305"/>
      <c r="H118" s="1305"/>
      <c r="I118" s="1305"/>
      <c r="J118" s="1305">
        <f t="shared" si="67"/>
        <v>0.30000019073486328</v>
      </c>
      <c r="K118" s="1210"/>
      <c r="L118" s="1210"/>
      <c r="M118" s="506"/>
    </row>
    <row r="119" spans="1:13" s="509" customFormat="1" ht="15.75" hidden="1" customHeight="1" thickBot="1">
      <c r="A119" s="1315" t="s">
        <v>48</v>
      </c>
      <c r="B119" s="1316"/>
      <c r="C119" s="1316">
        <f t="shared" ref="C119:J119" si="68">+C86+C49</f>
        <v>292647913</v>
      </c>
      <c r="D119" s="1316">
        <f t="shared" si="68"/>
        <v>542647917</v>
      </c>
      <c r="E119" s="1316"/>
      <c r="F119" s="1316"/>
      <c r="G119" s="1316"/>
      <c r="H119" s="1316"/>
      <c r="I119" s="1316"/>
      <c r="J119" s="1316">
        <f t="shared" si="68"/>
        <v>1655047453</v>
      </c>
      <c r="K119" s="1210"/>
      <c r="L119" s="1210"/>
      <c r="M119" s="506"/>
    </row>
    <row r="120" spans="1:13" ht="1.5" hidden="1" customHeight="1">
      <c r="A120" s="2845" t="s">
        <v>484</v>
      </c>
      <c r="B120" s="1318"/>
      <c r="C120" s="1319"/>
      <c r="D120" s="1318"/>
      <c r="E120" s="1318"/>
      <c r="F120" s="1318"/>
      <c r="G120" s="1318"/>
      <c r="H120" s="1318"/>
      <c r="I120" s="1318"/>
      <c r="J120" s="1318"/>
      <c r="K120" s="1320"/>
      <c r="L120" s="1320"/>
    </row>
    <row r="121" spans="1:13" s="1203" customFormat="1" ht="27.75" hidden="1" customHeight="1" thickBot="1">
      <c r="A121" s="2846"/>
      <c r="B121" s="1321">
        <f>+B85+B48</f>
        <v>715753489.29999995</v>
      </c>
      <c r="C121" s="1322">
        <f t="shared" ref="C121:J121" si="69">+C85+C48</f>
        <v>495681603</v>
      </c>
      <c r="D121" s="1321">
        <f t="shared" si="69"/>
        <v>829501327</v>
      </c>
      <c r="E121" s="1321">
        <f t="shared" si="69"/>
        <v>425138901</v>
      </c>
      <c r="F121" s="1321">
        <f t="shared" si="69"/>
        <v>291078526</v>
      </c>
      <c r="G121" s="1321">
        <f>+G85+G48</f>
        <v>91530665</v>
      </c>
      <c r="H121" s="1321">
        <f>+H85+H48</f>
        <v>43816214</v>
      </c>
      <c r="I121" s="1321">
        <f>+I85+I48</f>
        <v>39249562</v>
      </c>
      <c r="J121" s="1321">
        <f t="shared" si="69"/>
        <v>2966057734.3000002</v>
      </c>
      <c r="K121" s="1323">
        <f>+K85+K48</f>
        <v>2250304245</v>
      </c>
      <c r="L121" s="1323">
        <f>+L85+L48</f>
        <v>1754622642</v>
      </c>
      <c r="M121" s="237"/>
    </row>
    <row r="122" spans="1:13" hidden="1">
      <c r="A122" s="1" t="s">
        <v>49</v>
      </c>
      <c r="B122" s="2">
        <f t="shared" ref="B122:J122" si="70">+B18+B65+B27</f>
        <v>411701729.30000001</v>
      </c>
      <c r="C122" s="257">
        <f t="shared" si="70"/>
        <v>188403651</v>
      </c>
      <c r="D122" s="2">
        <f t="shared" si="70"/>
        <v>280445212</v>
      </c>
      <c r="E122" s="2">
        <f t="shared" si="70"/>
        <v>209477571</v>
      </c>
      <c r="F122" s="2">
        <f t="shared" si="70"/>
        <v>189062218</v>
      </c>
      <c r="G122" s="2">
        <f t="shared" si="70"/>
        <v>15542774</v>
      </c>
      <c r="H122" s="2">
        <f t="shared" si="70"/>
        <v>9519854</v>
      </c>
      <c r="I122" s="2">
        <f t="shared" si="70"/>
        <v>8545658</v>
      </c>
      <c r="J122" s="3">
        <f t="shared" si="70"/>
        <v>1347006114.3</v>
      </c>
      <c r="K122" s="1324">
        <f>+K18+K65+K27</f>
        <v>935304385</v>
      </c>
      <c r="L122" s="1324">
        <f>+L18+L65+L27</f>
        <v>746900734</v>
      </c>
    </row>
    <row r="123" spans="1:13" hidden="1">
      <c r="A123" s="1" t="s">
        <v>50</v>
      </c>
      <c r="B123" s="3">
        <f>+B68</f>
        <v>33000296</v>
      </c>
      <c r="C123" s="651">
        <f t="shared" ref="C123:D123" si="71">+C68</f>
        <v>8629331</v>
      </c>
      <c r="D123" s="3">
        <f t="shared" si="71"/>
        <v>15181227</v>
      </c>
      <c r="E123" s="3">
        <f t="shared" ref="E123:L123" si="72">+E68</f>
        <v>13811745</v>
      </c>
      <c r="F123" s="3">
        <f t="shared" si="72"/>
        <v>5936412</v>
      </c>
      <c r="G123" s="3">
        <f t="shared" si="72"/>
        <v>3566880</v>
      </c>
      <c r="H123" s="3">
        <f t="shared" si="72"/>
        <v>1472245</v>
      </c>
      <c r="I123" s="3">
        <f t="shared" si="72"/>
        <v>0</v>
      </c>
      <c r="J123" s="3">
        <f t="shared" si="72"/>
        <v>81598136</v>
      </c>
      <c r="K123" s="1939">
        <f t="shared" ref="K123" si="73">+K68</f>
        <v>48597840</v>
      </c>
      <c r="L123" s="1939">
        <f t="shared" si="72"/>
        <v>39968509</v>
      </c>
    </row>
    <row r="124" spans="1:13" hidden="1">
      <c r="A124" s="425" t="s">
        <v>13</v>
      </c>
      <c r="B124" s="3">
        <f t="shared" ref="B124:L124" si="74">+B19+B70</f>
        <v>29759317</v>
      </c>
      <c r="C124" s="651">
        <f t="shared" si="74"/>
        <v>27684118</v>
      </c>
      <c r="D124" s="3">
        <f t="shared" si="74"/>
        <v>2941487</v>
      </c>
      <c r="E124" s="3">
        <f t="shared" si="74"/>
        <v>1178198</v>
      </c>
      <c r="F124" s="3">
        <f t="shared" si="74"/>
        <v>1243362</v>
      </c>
      <c r="G124" s="3">
        <f t="shared" si="74"/>
        <v>585076</v>
      </c>
      <c r="H124" s="3">
        <f t="shared" si="74"/>
        <v>585076</v>
      </c>
      <c r="I124" s="3">
        <f t="shared" si="74"/>
        <v>494707</v>
      </c>
      <c r="J124" s="3">
        <f>+J19+J70</f>
        <v>64471341</v>
      </c>
      <c r="K124" s="1939">
        <f t="shared" ref="K124" si="75">+K19+K70</f>
        <v>34712024</v>
      </c>
      <c r="L124" s="1939">
        <f t="shared" si="74"/>
        <v>7027906</v>
      </c>
    </row>
    <row r="125" spans="1:13" hidden="1">
      <c r="A125" s="1943" t="s">
        <v>51</v>
      </c>
      <c r="B125" s="3">
        <f t="shared" ref="B125:L125" si="76">+B20+B72</f>
        <v>0</v>
      </c>
      <c r="C125" s="651">
        <f t="shared" si="76"/>
        <v>4004443</v>
      </c>
      <c r="D125" s="3">
        <f t="shared" si="76"/>
        <v>18864240</v>
      </c>
      <c r="E125" s="3">
        <f t="shared" si="76"/>
        <v>60161157</v>
      </c>
      <c r="F125" s="3">
        <f t="shared" si="76"/>
        <v>20384000</v>
      </c>
      <c r="G125" s="3">
        <f t="shared" si="76"/>
        <v>40060800</v>
      </c>
      <c r="H125" s="3">
        <f t="shared" si="76"/>
        <v>586160</v>
      </c>
      <c r="I125" s="3">
        <f t="shared" si="76"/>
        <v>0</v>
      </c>
      <c r="J125" s="3">
        <f t="shared" si="76"/>
        <v>144060800</v>
      </c>
      <c r="K125" s="1940">
        <f t="shared" ref="K125" si="77">+K20+K72</f>
        <v>144060800</v>
      </c>
      <c r="L125" s="1940">
        <f t="shared" si="76"/>
        <v>140056357</v>
      </c>
      <c r="M125" s="235">
        <f>+J125+J130</f>
        <v>144060800</v>
      </c>
    </row>
    <row r="126" spans="1:13" hidden="1">
      <c r="A126" s="425" t="s">
        <v>15</v>
      </c>
      <c r="B126" s="3">
        <f t="shared" ref="B126:L126" si="78">+B21+B69</f>
        <v>24092686</v>
      </c>
      <c r="C126" s="651">
        <f t="shared" si="78"/>
        <v>6619850</v>
      </c>
      <c r="D126" s="3">
        <f t="shared" si="78"/>
        <v>5076165</v>
      </c>
      <c r="E126" s="3">
        <f t="shared" si="78"/>
        <v>0</v>
      </c>
      <c r="F126" s="3">
        <f t="shared" si="78"/>
        <v>0</v>
      </c>
      <c r="G126" s="3">
        <f t="shared" si="78"/>
        <v>0</v>
      </c>
      <c r="H126" s="3">
        <f t="shared" si="78"/>
        <v>0</v>
      </c>
      <c r="I126" s="3">
        <f t="shared" si="78"/>
        <v>0</v>
      </c>
      <c r="J126" s="3">
        <f t="shared" si="78"/>
        <v>35788701</v>
      </c>
      <c r="K126" s="1939">
        <f t="shared" ref="K126" si="79">+K21+K69</f>
        <v>11696015</v>
      </c>
      <c r="L126" s="1939">
        <f t="shared" si="78"/>
        <v>5076165</v>
      </c>
    </row>
    <row r="127" spans="1:13" hidden="1">
      <c r="A127" s="425" t="s">
        <v>52</v>
      </c>
      <c r="B127" s="3">
        <f t="shared" ref="B127:L127" si="80">+B22+B66</f>
        <v>2196030</v>
      </c>
      <c r="C127" s="651">
        <f t="shared" si="80"/>
        <v>13327703</v>
      </c>
      <c r="D127" s="3">
        <f t="shared" si="80"/>
        <v>27721464</v>
      </c>
      <c r="E127" s="3">
        <f t="shared" si="80"/>
        <v>15363715</v>
      </c>
      <c r="F127" s="3">
        <f t="shared" si="80"/>
        <v>14182860</v>
      </c>
      <c r="G127" s="3">
        <f t="shared" si="80"/>
        <v>0</v>
      </c>
      <c r="H127" s="3">
        <f t="shared" si="80"/>
        <v>0</v>
      </c>
      <c r="I127" s="3">
        <f t="shared" si="80"/>
        <v>0</v>
      </c>
      <c r="J127" s="2052">
        <f>+J22+J66</f>
        <v>72791772</v>
      </c>
      <c r="K127" s="1939">
        <f t="shared" ref="K127" si="81">+K22+K66</f>
        <v>70595742</v>
      </c>
      <c r="L127" s="1939">
        <f t="shared" si="80"/>
        <v>57268039</v>
      </c>
    </row>
    <row r="128" spans="1:13" hidden="1">
      <c r="A128" s="425" t="s">
        <v>20</v>
      </c>
      <c r="B128" s="3">
        <f t="shared" ref="B128:L128" si="82">+B29</f>
        <v>7873856</v>
      </c>
      <c r="C128" s="651">
        <f t="shared" si="82"/>
        <v>8011183</v>
      </c>
      <c r="D128" s="3">
        <f t="shared" si="82"/>
        <v>22432642</v>
      </c>
      <c r="E128" s="3">
        <f t="shared" si="82"/>
        <v>7969850</v>
      </c>
      <c r="F128" s="3">
        <f t="shared" si="82"/>
        <v>183492</v>
      </c>
      <c r="G128" s="3">
        <f t="shared" si="82"/>
        <v>0</v>
      </c>
      <c r="H128" s="3">
        <f t="shared" si="82"/>
        <v>0</v>
      </c>
      <c r="I128" s="3">
        <f t="shared" si="82"/>
        <v>0</v>
      </c>
      <c r="J128" s="2052">
        <f t="shared" si="82"/>
        <v>46471023</v>
      </c>
      <c r="K128" s="1939">
        <f t="shared" ref="K128" si="83">+K29</f>
        <v>38597167</v>
      </c>
      <c r="L128" s="1939">
        <f t="shared" si="82"/>
        <v>30585984</v>
      </c>
    </row>
    <row r="129" spans="1:13" hidden="1">
      <c r="A129" s="425" t="s">
        <v>17</v>
      </c>
      <c r="B129" s="3">
        <f t="shared" ref="B129:L129" si="84">+B24</f>
        <v>11379681</v>
      </c>
      <c r="C129" s="651">
        <f t="shared" si="84"/>
        <v>0</v>
      </c>
      <c r="D129" s="3">
        <f t="shared" si="84"/>
        <v>0</v>
      </c>
      <c r="E129" s="3">
        <f t="shared" si="84"/>
        <v>0</v>
      </c>
      <c r="F129" s="3">
        <f t="shared" si="84"/>
        <v>0</v>
      </c>
      <c r="G129" s="3">
        <f t="shared" si="84"/>
        <v>0</v>
      </c>
      <c r="H129" s="3">
        <f t="shared" si="84"/>
        <v>0</v>
      </c>
      <c r="I129" s="3">
        <f t="shared" si="84"/>
        <v>0</v>
      </c>
      <c r="J129" s="3">
        <f t="shared" si="84"/>
        <v>11379681</v>
      </c>
      <c r="K129" s="1939">
        <f t="shared" ref="K129" si="85">+K24</f>
        <v>0</v>
      </c>
      <c r="L129" s="1939">
        <f t="shared" si="84"/>
        <v>0</v>
      </c>
    </row>
    <row r="130" spans="1:13" ht="22.5" hidden="1" customHeight="1">
      <c r="A130" s="425" t="s">
        <v>53</v>
      </c>
      <c r="B130" s="3">
        <f t="shared" ref="B130:L130" si="86">+B30</f>
        <v>0</v>
      </c>
      <c r="C130" s="651">
        <f t="shared" si="86"/>
        <v>0</v>
      </c>
      <c r="D130" s="3">
        <f t="shared" si="86"/>
        <v>0</v>
      </c>
      <c r="E130" s="3">
        <f t="shared" si="86"/>
        <v>0</v>
      </c>
      <c r="F130" s="3">
        <f t="shared" si="86"/>
        <v>0</v>
      </c>
      <c r="G130" s="3">
        <f t="shared" si="86"/>
        <v>0</v>
      </c>
      <c r="H130" s="3">
        <f t="shared" si="86"/>
        <v>0</v>
      </c>
      <c r="I130" s="3">
        <f t="shared" si="86"/>
        <v>0</v>
      </c>
      <c r="J130" s="3">
        <f t="shared" si="86"/>
        <v>0</v>
      </c>
      <c r="K130" s="1939">
        <f t="shared" ref="K130" si="87">+K30</f>
        <v>0</v>
      </c>
      <c r="L130" s="1939">
        <f t="shared" si="86"/>
        <v>0</v>
      </c>
    </row>
    <row r="131" spans="1:13" ht="16.5" hidden="1" customHeight="1">
      <c r="A131" s="425" t="s">
        <v>19</v>
      </c>
      <c r="B131" s="3">
        <f t="shared" ref="B131:L131" si="88">+B28</f>
        <v>0</v>
      </c>
      <c r="C131" s="651">
        <f t="shared" si="88"/>
        <v>0</v>
      </c>
      <c r="D131" s="3">
        <f t="shared" si="88"/>
        <v>0</v>
      </c>
      <c r="E131" s="3">
        <f t="shared" si="88"/>
        <v>0</v>
      </c>
      <c r="F131" s="3">
        <f t="shared" si="88"/>
        <v>0</v>
      </c>
      <c r="G131" s="3">
        <f t="shared" si="88"/>
        <v>0</v>
      </c>
      <c r="H131" s="3">
        <f t="shared" si="88"/>
        <v>0</v>
      </c>
      <c r="I131" s="3">
        <f t="shared" si="88"/>
        <v>0</v>
      </c>
      <c r="J131" s="3">
        <f t="shared" si="88"/>
        <v>0</v>
      </c>
      <c r="K131" s="1941">
        <f t="shared" ref="K131" si="89">+K28</f>
        <v>0</v>
      </c>
      <c r="L131" s="1941">
        <f t="shared" si="88"/>
        <v>0</v>
      </c>
    </row>
    <row r="132" spans="1:13" ht="13.5" hidden="1" thickBot="1">
      <c r="A132" s="1325" t="s">
        <v>21</v>
      </c>
      <c r="B132" s="5">
        <f t="shared" ref="B132:L132" si="90">+B31</f>
        <v>195749894</v>
      </c>
      <c r="C132" s="1326">
        <f t="shared" si="90"/>
        <v>239001324</v>
      </c>
      <c r="D132" s="5">
        <f t="shared" si="90"/>
        <v>456838890</v>
      </c>
      <c r="E132" s="5">
        <f t="shared" si="90"/>
        <v>117176665</v>
      </c>
      <c r="F132" s="5">
        <f t="shared" si="90"/>
        <v>60086182</v>
      </c>
      <c r="G132" s="5">
        <f t="shared" si="90"/>
        <v>31775135</v>
      </c>
      <c r="H132" s="5">
        <f t="shared" si="90"/>
        <v>31652879</v>
      </c>
      <c r="I132" s="5">
        <f t="shared" si="90"/>
        <v>30209197</v>
      </c>
      <c r="J132" s="5">
        <f t="shared" si="90"/>
        <v>1162490166</v>
      </c>
      <c r="K132" s="1942">
        <f t="shared" ref="K132" si="91">+K31</f>
        <v>966740272</v>
      </c>
      <c r="L132" s="1942">
        <f t="shared" si="90"/>
        <v>727738948</v>
      </c>
    </row>
    <row r="133" spans="1:13" s="1203" customFormat="1" ht="18" hidden="1" customHeight="1">
      <c r="A133" s="1327"/>
      <c r="B133" s="1329">
        <f t="shared" ref="B133:L133" si="92">SUM(B122:B132)</f>
        <v>715753489.29999995</v>
      </c>
      <c r="C133" s="1328">
        <f t="shared" si="92"/>
        <v>495681603</v>
      </c>
      <c r="D133" s="1328">
        <f t="shared" si="92"/>
        <v>829501327</v>
      </c>
      <c r="E133" s="1328">
        <f t="shared" si="92"/>
        <v>425138901</v>
      </c>
      <c r="F133" s="1328">
        <f t="shared" si="92"/>
        <v>291078526</v>
      </c>
      <c r="G133" s="1328">
        <f t="shared" si="92"/>
        <v>91530665</v>
      </c>
      <c r="H133" s="1328">
        <f t="shared" si="92"/>
        <v>43816214</v>
      </c>
      <c r="I133" s="1328">
        <f t="shared" si="92"/>
        <v>39249562</v>
      </c>
      <c r="J133" s="1328">
        <f t="shared" si="92"/>
        <v>2966057734.3000002</v>
      </c>
      <c r="K133" s="1328">
        <f t="shared" ref="K133" si="93">SUM(K122:K132)</f>
        <v>2250304245</v>
      </c>
      <c r="L133" s="1328">
        <f t="shared" si="92"/>
        <v>1754622642</v>
      </c>
      <c r="M133" s="237"/>
    </row>
    <row r="134" spans="1:13" ht="18" hidden="1" customHeight="1" thickBot="1">
      <c r="A134" s="1330"/>
      <c r="B134" s="1331">
        <f t="shared" ref="B134:I134" si="94">+B133-B88</f>
        <v>0.29999995231628418</v>
      </c>
      <c r="C134" s="1331">
        <f t="shared" si="94"/>
        <v>0</v>
      </c>
      <c r="D134" s="1331">
        <f t="shared" si="94"/>
        <v>0</v>
      </c>
      <c r="E134" s="1331">
        <f t="shared" si="94"/>
        <v>0</v>
      </c>
      <c r="F134" s="1331">
        <f t="shared" si="94"/>
        <v>0</v>
      </c>
      <c r="G134" s="1331">
        <f t="shared" si="94"/>
        <v>0</v>
      </c>
      <c r="H134" s="1331">
        <f t="shared" si="94"/>
        <v>0</v>
      </c>
      <c r="I134" s="1331">
        <f t="shared" si="94"/>
        <v>0</v>
      </c>
      <c r="J134" s="1331">
        <f>+J133-J88</f>
        <v>0.30000019073486328</v>
      </c>
      <c r="K134" s="1331"/>
      <c r="L134" s="1331"/>
    </row>
    <row r="135" spans="1:13" ht="30" hidden="1" customHeight="1" thickBot="1">
      <c r="A135" s="1332" t="s">
        <v>485</v>
      </c>
      <c r="B135" s="1333">
        <f t="shared" ref="B135:I135" si="95">+B86+B49</f>
        <v>309501515</v>
      </c>
      <c r="C135" s="1334">
        <f t="shared" si="95"/>
        <v>292647913</v>
      </c>
      <c r="D135" s="1333">
        <f t="shared" si="95"/>
        <v>542647917</v>
      </c>
      <c r="E135" s="1333">
        <f t="shared" si="95"/>
        <v>243790138</v>
      </c>
      <c r="F135" s="1333">
        <f t="shared" si="95"/>
        <v>119433301</v>
      </c>
      <c r="G135" s="1333">
        <f t="shared" si="95"/>
        <v>76596207</v>
      </c>
      <c r="H135" s="1333">
        <f t="shared" si="95"/>
        <v>34325779</v>
      </c>
      <c r="I135" s="1333">
        <f t="shared" si="95"/>
        <v>31064939</v>
      </c>
      <c r="J135" s="1333">
        <f>+J86+J49</f>
        <v>1655047453</v>
      </c>
      <c r="K135" s="1335" t="s">
        <v>23</v>
      </c>
      <c r="L135" s="1335" t="s">
        <v>23</v>
      </c>
    </row>
    <row r="136" spans="1:13" ht="14.25" hidden="1" customHeight="1">
      <c r="A136" s="1" t="s">
        <v>54</v>
      </c>
      <c r="B136" s="257">
        <f>+B35</f>
        <v>0</v>
      </c>
      <c r="C136" s="257">
        <f t="shared" ref="C136:L136" si="96">+C35</f>
        <v>0</v>
      </c>
      <c r="D136" s="2">
        <f t="shared" si="96"/>
        <v>0</v>
      </c>
      <c r="E136" s="2">
        <f>+E35</f>
        <v>0</v>
      </c>
      <c r="F136" s="2">
        <f t="shared" si="96"/>
        <v>0</v>
      </c>
      <c r="G136" s="2">
        <f t="shared" si="96"/>
        <v>0</v>
      </c>
      <c r="H136" s="2">
        <f t="shared" si="96"/>
        <v>0</v>
      </c>
      <c r="I136" s="2">
        <f t="shared" si="96"/>
        <v>0</v>
      </c>
      <c r="J136" s="1336">
        <f t="shared" si="96"/>
        <v>0</v>
      </c>
      <c r="K136" s="2">
        <f t="shared" ref="K136" si="97">+K35</f>
        <v>0</v>
      </c>
      <c r="L136" s="2">
        <f t="shared" si="96"/>
        <v>0</v>
      </c>
    </row>
    <row r="137" spans="1:13" ht="14.25" hidden="1" customHeight="1">
      <c r="A137" s="425" t="s">
        <v>13</v>
      </c>
      <c r="B137" s="4">
        <f t="shared" ref="B137:L137" si="98">+B77+B34</f>
        <v>29729045</v>
      </c>
      <c r="C137" s="651">
        <f t="shared" si="98"/>
        <v>27640844</v>
      </c>
      <c r="D137" s="3">
        <f t="shared" si="98"/>
        <v>2988730</v>
      </c>
      <c r="E137" s="3">
        <f t="shared" si="98"/>
        <v>1178197</v>
      </c>
      <c r="F137" s="3">
        <f t="shared" si="98"/>
        <v>1243362</v>
      </c>
      <c r="G137" s="3">
        <f t="shared" si="98"/>
        <v>611380</v>
      </c>
      <c r="H137" s="3">
        <f t="shared" si="98"/>
        <v>585076</v>
      </c>
      <c r="I137" s="3">
        <f t="shared" si="98"/>
        <v>494707</v>
      </c>
      <c r="J137" s="1337">
        <f t="shared" si="98"/>
        <v>64471341</v>
      </c>
      <c r="K137" s="3">
        <f t="shared" ref="K137" si="99">+K77+K34</f>
        <v>0</v>
      </c>
      <c r="L137" s="3">
        <f t="shared" si="98"/>
        <v>0</v>
      </c>
    </row>
    <row r="138" spans="1:13" ht="14.25" hidden="1" customHeight="1">
      <c r="A138" s="425" t="s">
        <v>15</v>
      </c>
      <c r="B138" s="4">
        <f t="shared" ref="B138:L138" si="100">+B37+B78</f>
        <v>24092686</v>
      </c>
      <c r="C138" s="651">
        <f t="shared" si="100"/>
        <v>6619850</v>
      </c>
      <c r="D138" s="3">
        <f t="shared" si="100"/>
        <v>5076165</v>
      </c>
      <c r="E138" s="3">
        <f t="shared" si="100"/>
        <v>0</v>
      </c>
      <c r="F138" s="3">
        <f t="shared" si="100"/>
        <v>0</v>
      </c>
      <c r="G138" s="3">
        <f t="shared" si="100"/>
        <v>0</v>
      </c>
      <c r="H138" s="3">
        <f t="shared" si="100"/>
        <v>0</v>
      </c>
      <c r="I138" s="3">
        <f t="shared" si="100"/>
        <v>0</v>
      </c>
      <c r="J138" s="1337">
        <f t="shared" si="100"/>
        <v>35788701</v>
      </c>
      <c r="K138" s="3">
        <f t="shared" ref="K138" si="101">+K37+K78</f>
        <v>0</v>
      </c>
      <c r="L138" s="3">
        <f t="shared" si="100"/>
        <v>0</v>
      </c>
    </row>
    <row r="139" spans="1:13" ht="14.25" hidden="1" customHeight="1">
      <c r="A139" s="425" t="s">
        <v>52</v>
      </c>
      <c r="B139" s="4">
        <f t="shared" ref="B139:L139" si="102">+B38+B79</f>
        <v>30968091</v>
      </c>
      <c r="C139" s="651">
        <f t="shared" si="102"/>
        <v>11743410</v>
      </c>
      <c r="D139" s="3">
        <f t="shared" si="102"/>
        <v>9537701</v>
      </c>
      <c r="E139" s="3">
        <f t="shared" si="102"/>
        <v>12123285</v>
      </c>
      <c r="F139" s="3">
        <f t="shared" si="102"/>
        <v>8419285</v>
      </c>
      <c r="G139" s="3">
        <f t="shared" si="102"/>
        <v>0</v>
      </c>
      <c r="H139" s="3">
        <f t="shared" si="102"/>
        <v>0</v>
      </c>
      <c r="I139" s="3">
        <f t="shared" si="102"/>
        <v>0</v>
      </c>
      <c r="J139" s="1337">
        <f t="shared" si="102"/>
        <v>72791772</v>
      </c>
      <c r="K139" s="3">
        <f t="shared" ref="K139" si="103">+K38+K79</f>
        <v>0</v>
      </c>
      <c r="L139" s="3">
        <f t="shared" si="102"/>
        <v>0</v>
      </c>
    </row>
    <row r="140" spans="1:13" ht="14.25" hidden="1" customHeight="1">
      <c r="A140" s="1" t="s">
        <v>12</v>
      </c>
      <c r="B140" s="4">
        <f t="shared" ref="B140:L140" si="104">+B80</f>
        <v>23178951</v>
      </c>
      <c r="C140" s="651">
        <f t="shared" si="104"/>
        <v>13998727</v>
      </c>
      <c r="D140" s="3">
        <f t="shared" si="104"/>
        <v>22337859</v>
      </c>
      <c r="E140" s="3">
        <f t="shared" si="104"/>
        <v>28644340</v>
      </c>
      <c r="F140" s="3">
        <f t="shared" si="104"/>
        <v>25783363</v>
      </c>
      <c r="G140" s="3">
        <f t="shared" si="104"/>
        <v>2000000</v>
      </c>
      <c r="H140" s="3">
        <f t="shared" si="104"/>
        <v>1650729</v>
      </c>
      <c r="I140" s="3">
        <f t="shared" si="104"/>
        <v>0</v>
      </c>
      <c r="J140" s="1337">
        <f t="shared" si="104"/>
        <v>117593969</v>
      </c>
      <c r="K140" s="3">
        <f t="shared" ref="K140" si="105">+K80</f>
        <v>0</v>
      </c>
      <c r="L140" s="3">
        <f t="shared" si="104"/>
        <v>0</v>
      </c>
    </row>
    <row r="141" spans="1:13" ht="13.5" hidden="1" customHeight="1">
      <c r="A141" s="425" t="s">
        <v>55</v>
      </c>
      <c r="B141" s="4">
        <f t="shared" ref="B141:L141" si="106">+B81+B36</f>
        <v>0</v>
      </c>
      <c r="C141" s="651">
        <f t="shared" si="106"/>
        <v>4004443</v>
      </c>
      <c r="D141" s="3">
        <f t="shared" si="106"/>
        <v>18864240</v>
      </c>
      <c r="E141" s="3">
        <f t="shared" si="106"/>
        <v>60161157</v>
      </c>
      <c r="F141" s="3">
        <f t="shared" si="106"/>
        <v>20384000</v>
      </c>
      <c r="G141" s="3">
        <f t="shared" si="106"/>
        <v>40060800</v>
      </c>
      <c r="H141" s="3">
        <f t="shared" si="106"/>
        <v>586160</v>
      </c>
      <c r="I141" s="3">
        <f t="shared" si="106"/>
        <v>0</v>
      </c>
      <c r="J141" s="1337">
        <f t="shared" si="106"/>
        <v>144060800</v>
      </c>
      <c r="K141" s="3">
        <f t="shared" ref="K141" si="107">+K81+K36</f>
        <v>0</v>
      </c>
      <c r="L141" s="3">
        <f t="shared" si="106"/>
        <v>0</v>
      </c>
    </row>
    <row r="142" spans="1:13" ht="12.75" hidden="1" customHeight="1">
      <c r="A142" s="425" t="s">
        <v>56</v>
      </c>
      <c r="B142" s="4">
        <f t="shared" ref="B142:L142" si="108">+B44</f>
        <v>0</v>
      </c>
      <c r="C142" s="651">
        <f t="shared" si="108"/>
        <v>0</v>
      </c>
      <c r="D142" s="3">
        <f t="shared" si="108"/>
        <v>0</v>
      </c>
      <c r="E142" s="3">
        <f t="shared" si="108"/>
        <v>0</v>
      </c>
      <c r="F142" s="3">
        <f t="shared" si="108"/>
        <v>0</v>
      </c>
      <c r="G142" s="3">
        <f t="shared" si="108"/>
        <v>0</v>
      </c>
      <c r="H142" s="3">
        <f t="shared" si="108"/>
        <v>0</v>
      </c>
      <c r="I142" s="3">
        <f t="shared" si="108"/>
        <v>0</v>
      </c>
      <c r="J142" s="1337">
        <f t="shared" si="108"/>
        <v>0</v>
      </c>
      <c r="K142" s="3">
        <f t="shared" ref="K142" si="109">+K44</f>
        <v>0</v>
      </c>
      <c r="L142" s="3">
        <f t="shared" si="108"/>
        <v>0</v>
      </c>
    </row>
    <row r="143" spans="1:13" ht="14.25" hidden="1" customHeight="1">
      <c r="A143" s="425" t="s">
        <v>17</v>
      </c>
      <c r="B143" s="4">
        <f t="shared" ref="B143:L143" si="110">+B42+B39</f>
        <v>11379681</v>
      </c>
      <c r="C143" s="651">
        <f t="shared" si="110"/>
        <v>0</v>
      </c>
      <c r="D143" s="3">
        <f t="shared" si="110"/>
        <v>0</v>
      </c>
      <c r="E143" s="3">
        <f t="shared" si="110"/>
        <v>0</v>
      </c>
      <c r="F143" s="3">
        <f t="shared" si="110"/>
        <v>0</v>
      </c>
      <c r="G143" s="3">
        <f t="shared" si="110"/>
        <v>0</v>
      </c>
      <c r="H143" s="3">
        <f t="shared" si="110"/>
        <v>0</v>
      </c>
      <c r="I143" s="3">
        <f t="shared" si="110"/>
        <v>0</v>
      </c>
      <c r="J143" s="1337">
        <f t="shared" si="110"/>
        <v>11379681</v>
      </c>
      <c r="K143" s="3">
        <f t="shared" ref="K143" si="111">+K42+K39</f>
        <v>0</v>
      </c>
      <c r="L143" s="3">
        <f t="shared" si="110"/>
        <v>0</v>
      </c>
    </row>
    <row r="144" spans="1:13" ht="21.75" hidden="1" customHeight="1">
      <c r="A144" s="425" t="s">
        <v>26</v>
      </c>
      <c r="B144" s="3">
        <f t="shared" ref="B144:L144" si="112">+B40</f>
        <v>0</v>
      </c>
      <c r="C144" s="651">
        <f t="shared" si="112"/>
        <v>0</v>
      </c>
      <c r="D144" s="3">
        <f t="shared" si="112"/>
        <v>0</v>
      </c>
      <c r="E144" s="3">
        <f t="shared" si="112"/>
        <v>0</v>
      </c>
      <c r="F144" s="3">
        <f t="shared" si="112"/>
        <v>0</v>
      </c>
      <c r="G144" s="3">
        <f t="shared" si="112"/>
        <v>0</v>
      </c>
      <c r="H144" s="3">
        <f t="shared" si="112"/>
        <v>0</v>
      </c>
      <c r="I144" s="3">
        <f t="shared" si="112"/>
        <v>0</v>
      </c>
      <c r="J144" s="1337">
        <f t="shared" si="112"/>
        <v>0</v>
      </c>
      <c r="K144" s="3">
        <f t="shared" ref="K144" si="113">+K40</f>
        <v>0</v>
      </c>
      <c r="L144" s="3">
        <f t="shared" si="112"/>
        <v>0</v>
      </c>
    </row>
    <row r="145" spans="1:15" ht="14.25" hidden="1" customHeight="1">
      <c r="A145" s="425" t="s">
        <v>20</v>
      </c>
      <c r="B145" s="4">
        <f t="shared" ref="B145:L145" si="114">+B45</f>
        <v>9417736</v>
      </c>
      <c r="C145" s="651">
        <f t="shared" si="114"/>
        <v>622052</v>
      </c>
      <c r="D145" s="3">
        <f t="shared" si="114"/>
        <v>18889433</v>
      </c>
      <c r="E145" s="3">
        <f t="shared" si="114"/>
        <v>14156094</v>
      </c>
      <c r="F145" s="3">
        <f t="shared" si="114"/>
        <v>3299388</v>
      </c>
      <c r="G145" s="3">
        <f t="shared" si="114"/>
        <v>86320</v>
      </c>
      <c r="H145" s="3">
        <f t="shared" si="114"/>
        <v>0</v>
      </c>
      <c r="I145" s="3">
        <f t="shared" si="114"/>
        <v>0</v>
      </c>
      <c r="J145" s="1337">
        <f t="shared" si="114"/>
        <v>46471023</v>
      </c>
      <c r="K145" s="3">
        <f t="shared" ref="K145" si="115">+K45</f>
        <v>0</v>
      </c>
      <c r="L145" s="3">
        <f t="shared" si="114"/>
        <v>0</v>
      </c>
    </row>
    <row r="146" spans="1:15" ht="14.25" hidden="1" customHeight="1">
      <c r="A146" s="1338" t="s">
        <v>19</v>
      </c>
      <c r="B146" s="265">
        <f t="shared" ref="B146:L146" si="116">+B43</f>
        <v>0</v>
      </c>
      <c r="C146" s="652">
        <f t="shared" si="116"/>
        <v>0</v>
      </c>
      <c r="D146" s="265">
        <f t="shared" si="116"/>
        <v>0</v>
      </c>
      <c r="E146" s="265">
        <f t="shared" si="116"/>
        <v>0</v>
      </c>
      <c r="F146" s="265">
        <f t="shared" si="116"/>
        <v>0</v>
      </c>
      <c r="G146" s="265">
        <f t="shared" si="116"/>
        <v>0</v>
      </c>
      <c r="H146" s="265">
        <f t="shared" si="116"/>
        <v>0</v>
      </c>
      <c r="I146" s="265">
        <f t="shared" si="116"/>
        <v>0</v>
      </c>
      <c r="J146" s="1337">
        <f t="shared" si="116"/>
        <v>0</v>
      </c>
      <c r="K146" s="265">
        <f t="shared" ref="K146" si="117">+K43</f>
        <v>0</v>
      </c>
      <c r="L146" s="265">
        <f t="shared" si="116"/>
        <v>0</v>
      </c>
    </row>
    <row r="147" spans="1:15" ht="14.25" hidden="1" customHeight="1" thickBot="1">
      <c r="A147" s="1325" t="s">
        <v>21</v>
      </c>
      <c r="B147" s="1340">
        <f t="shared" ref="B147:L147" si="118">+B46</f>
        <v>180735325</v>
      </c>
      <c r="C147" s="1341">
        <f t="shared" si="118"/>
        <v>228018587</v>
      </c>
      <c r="D147" s="1339">
        <f t="shared" si="118"/>
        <v>464953789</v>
      </c>
      <c r="E147" s="1339">
        <f t="shared" si="118"/>
        <v>127527065</v>
      </c>
      <c r="F147" s="1339">
        <f t="shared" si="118"/>
        <v>60303903</v>
      </c>
      <c r="G147" s="1339">
        <f t="shared" si="118"/>
        <v>33837707</v>
      </c>
      <c r="H147" s="1339">
        <f t="shared" si="118"/>
        <v>31503814</v>
      </c>
      <c r="I147" s="1339">
        <f t="shared" si="118"/>
        <v>30570232</v>
      </c>
      <c r="J147" s="1342">
        <f t="shared" si="118"/>
        <v>1162490166</v>
      </c>
      <c r="K147" s="1339">
        <f t="shared" ref="K147" si="119">+K46</f>
        <v>0</v>
      </c>
      <c r="L147" s="1339">
        <f t="shared" si="118"/>
        <v>0</v>
      </c>
    </row>
    <row r="148" spans="1:15" ht="14.25" hidden="1" customHeight="1">
      <c r="A148" s="1343"/>
      <c r="B148" s="1344">
        <f>SUM(B136:B147)</f>
        <v>309501515</v>
      </c>
      <c r="C148" s="1344">
        <f t="shared" ref="C148:J148" si="120">SUM(C136:C147)</f>
        <v>292647913</v>
      </c>
      <c r="D148" s="1344">
        <f t="shared" si="120"/>
        <v>542647917</v>
      </c>
      <c r="E148" s="1344">
        <f>SUM(E136:E147)</f>
        <v>243790138</v>
      </c>
      <c r="F148" s="1344">
        <f>SUM(F136:F147)</f>
        <v>119433301</v>
      </c>
      <c r="G148" s="1344">
        <f t="shared" ref="G148:I148" si="121">SUM(G136:G147)</f>
        <v>76596207</v>
      </c>
      <c r="H148" s="1344">
        <f t="shared" si="121"/>
        <v>34325779</v>
      </c>
      <c r="I148" s="1344">
        <f t="shared" si="121"/>
        <v>31064939</v>
      </c>
      <c r="J148" s="1344">
        <f t="shared" si="120"/>
        <v>1655047453</v>
      </c>
      <c r="K148" s="1344">
        <f>SUM(K136:K147)</f>
        <v>0</v>
      </c>
      <c r="L148" s="1344">
        <f>SUM(L136:L147)</f>
        <v>0</v>
      </c>
    </row>
    <row r="149" spans="1:15" ht="14.25" hidden="1" customHeight="1">
      <c r="A149" s="1345"/>
      <c r="B149" s="1346">
        <f t="shared" ref="B149:F149" si="122">+B148-B91</f>
        <v>0</v>
      </c>
      <c r="C149" s="1346">
        <f t="shared" si="122"/>
        <v>0</v>
      </c>
      <c r="D149" s="1346">
        <f t="shared" si="122"/>
        <v>0</v>
      </c>
      <c r="E149" s="1346">
        <f t="shared" si="122"/>
        <v>0</v>
      </c>
      <c r="F149" s="1346">
        <f t="shared" si="122"/>
        <v>0</v>
      </c>
      <c r="G149" s="1346">
        <f t="shared" ref="G149:I149" si="123">+G148-G91</f>
        <v>0</v>
      </c>
      <c r="H149" s="1346">
        <f t="shared" si="123"/>
        <v>0</v>
      </c>
      <c r="I149" s="1346">
        <f t="shared" si="123"/>
        <v>0</v>
      </c>
      <c r="J149" s="1346">
        <f>+J148-J91</f>
        <v>0</v>
      </c>
      <c r="K149" s="1344"/>
      <c r="L149" s="1344"/>
    </row>
    <row r="150" spans="1:15" ht="13.5" hidden="1" thickBot="1">
      <c r="A150" s="1178"/>
      <c r="B150" s="1347" t="s">
        <v>433</v>
      </c>
      <c r="C150" s="1300" t="s">
        <v>5</v>
      </c>
      <c r="D150" s="1301" t="s">
        <v>6</v>
      </c>
      <c r="E150" s="1301" t="s">
        <v>184</v>
      </c>
      <c r="F150" s="1301" t="s">
        <v>186</v>
      </c>
      <c r="G150" s="1301" t="s">
        <v>230</v>
      </c>
      <c r="H150" s="1301" t="s">
        <v>231</v>
      </c>
      <c r="I150" s="1301" t="s">
        <v>229</v>
      </c>
      <c r="J150" s="1302" t="s">
        <v>46</v>
      </c>
      <c r="K150" s="1348" t="s">
        <v>371</v>
      </c>
      <c r="L150" s="1348" t="s">
        <v>371</v>
      </c>
    </row>
    <row r="151" spans="1:15" ht="3" hidden="1" customHeight="1">
      <c r="A151" s="2847" t="s">
        <v>464</v>
      </c>
      <c r="B151" s="1350"/>
      <c r="C151" s="1351"/>
      <c r="D151" s="1349"/>
      <c r="E151" s="1349"/>
      <c r="F151" s="1349"/>
      <c r="G151" s="1349"/>
      <c r="H151" s="1349"/>
      <c r="I151" s="1349"/>
      <c r="J151" s="1349"/>
      <c r="K151" s="1352"/>
      <c r="L151" s="1352"/>
    </row>
    <row r="152" spans="1:15" ht="27" hidden="1" customHeight="1" thickBot="1">
      <c r="A152" s="2848"/>
      <c r="B152" s="1353">
        <f>SUM(B153:B163)</f>
        <v>715406040.29999995</v>
      </c>
      <c r="C152" s="1354">
        <f t="shared" ref="C152:D152" si="124">SUM(C153:C163)</f>
        <v>545283095</v>
      </c>
      <c r="D152" s="1353">
        <f t="shared" si="124"/>
        <v>759721934</v>
      </c>
      <c r="E152" s="1353">
        <f t="shared" ref="E152:L152" si="125">SUM(E153:E163)</f>
        <v>363258532</v>
      </c>
      <c r="F152" s="1353">
        <f t="shared" si="125"/>
        <v>283163936</v>
      </c>
      <c r="G152" s="1353">
        <f t="shared" si="125"/>
        <v>92643497</v>
      </c>
      <c r="H152" s="1353">
        <f t="shared" si="125"/>
        <v>44860247</v>
      </c>
      <c r="I152" s="1353">
        <f t="shared" si="125"/>
        <v>39747892</v>
      </c>
      <c r="J152" s="1353">
        <f t="shared" si="125"/>
        <v>2878392620.3000002</v>
      </c>
      <c r="K152" s="1355">
        <f t="shared" ref="K152" si="126">SUM(K153:K163)</f>
        <v>2162986580</v>
      </c>
      <c r="L152" s="1355">
        <f t="shared" si="125"/>
        <v>2162986580</v>
      </c>
    </row>
    <row r="153" spans="1:15" hidden="1">
      <c r="A153" s="1356" t="s">
        <v>49</v>
      </c>
      <c r="B153" s="1359">
        <v>411556261.30000001</v>
      </c>
      <c r="C153" s="1360">
        <v>194668690</v>
      </c>
      <c r="D153" s="1357">
        <v>267234397</v>
      </c>
      <c r="E153" s="1357">
        <v>205778101</v>
      </c>
      <c r="F153" s="1357">
        <v>187267691</v>
      </c>
      <c r="G153" s="1357">
        <v>15542774</v>
      </c>
      <c r="H153" s="1357">
        <v>9519854</v>
      </c>
      <c r="I153" s="1357">
        <v>8620407</v>
      </c>
      <c r="J153" s="1357">
        <v>1334495622.3</v>
      </c>
      <c r="K153" s="1358">
        <v>922939361</v>
      </c>
      <c r="L153" s="1358">
        <v>922939361</v>
      </c>
      <c r="N153" s="1190"/>
      <c r="O153" s="1190"/>
    </row>
    <row r="154" spans="1:15" hidden="1">
      <c r="A154" s="1356" t="s">
        <v>50</v>
      </c>
      <c r="B154" s="1359">
        <v>33000296</v>
      </c>
      <c r="C154" s="1360">
        <v>5892386</v>
      </c>
      <c r="D154" s="1357">
        <v>8692126</v>
      </c>
      <c r="E154" s="1357">
        <v>12305000</v>
      </c>
      <c r="F154" s="1357">
        <v>5657500</v>
      </c>
      <c r="G154" s="1357">
        <v>3566880</v>
      </c>
      <c r="H154" s="1357">
        <v>1472245</v>
      </c>
      <c r="I154" s="1357">
        <v>0</v>
      </c>
      <c r="J154" s="1357">
        <v>70586433</v>
      </c>
      <c r="K154" s="1358">
        <v>37586137</v>
      </c>
      <c r="L154" s="1358">
        <v>37586137</v>
      </c>
      <c r="N154" s="1190"/>
      <c r="O154" s="1190"/>
    </row>
    <row r="155" spans="1:15" hidden="1">
      <c r="A155" s="161" t="s">
        <v>13</v>
      </c>
      <c r="B155" s="1359">
        <v>29758884</v>
      </c>
      <c r="C155" s="1360">
        <v>28142383</v>
      </c>
      <c r="D155" s="1357">
        <v>1674979</v>
      </c>
      <c r="E155" s="1357">
        <v>1178198</v>
      </c>
      <c r="F155" s="1357">
        <v>1243362</v>
      </c>
      <c r="G155" s="1357">
        <v>989414</v>
      </c>
      <c r="H155" s="1357">
        <v>989414</v>
      </c>
      <c r="I155" s="1357">
        <v>494707</v>
      </c>
      <c r="J155" s="1357">
        <v>64471341</v>
      </c>
      <c r="K155" s="1358">
        <v>34712457</v>
      </c>
      <c r="L155" s="1358">
        <v>34712457</v>
      </c>
      <c r="N155" s="1190"/>
      <c r="O155" s="1190"/>
    </row>
    <row r="156" spans="1:15" ht="24" hidden="1">
      <c r="A156" s="161" t="s">
        <v>51</v>
      </c>
      <c r="B156" s="1359">
        <v>0</v>
      </c>
      <c r="C156" s="1360">
        <v>27618240</v>
      </c>
      <c r="D156" s="1357">
        <v>18864240</v>
      </c>
      <c r="E156" s="1357">
        <v>36547360</v>
      </c>
      <c r="F156" s="1357">
        <v>20384000</v>
      </c>
      <c r="G156" s="1357">
        <v>40060800</v>
      </c>
      <c r="H156" s="1357">
        <v>586160</v>
      </c>
      <c r="I156" s="1357">
        <v>0</v>
      </c>
      <c r="J156" s="1357">
        <v>144060800</v>
      </c>
      <c r="K156" s="1358">
        <v>144060800</v>
      </c>
      <c r="L156" s="1358">
        <v>144060800</v>
      </c>
      <c r="N156" s="1190"/>
      <c r="O156" s="1190"/>
    </row>
    <row r="157" spans="1:15" hidden="1">
      <c r="A157" s="161" t="s">
        <v>15</v>
      </c>
      <c r="B157" s="1359">
        <v>24092686</v>
      </c>
      <c r="C157" s="1360">
        <v>8371187</v>
      </c>
      <c r="D157" s="1357">
        <v>6041821</v>
      </c>
      <c r="E157" s="1357">
        <v>0</v>
      </c>
      <c r="F157" s="1357">
        <v>0</v>
      </c>
      <c r="G157" s="1357">
        <v>0</v>
      </c>
      <c r="H157" s="1357">
        <v>0</v>
      </c>
      <c r="I157" s="1357">
        <v>0</v>
      </c>
      <c r="J157" s="1357">
        <v>38505694</v>
      </c>
      <c r="K157" s="1358">
        <v>14413008</v>
      </c>
      <c r="L157" s="1358">
        <v>14413008</v>
      </c>
      <c r="N157" s="1190"/>
      <c r="O157" s="1190"/>
    </row>
    <row r="158" spans="1:15" hidden="1">
      <c r="A158" s="161" t="s">
        <v>52</v>
      </c>
      <c r="B158" s="1359">
        <v>2196030</v>
      </c>
      <c r="C158" s="1360">
        <v>15130493</v>
      </c>
      <c r="D158" s="1357">
        <v>26481351</v>
      </c>
      <c r="E158" s="1357">
        <v>14801038</v>
      </c>
      <c r="F158" s="1357">
        <v>14182860</v>
      </c>
      <c r="G158" s="1357">
        <v>0</v>
      </c>
      <c r="H158" s="1357">
        <v>0</v>
      </c>
      <c r="I158" s="1357">
        <v>0</v>
      </c>
      <c r="J158" s="1357">
        <v>72791772</v>
      </c>
      <c r="K158" s="1358">
        <v>70595742</v>
      </c>
      <c r="L158" s="1358">
        <v>70595742</v>
      </c>
      <c r="N158" s="1190"/>
      <c r="O158" s="1190"/>
    </row>
    <row r="159" spans="1:15" hidden="1">
      <c r="A159" s="161" t="s">
        <v>20</v>
      </c>
      <c r="B159" s="1359">
        <v>7865609</v>
      </c>
      <c r="C159" s="1360">
        <v>10137973</v>
      </c>
      <c r="D159" s="1357">
        <v>21510939</v>
      </c>
      <c r="E159" s="1357">
        <v>6735663</v>
      </c>
      <c r="F159" s="1357">
        <v>183492</v>
      </c>
      <c r="G159" s="1357">
        <v>0</v>
      </c>
      <c r="H159" s="1357">
        <v>0</v>
      </c>
      <c r="I159" s="1357">
        <v>0</v>
      </c>
      <c r="J159" s="1357">
        <v>46433676</v>
      </c>
      <c r="K159" s="1358">
        <v>38568067</v>
      </c>
      <c r="L159" s="1358">
        <v>38568067</v>
      </c>
      <c r="N159" s="1190"/>
      <c r="O159" s="1190"/>
    </row>
    <row r="160" spans="1:15" hidden="1">
      <c r="A160" s="161" t="s">
        <v>17</v>
      </c>
      <c r="B160" s="1359">
        <v>11379681</v>
      </c>
      <c r="C160" s="1360">
        <v>0</v>
      </c>
      <c r="D160" s="1357">
        <v>0</v>
      </c>
      <c r="E160" s="1357">
        <v>0</v>
      </c>
      <c r="F160" s="1357">
        <v>0</v>
      </c>
      <c r="G160" s="1357">
        <v>0</v>
      </c>
      <c r="H160" s="1357">
        <v>0</v>
      </c>
      <c r="I160" s="1357">
        <v>0</v>
      </c>
      <c r="J160" s="1357">
        <v>11379681</v>
      </c>
      <c r="K160" s="1358">
        <v>0</v>
      </c>
      <c r="L160" s="1358">
        <v>0</v>
      </c>
      <c r="N160" s="1190"/>
      <c r="O160" s="1190"/>
    </row>
    <row r="161" spans="1:15" hidden="1">
      <c r="A161" s="1361" t="s">
        <v>53</v>
      </c>
      <c r="B161" s="1359">
        <v>0</v>
      </c>
      <c r="C161" s="1360">
        <v>0</v>
      </c>
      <c r="D161" s="1357">
        <v>0</v>
      </c>
      <c r="E161" s="1357">
        <v>0</v>
      </c>
      <c r="F161" s="1357">
        <v>0</v>
      </c>
      <c r="G161" s="1357">
        <v>0</v>
      </c>
      <c r="H161" s="1357">
        <v>0</v>
      </c>
      <c r="I161" s="1357">
        <v>0</v>
      </c>
      <c r="J161" s="1357">
        <v>0</v>
      </c>
      <c r="K161" s="1358">
        <v>0</v>
      </c>
      <c r="L161" s="1358">
        <v>0</v>
      </c>
      <c r="M161" s="235"/>
      <c r="N161" s="1190"/>
      <c r="O161" s="1190"/>
    </row>
    <row r="162" spans="1:15" hidden="1">
      <c r="A162" s="1362" t="s">
        <v>19</v>
      </c>
      <c r="B162" s="1359">
        <v>0</v>
      </c>
      <c r="C162" s="1364">
        <v>0</v>
      </c>
      <c r="D162" s="1363">
        <v>0</v>
      </c>
      <c r="E162" s="1363">
        <v>0</v>
      </c>
      <c r="F162" s="1363">
        <v>0</v>
      </c>
      <c r="G162" s="1363">
        <v>0</v>
      </c>
      <c r="H162" s="1363">
        <v>0</v>
      </c>
      <c r="I162" s="1363">
        <v>0</v>
      </c>
      <c r="J162" s="1357">
        <v>0</v>
      </c>
      <c r="K162" s="1358">
        <v>0</v>
      </c>
      <c r="L162" s="1358">
        <v>0</v>
      </c>
      <c r="N162" s="1190"/>
      <c r="O162" s="1190"/>
    </row>
    <row r="163" spans="1:15" ht="13.5" hidden="1" thickBot="1">
      <c r="A163" s="751" t="s">
        <v>21</v>
      </c>
      <c r="B163" s="1365">
        <v>195556593</v>
      </c>
      <c r="C163" s="1368">
        <v>255321743</v>
      </c>
      <c r="D163" s="1365">
        <v>409222081</v>
      </c>
      <c r="E163" s="1365">
        <v>85913172</v>
      </c>
      <c r="F163" s="1365">
        <v>54245031</v>
      </c>
      <c r="G163" s="1365">
        <v>32483629</v>
      </c>
      <c r="H163" s="1365">
        <v>32292574</v>
      </c>
      <c r="I163" s="1365">
        <v>30632778</v>
      </c>
      <c r="J163" s="1365">
        <v>1095667601</v>
      </c>
      <c r="K163" s="1366">
        <v>900111008</v>
      </c>
      <c r="L163" s="1366">
        <v>900111008</v>
      </c>
      <c r="N163" s="1190"/>
      <c r="O163" s="1190"/>
    </row>
    <row r="164" spans="1:15" hidden="1">
      <c r="A164" s="1369"/>
      <c r="B164" s="1371">
        <f t="shared" ref="B164:J164" si="127">SUM(B153:B163)</f>
        <v>715406040.29999995</v>
      </c>
      <c r="C164" s="1370">
        <f t="shared" ref="C164:I164" si="128">SUM(C153:C163)</f>
        <v>545283095</v>
      </c>
      <c r="D164" s="1370">
        <f t="shared" si="128"/>
        <v>759721934</v>
      </c>
      <c r="E164" s="1370">
        <f t="shared" si="128"/>
        <v>363258532</v>
      </c>
      <c r="F164" s="1370">
        <f t="shared" si="128"/>
        <v>283163936</v>
      </c>
      <c r="G164" s="1370">
        <f t="shared" si="128"/>
        <v>92643497</v>
      </c>
      <c r="H164" s="1370">
        <f t="shared" si="128"/>
        <v>44860247</v>
      </c>
      <c r="I164" s="1370">
        <f t="shared" si="128"/>
        <v>39747892</v>
      </c>
      <c r="J164" s="1370">
        <f t="shared" si="127"/>
        <v>2878392620.3000002</v>
      </c>
      <c r="K164" s="1370">
        <f>SUM(K153:K163)</f>
        <v>2162986580</v>
      </c>
      <c r="L164" s="1370">
        <f>SUM(L153:L163)</f>
        <v>2162986580</v>
      </c>
    </row>
    <row r="165" spans="1:15" hidden="1">
      <c r="A165" s="1372" t="s">
        <v>42</v>
      </c>
      <c r="B165" s="1374">
        <f t="shared" ref="B165:L165" si="129">+B164-B152</f>
        <v>0</v>
      </c>
      <c r="C165" s="1373">
        <f>+C164-C152</f>
        <v>0</v>
      </c>
      <c r="D165" s="1373">
        <f>+D164-D152</f>
        <v>0</v>
      </c>
      <c r="E165" s="1373">
        <f>+E164-E152</f>
        <v>0</v>
      </c>
      <c r="F165" s="1373">
        <f>+F164-F152</f>
        <v>0</v>
      </c>
      <c r="G165" s="1373"/>
      <c r="H165" s="1373"/>
      <c r="I165" s="1373"/>
      <c r="J165" s="1373">
        <f t="shared" si="129"/>
        <v>0</v>
      </c>
      <c r="K165" s="1373">
        <f t="shared" ref="K165" si="130">+K164-K152</f>
        <v>0</v>
      </c>
      <c r="L165" s="1373">
        <f t="shared" si="129"/>
        <v>0</v>
      </c>
    </row>
    <row r="166" spans="1:15" ht="3.75" hidden="1" customHeight="1" thickBot="1">
      <c r="A166" s="1330"/>
      <c r="B166" s="1375"/>
      <c r="C166" s="1375"/>
      <c r="D166" s="1375"/>
      <c r="E166" s="1375"/>
      <c r="F166" s="1375"/>
      <c r="G166" s="1375"/>
      <c r="H166" s="1375"/>
      <c r="I166" s="1375"/>
      <c r="J166" s="1375"/>
    </row>
    <row r="167" spans="1:15" ht="32.25" hidden="1" customHeight="1" thickBot="1">
      <c r="A167" s="1376" t="s">
        <v>463</v>
      </c>
      <c r="B167" s="1377">
        <f>SUM(B168:B179)</f>
        <v>309501515</v>
      </c>
      <c r="C167" s="1378">
        <f t="shared" ref="C167:J167" si="131">SUM(C168:C179)</f>
        <v>340623747.69999999</v>
      </c>
      <c r="D167" s="1377">
        <f t="shared" si="131"/>
        <v>495989258</v>
      </c>
      <c r="E167" s="1377">
        <f>SUM(E168:E179)</f>
        <v>183950885</v>
      </c>
      <c r="F167" s="1377">
        <f>SUM(F168:F179)</f>
        <v>113846182</v>
      </c>
      <c r="G167" s="1377">
        <f>SUM(G168:G179)</f>
        <v>75818447</v>
      </c>
      <c r="H167" s="1377">
        <f>SUM(H168:H179)</f>
        <v>35438612</v>
      </c>
      <c r="I167" s="1377">
        <f>SUM(I168:I179)</f>
        <v>31488520</v>
      </c>
      <c r="J167" s="1377">
        <f t="shared" si="131"/>
        <v>1588686601.6999998</v>
      </c>
      <c r="K167" s="1379"/>
      <c r="L167" s="1379"/>
    </row>
    <row r="168" spans="1:15" hidden="1">
      <c r="A168" s="1356" t="s">
        <v>54</v>
      </c>
      <c r="B168" s="1380">
        <v>0</v>
      </c>
      <c r="C168" s="1381">
        <v>0</v>
      </c>
      <c r="D168" s="1380">
        <v>0</v>
      </c>
      <c r="E168" s="1380">
        <v>0</v>
      </c>
      <c r="F168" s="1380">
        <v>0</v>
      </c>
      <c r="G168" s="1382">
        <v>0</v>
      </c>
      <c r="H168" s="1382">
        <v>0</v>
      </c>
      <c r="I168" s="1382">
        <v>0</v>
      </c>
      <c r="J168" s="1357">
        <v>0</v>
      </c>
      <c r="K168" s="1383"/>
      <c r="L168" s="1383"/>
    </row>
    <row r="169" spans="1:15" hidden="1">
      <c r="A169" s="161" t="s">
        <v>13</v>
      </c>
      <c r="B169" s="1357">
        <v>29729045</v>
      </c>
      <c r="C169" s="1360">
        <v>28106448.600000001</v>
      </c>
      <c r="D169" s="1357">
        <v>1714449</v>
      </c>
      <c r="E169" s="1357">
        <v>1178197</v>
      </c>
      <c r="F169" s="1357">
        <v>1243362</v>
      </c>
      <c r="G169" s="1357">
        <v>1015718</v>
      </c>
      <c r="H169" s="1357">
        <v>989414</v>
      </c>
      <c r="I169" s="1357">
        <v>494707</v>
      </c>
      <c r="J169" s="1357">
        <v>64471340.600000001</v>
      </c>
      <c r="K169" s="1383"/>
      <c r="L169" s="1383"/>
    </row>
    <row r="170" spans="1:15" ht="14.25" hidden="1" customHeight="1">
      <c r="A170" s="161" t="s">
        <v>15</v>
      </c>
      <c r="B170" s="1357">
        <v>24092686</v>
      </c>
      <c r="C170" s="1360">
        <v>8371187</v>
      </c>
      <c r="D170" s="1357">
        <v>6041821</v>
      </c>
      <c r="E170" s="1357">
        <v>0</v>
      </c>
      <c r="F170" s="1357">
        <v>0</v>
      </c>
      <c r="G170" s="1357">
        <v>0</v>
      </c>
      <c r="H170" s="1357">
        <v>0</v>
      </c>
      <c r="I170" s="1357">
        <v>0</v>
      </c>
      <c r="J170" s="1357">
        <v>38505694</v>
      </c>
      <c r="K170" s="1383"/>
      <c r="L170" s="1383"/>
    </row>
    <row r="171" spans="1:15" ht="14.25" hidden="1" customHeight="1">
      <c r="A171" s="161" t="s">
        <v>52</v>
      </c>
      <c r="B171" s="1357">
        <v>30968091</v>
      </c>
      <c r="C171" s="1360">
        <v>11961826</v>
      </c>
      <c r="D171" s="1357">
        <v>9319285</v>
      </c>
      <c r="E171" s="1357">
        <v>12123285</v>
      </c>
      <c r="F171" s="1357">
        <v>8419285</v>
      </c>
      <c r="G171" s="1357">
        <v>0</v>
      </c>
      <c r="H171" s="1357">
        <v>0</v>
      </c>
      <c r="I171" s="1357">
        <v>0</v>
      </c>
      <c r="J171" s="1357">
        <v>72791772</v>
      </c>
      <c r="K171" s="1383"/>
      <c r="L171" s="1383"/>
    </row>
    <row r="172" spans="1:15" hidden="1">
      <c r="A172" s="1356" t="s">
        <v>12</v>
      </c>
      <c r="B172" s="1357">
        <v>23178951</v>
      </c>
      <c r="C172" s="1360">
        <v>13959800</v>
      </c>
      <c r="D172" s="1357">
        <v>21313957</v>
      </c>
      <c r="E172" s="1357">
        <v>27636300</v>
      </c>
      <c r="F172" s="1357">
        <v>25636300</v>
      </c>
      <c r="G172" s="1357">
        <v>2000000</v>
      </c>
      <c r="H172" s="1357">
        <v>1650729</v>
      </c>
      <c r="I172" s="1357">
        <v>0</v>
      </c>
      <c r="J172" s="1357">
        <v>115376037</v>
      </c>
      <c r="K172" s="1383"/>
      <c r="L172" s="1383"/>
    </row>
    <row r="173" spans="1:15" hidden="1">
      <c r="A173" s="161" t="s">
        <v>57</v>
      </c>
      <c r="B173" s="1357">
        <v>0</v>
      </c>
      <c r="C173" s="1360">
        <v>27618240</v>
      </c>
      <c r="D173" s="1357">
        <v>18864240</v>
      </c>
      <c r="E173" s="1357">
        <v>36547360</v>
      </c>
      <c r="F173" s="1357">
        <v>20384000</v>
      </c>
      <c r="G173" s="1357">
        <v>40060800</v>
      </c>
      <c r="H173" s="1357">
        <v>586160</v>
      </c>
      <c r="I173" s="1357">
        <v>0</v>
      </c>
      <c r="J173" s="1357">
        <v>144060800</v>
      </c>
      <c r="K173" s="1383"/>
      <c r="L173" s="1383"/>
    </row>
    <row r="174" spans="1:15" hidden="1">
      <c r="A174" s="161" t="s">
        <v>58</v>
      </c>
      <c r="B174" s="1357">
        <v>0</v>
      </c>
      <c r="C174" s="1360">
        <v>0</v>
      </c>
      <c r="D174" s="1357">
        <v>0</v>
      </c>
      <c r="E174" s="1357">
        <v>0</v>
      </c>
      <c r="F174" s="1357">
        <v>0</v>
      </c>
      <c r="G174" s="1357">
        <v>0</v>
      </c>
      <c r="H174" s="1357">
        <v>0</v>
      </c>
      <c r="I174" s="1357">
        <v>0</v>
      </c>
      <c r="J174" s="1357">
        <v>0</v>
      </c>
      <c r="K174" s="1383"/>
      <c r="L174" s="1383"/>
    </row>
    <row r="175" spans="1:15" hidden="1">
      <c r="A175" s="161" t="s">
        <v>17</v>
      </c>
      <c r="B175" s="1357">
        <v>11379681</v>
      </c>
      <c r="C175" s="1360">
        <v>0</v>
      </c>
      <c r="D175" s="1357">
        <v>0</v>
      </c>
      <c r="E175" s="1357">
        <v>0</v>
      </c>
      <c r="F175" s="1357">
        <v>0</v>
      </c>
      <c r="G175" s="1357">
        <v>0</v>
      </c>
      <c r="H175" s="1357">
        <v>0</v>
      </c>
      <c r="I175" s="1357">
        <v>0</v>
      </c>
      <c r="J175" s="1357">
        <v>11379681</v>
      </c>
      <c r="K175" s="1383"/>
      <c r="L175" s="1383"/>
    </row>
    <row r="176" spans="1:15" ht="24" hidden="1">
      <c r="A176" s="161" t="s">
        <v>26</v>
      </c>
      <c r="B176" s="1384">
        <v>0</v>
      </c>
      <c r="C176" s="1385">
        <v>0</v>
      </c>
      <c r="D176" s="1384">
        <v>0</v>
      </c>
      <c r="E176" s="1384">
        <v>0</v>
      </c>
      <c r="F176" s="1384">
        <v>0</v>
      </c>
      <c r="G176" s="1384">
        <v>0</v>
      </c>
      <c r="H176" s="1384">
        <v>0</v>
      </c>
      <c r="I176" s="1384">
        <v>0</v>
      </c>
      <c r="J176" s="1357">
        <v>0</v>
      </c>
      <c r="K176" s="1386"/>
      <c r="L176" s="1386"/>
    </row>
    <row r="177" spans="1:12" ht="13.5" hidden="1" customHeight="1">
      <c r="A177" s="161" t="s">
        <v>20</v>
      </c>
      <c r="B177" s="1357">
        <v>9417736</v>
      </c>
      <c r="C177" s="1360">
        <v>527021</v>
      </c>
      <c r="D177" s="1357">
        <v>18773293</v>
      </c>
      <c r="E177" s="1357">
        <v>14210616</v>
      </c>
      <c r="F177" s="1357">
        <v>3359879</v>
      </c>
      <c r="G177" s="1357">
        <v>145131</v>
      </c>
      <c r="H177" s="1357">
        <v>0</v>
      </c>
      <c r="I177" s="1357">
        <v>0</v>
      </c>
      <c r="J177" s="1357">
        <v>46433676</v>
      </c>
      <c r="K177" s="1383"/>
      <c r="L177" s="1383"/>
    </row>
    <row r="178" spans="1:12" ht="14.25" hidden="1" customHeight="1">
      <c r="A178" s="1387" t="s">
        <v>19</v>
      </c>
      <c r="B178" s="1357">
        <v>0</v>
      </c>
      <c r="C178" s="1364">
        <v>0</v>
      </c>
      <c r="D178" s="1363">
        <v>0</v>
      </c>
      <c r="E178" s="1363">
        <v>0</v>
      </c>
      <c r="F178" s="1363">
        <v>0</v>
      </c>
      <c r="G178" s="1363">
        <v>0</v>
      </c>
      <c r="H178" s="1363">
        <v>0</v>
      </c>
      <c r="I178" s="1363">
        <v>0</v>
      </c>
      <c r="J178" s="1357">
        <v>0</v>
      </c>
      <c r="K178" s="1383"/>
      <c r="L178" s="1383"/>
    </row>
    <row r="179" spans="1:12" ht="13.5" hidden="1" thickBot="1">
      <c r="A179" s="751" t="s">
        <v>21</v>
      </c>
      <c r="B179" s="1367">
        <v>180735325</v>
      </c>
      <c r="C179" s="1368">
        <v>250079225.09999999</v>
      </c>
      <c r="D179" s="2116">
        <v>419962213</v>
      </c>
      <c r="E179" s="2116">
        <v>92255127</v>
      </c>
      <c r="F179" s="2116">
        <v>54803356</v>
      </c>
      <c r="G179" s="2116">
        <v>32596798</v>
      </c>
      <c r="H179" s="2116">
        <v>32212309</v>
      </c>
      <c r="I179" s="2116">
        <v>30993813</v>
      </c>
      <c r="J179" s="2116">
        <v>1095667601.0999999</v>
      </c>
      <c r="K179" s="1383"/>
      <c r="L179" s="1383"/>
    </row>
    <row r="180" spans="1:12" hidden="1">
      <c r="A180" s="1388"/>
      <c r="B180" s="2114">
        <f t="shared" ref="B180:J180" si="132">SUM(B168:B179)</f>
        <v>309501515</v>
      </c>
      <c r="C180" s="2115">
        <f t="shared" si="132"/>
        <v>340623747.69999999</v>
      </c>
      <c r="D180" s="2115">
        <f t="shared" si="132"/>
        <v>495989258</v>
      </c>
      <c r="E180" s="2115">
        <f t="shared" si="132"/>
        <v>183950885</v>
      </c>
      <c r="F180" s="2115">
        <f t="shared" si="132"/>
        <v>113846182</v>
      </c>
      <c r="G180" s="2115">
        <f t="shared" si="132"/>
        <v>75818447</v>
      </c>
      <c r="H180" s="2115">
        <f t="shared" si="132"/>
        <v>35438612</v>
      </c>
      <c r="I180" s="2115">
        <f t="shared" si="132"/>
        <v>31488520</v>
      </c>
      <c r="J180" s="1389">
        <f t="shared" si="132"/>
        <v>1588686601.6999998</v>
      </c>
      <c r="K180" s="1390"/>
      <c r="L180" s="1390"/>
    </row>
    <row r="181" spans="1:12" ht="17.25" hidden="1" customHeight="1" thickBot="1">
      <c r="A181" s="1391"/>
      <c r="B181" s="1347" t="s">
        <v>433</v>
      </c>
      <c r="C181" s="1300" t="s">
        <v>5</v>
      </c>
      <c r="D181" s="1301" t="s">
        <v>6</v>
      </c>
      <c r="E181" s="1301" t="s">
        <v>184</v>
      </c>
      <c r="F181" s="1301" t="s">
        <v>186</v>
      </c>
      <c r="G181" s="1301" t="s">
        <v>230</v>
      </c>
      <c r="H181" s="1301" t="s">
        <v>231</v>
      </c>
      <c r="I181" s="1301" t="s">
        <v>229</v>
      </c>
      <c r="J181" s="1302" t="s">
        <v>46</v>
      </c>
    </row>
    <row r="182" spans="1:12" ht="9" hidden="1" customHeight="1">
      <c r="A182" s="1392"/>
      <c r="B182" s="1394"/>
      <c r="C182" s="1395"/>
      <c r="D182" s="1393"/>
      <c r="E182" s="1393"/>
      <c r="F182" s="1393"/>
      <c r="G182" s="1393"/>
      <c r="H182" s="1393"/>
      <c r="I182" s="1393"/>
      <c r="J182" s="1393"/>
      <c r="K182" s="1396"/>
      <c r="L182" s="1396"/>
    </row>
    <row r="183" spans="1:12" ht="13.5" hidden="1" thickBot="1">
      <c r="A183" s="1397" t="s">
        <v>59</v>
      </c>
      <c r="B183" s="1398">
        <f>+B121-B152</f>
        <v>347449</v>
      </c>
      <c r="C183" s="1399">
        <f t="shared" ref="C183:J183" si="133">+C121-C152</f>
        <v>-49601492</v>
      </c>
      <c r="D183" s="1398">
        <f t="shared" si="133"/>
        <v>69779393</v>
      </c>
      <c r="E183" s="1398">
        <f t="shared" si="133"/>
        <v>61880369</v>
      </c>
      <c r="F183" s="1398">
        <f t="shared" si="133"/>
        <v>7914590</v>
      </c>
      <c r="G183" s="1398">
        <f t="shared" si="133"/>
        <v>-1112832</v>
      </c>
      <c r="H183" s="1398">
        <f t="shared" si="133"/>
        <v>-1044033</v>
      </c>
      <c r="I183" s="1398">
        <f t="shared" si="133"/>
        <v>-498330</v>
      </c>
      <c r="J183" s="1398">
        <f t="shared" si="133"/>
        <v>87665114</v>
      </c>
      <c r="K183" s="1400"/>
      <c r="L183" s="1400"/>
    </row>
    <row r="184" spans="1:12" hidden="1">
      <c r="A184" s="1401" t="s">
        <v>12</v>
      </c>
      <c r="B184" s="1402">
        <f t="shared" ref="B184:J184" si="134">+B122-B153</f>
        <v>145468</v>
      </c>
      <c r="C184" s="1403">
        <f t="shared" si="134"/>
        <v>-6265039</v>
      </c>
      <c r="D184" s="1402">
        <f t="shared" si="134"/>
        <v>13210815</v>
      </c>
      <c r="E184" s="1402">
        <f t="shared" si="134"/>
        <v>3699470</v>
      </c>
      <c r="F184" s="1402">
        <f t="shared" si="134"/>
        <v>1794527</v>
      </c>
      <c r="G184" s="1402">
        <f t="shared" si="134"/>
        <v>0</v>
      </c>
      <c r="H184" s="1402">
        <f t="shared" si="134"/>
        <v>0</v>
      </c>
      <c r="I184" s="1402">
        <f t="shared" si="134"/>
        <v>-74749</v>
      </c>
      <c r="J184" s="1404">
        <f t="shared" si="134"/>
        <v>12510492</v>
      </c>
      <c r="K184" s="1405"/>
      <c r="L184" s="1405"/>
    </row>
    <row r="185" spans="1:12" hidden="1">
      <c r="A185" s="1406" t="s">
        <v>50</v>
      </c>
      <c r="B185" s="1404">
        <f t="shared" ref="B185:J185" si="135">+B123-B154</f>
        <v>0</v>
      </c>
      <c r="C185" s="1407">
        <f t="shared" si="135"/>
        <v>2736945</v>
      </c>
      <c r="D185" s="1404">
        <f t="shared" si="135"/>
        <v>6489101</v>
      </c>
      <c r="E185" s="1404">
        <f t="shared" si="135"/>
        <v>1506745</v>
      </c>
      <c r="F185" s="1404">
        <f t="shared" si="135"/>
        <v>278912</v>
      </c>
      <c r="G185" s="1404">
        <f t="shared" si="135"/>
        <v>0</v>
      </c>
      <c r="H185" s="1404">
        <f t="shared" si="135"/>
        <v>0</v>
      </c>
      <c r="I185" s="1404">
        <f t="shared" si="135"/>
        <v>0</v>
      </c>
      <c r="J185" s="1404">
        <f t="shared" si="135"/>
        <v>11011703</v>
      </c>
      <c r="K185" s="1405"/>
      <c r="L185" s="1405"/>
    </row>
    <row r="186" spans="1:12" hidden="1">
      <c r="A186" s="1406" t="s">
        <v>13</v>
      </c>
      <c r="B186" s="1404">
        <f t="shared" ref="B186:J186" si="136">+B124-B155</f>
        <v>433</v>
      </c>
      <c r="C186" s="1407">
        <f t="shared" si="136"/>
        <v>-458265</v>
      </c>
      <c r="D186" s="1404">
        <f t="shared" si="136"/>
        <v>1266508</v>
      </c>
      <c r="E186" s="1404">
        <f t="shared" si="136"/>
        <v>0</v>
      </c>
      <c r="F186" s="1404">
        <f t="shared" si="136"/>
        <v>0</v>
      </c>
      <c r="G186" s="1404">
        <f t="shared" si="136"/>
        <v>-404338</v>
      </c>
      <c r="H186" s="1404">
        <f t="shared" si="136"/>
        <v>-404338</v>
      </c>
      <c r="I186" s="1404">
        <f t="shared" si="136"/>
        <v>0</v>
      </c>
      <c r="J186" s="1404">
        <f t="shared" si="136"/>
        <v>0</v>
      </c>
      <c r="K186" s="1405"/>
      <c r="L186" s="1405"/>
    </row>
    <row r="187" spans="1:12" hidden="1">
      <c r="A187" s="1406" t="s">
        <v>15</v>
      </c>
      <c r="B187" s="1404">
        <f t="shared" ref="B187:J187" si="137">+B126-B157</f>
        <v>0</v>
      </c>
      <c r="C187" s="1407">
        <f t="shared" si="137"/>
        <v>-1751337</v>
      </c>
      <c r="D187" s="1404">
        <f t="shared" si="137"/>
        <v>-965656</v>
      </c>
      <c r="E187" s="1404">
        <f t="shared" si="137"/>
        <v>0</v>
      </c>
      <c r="F187" s="1404">
        <f t="shared" si="137"/>
        <v>0</v>
      </c>
      <c r="G187" s="1404">
        <f t="shared" si="137"/>
        <v>0</v>
      </c>
      <c r="H187" s="1404">
        <f t="shared" si="137"/>
        <v>0</v>
      </c>
      <c r="I187" s="1404">
        <f t="shared" si="137"/>
        <v>0</v>
      </c>
      <c r="J187" s="1404">
        <f t="shared" si="137"/>
        <v>-2716993</v>
      </c>
      <c r="K187" s="1405"/>
      <c r="L187" s="1405"/>
    </row>
    <row r="188" spans="1:12" hidden="1">
      <c r="A188" s="1406" t="s">
        <v>52</v>
      </c>
      <c r="B188" s="1404">
        <f t="shared" ref="B188:J188" si="138">+B127-B158</f>
        <v>0</v>
      </c>
      <c r="C188" s="1407">
        <f t="shared" si="138"/>
        <v>-1802790</v>
      </c>
      <c r="D188" s="1404">
        <f t="shared" si="138"/>
        <v>1240113</v>
      </c>
      <c r="E188" s="1404">
        <f t="shared" si="138"/>
        <v>562677</v>
      </c>
      <c r="F188" s="1404">
        <f t="shared" si="138"/>
        <v>0</v>
      </c>
      <c r="G188" s="1404">
        <f t="shared" si="138"/>
        <v>0</v>
      </c>
      <c r="H188" s="1404">
        <f t="shared" si="138"/>
        <v>0</v>
      </c>
      <c r="I188" s="1404">
        <f t="shared" si="138"/>
        <v>0</v>
      </c>
      <c r="J188" s="1404">
        <f t="shared" si="138"/>
        <v>0</v>
      </c>
      <c r="K188" s="1405"/>
      <c r="L188" s="1405"/>
    </row>
    <row r="189" spans="1:12" hidden="1">
      <c r="A189" s="1406" t="s">
        <v>20</v>
      </c>
      <c r="B189" s="1404">
        <f>+B128-B159</f>
        <v>8247</v>
      </c>
      <c r="C189" s="1407">
        <f t="shared" ref="C189:J190" si="139">+C128-C159</f>
        <v>-2126790</v>
      </c>
      <c r="D189" s="1404">
        <f t="shared" si="139"/>
        <v>921703</v>
      </c>
      <c r="E189" s="1404">
        <f t="shared" ref="E189:I190" si="140">+E128-E159</f>
        <v>1234187</v>
      </c>
      <c r="F189" s="1404">
        <f t="shared" si="140"/>
        <v>0</v>
      </c>
      <c r="G189" s="1404">
        <f t="shared" si="140"/>
        <v>0</v>
      </c>
      <c r="H189" s="1404">
        <f t="shared" si="140"/>
        <v>0</v>
      </c>
      <c r="I189" s="1404">
        <f t="shared" si="140"/>
        <v>0</v>
      </c>
      <c r="J189" s="1404">
        <f t="shared" si="139"/>
        <v>37347</v>
      </c>
      <c r="K189" s="1405"/>
      <c r="L189" s="1405"/>
    </row>
    <row r="190" spans="1:12" hidden="1">
      <c r="A190" s="1406" t="s">
        <v>17</v>
      </c>
      <c r="B190" s="1404">
        <f>+B129-B160</f>
        <v>0</v>
      </c>
      <c r="C190" s="1407">
        <f t="shared" si="139"/>
        <v>0</v>
      </c>
      <c r="D190" s="1404">
        <f t="shared" si="139"/>
        <v>0</v>
      </c>
      <c r="E190" s="1404">
        <f t="shared" si="140"/>
        <v>0</v>
      </c>
      <c r="F190" s="1404">
        <f t="shared" si="140"/>
        <v>0</v>
      </c>
      <c r="G190" s="1404">
        <f t="shared" si="140"/>
        <v>0</v>
      </c>
      <c r="H190" s="1404">
        <f t="shared" si="140"/>
        <v>0</v>
      </c>
      <c r="I190" s="1404">
        <f t="shared" si="140"/>
        <v>0</v>
      </c>
      <c r="J190" s="1404">
        <f t="shared" si="139"/>
        <v>0</v>
      </c>
      <c r="K190" s="1405"/>
      <c r="L190" s="1405"/>
    </row>
    <row r="191" spans="1:12" hidden="1">
      <c r="A191" s="1406" t="s">
        <v>57</v>
      </c>
      <c r="B191" s="1404">
        <f t="shared" ref="B191:J191" si="141">+B125-B156</f>
        <v>0</v>
      </c>
      <c r="C191" s="1407">
        <f t="shared" si="141"/>
        <v>-23613797</v>
      </c>
      <c r="D191" s="1404">
        <f t="shared" si="141"/>
        <v>0</v>
      </c>
      <c r="E191" s="1404">
        <f t="shared" si="141"/>
        <v>23613797</v>
      </c>
      <c r="F191" s="1404">
        <f t="shared" si="141"/>
        <v>0</v>
      </c>
      <c r="G191" s="1404">
        <f t="shared" si="141"/>
        <v>0</v>
      </c>
      <c r="H191" s="1404">
        <f t="shared" si="141"/>
        <v>0</v>
      </c>
      <c r="I191" s="1404">
        <f t="shared" si="141"/>
        <v>0</v>
      </c>
      <c r="J191" s="1404">
        <f t="shared" si="141"/>
        <v>0</v>
      </c>
      <c r="K191" s="1405"/>
      <c r="L191" s="1405"/>
    </row>
    <row r="192" spans="1:12" ht="13.5" hidden="1" customHeight="1">
      <c r="A192" s="1406" t="s">
        <v>56</v>
      </c>
      <c r="B192" s="1404">
        <f>+B130-B161</f>
        <v>0</v>
      </c>
      <c r="C192" s="1407">
        <f t="shared" ref="C192:J194" si="142">+C130-C161</f>
        <v>0</v>
      </c>
      <c r="D192" s="1404">
        <f t="shared" si="142"/>
        <v>0</v>
      </c>
      <c r="E192" s="1404">
        <f t="shared" ref="E192:I194" si="143">+E130-E161</f>
        <v>0</v>
      </c>
      <c r="F192" s="1404">
        <f t="shared" si="143"/>
        <v>0</v>
      </c>
      <c r="G192" s="1404">
        <f t="shared" si="143"/>
        <v>0</v>
      </c>
      <c r="H192" s="1404">
        <f t="shared" si="143"/>
        <v>0</v>
      </c>
      <c r="I192" s="1404">
        <f t="shared" si="143"/>
        <v>0</v>
      </c>
      <c r="J192" s="1404">
        <f t="shared" si="142"/>
        <v>0</v>
      </c>
      <c r="K192" s="1405"/>
      <c r="L192" s="1405"/>
    </row>
    <row r="193" spans="1:17" ht="13.5" hidden="1" customHeight="1">
      <c r="A193" s="1408" t="s">
        <v>19</v>
      </c>
      <c r="B193" s="1404">
        <f>+B131-B162</f>
        <v>0</v>
      </c>
      <c r="C193" s="1407">
        <f t="shared" si="142"/>
        <v>0</v>
      </c>
      <c r="D193" s="1404">
        <f t="shared" si="142"/>
        <v>0</v>
      </c>
      <c r="E193" s="1404">
        <f t="shared" si="143"/>
        <v>0</v>
      </c>
      <c r="F193" s="1404">
        <f t="shared" si="143"/>
        <v>0</v>
      </c>
      <c r="G193" s="1404">
        <f t="shared" si="143"/>
        <v>0</v>
      </c>
      <c r="H193" s="1404">
        <f t="shared" si="143"/>
        <v>0</v>
      </c>
      <c r="I193" s="1404">
        <f t="shared" si="143"/>
        <v>0</v>
      </c>
      <c r="J193" s="1404">
        <f t="shared" si="142"/>
        <v>0</v>
      </c>
      <c r="K193" s="1405"/>
      <c r="L193" s="1405"/>
    </row>
    <row r="194" spans="1:17" ht="13.5" hidden="1" thickBot="1">
      <c r="A194" s="1409" t="s">
        <v>21</v>
      </c>
      <c r="B194" s="1410">
        <f>+B132-B163</f>
        <v>193301</v>
      </c>
      <c r="C194" s="1411">
        <f t="shared" si="142"/>
        <v>-16320419</v>
      </c>
      <c r="D194" s="1410">
        <f t="shared" si="142"/>
        <v>47616809</v>
      </c>
      <c r="E194" s="1410">
        <f t="shared" si="143"/>
        <v>31263493</v>
      </c>
      <c r="F194" s="1410">
        <f t="shared" si="143"/>
        <v>5841151</v>
      </c>
      <c r="G194" s="1410">
        <f t="shared" si="143"/>
        <v>-708494</v>
      </c>
      <c r="H194" s="1410">
        <f t="shared" si="143"/>
        <v>-639695</v>
      </c>
      <c r="I194" s="1410">
        <f t="shared" si="143"/>
        <v>-423581</v>
      </c>
      <c r="J194" s="1404">
        <f>+J132-J163</f>
        <v>66822565</v>
      </c>
      <c r="K194" s="1405">
        <f>+I194-I209</f>
        <v>0</v>
      </c>
      <c r="L194" s="1405">
        <f>+J194-J209</f>
        <v>9.9999904632568359E-2</v>
      </c>
      <c r="Q194" s="1190">
        <f>+J194-J209</f>
        <v>9.9999904632568359E-2</v>
      </c>
    </row>
    <row r="195" spans="1:17" ht="15" hidden="1" customHeight="1" thickBot="1">
      <c r="A195" s="1412"/>
      <c r="B195" s="1413">
        <f>SUM(B184:B194)</f>
        <v>347449</v>
      </c>
      <c r="C195" s="1414">
        <f t="shared" ref="C195:J195" si="144">SUM(C184:C194)</f>
        <v>-49601492</v>
      </c>
      <c r="D195" s="1413">
        <f t="shared" si="144"/>
        <v>69779393</v>
      </c>
      <c r="E195" s="1413">
        <f>SUM(E184:E194)</f>
        <v>61880369</v>
      </c>
      <c r="F195" s="1413">
        <f>SUM(F184:F194)</f>
        <v>7914590</v>
      </c>
      <c r="G195" s="1413">
        <f>SUM(G184:G194)</f>
        <v>-1112832</v>
      </c>
      <c r="H195" s="1413">
        <f>SUM(H184:H194)</f>
        <v>-1044033</v>
      </c>
      <c r="I195" s="1413">
        <f>SUM(I184:I194)</f>
        <v>-498330</v>
      </c>
      <c r="J195" s="1413">
        <f t="shared" si="144"/>
        <v>87665114</v>
      </c>
      <c r="K195" s="1415"/>
      <c r="L195" s="1415"/>
    </row>
    <row r="196" spans="1:17" ht="14.25" hidden="1" customHeight="1" thickBot="1">
      <c r="A196" s="1416" t="s">
        <v>42</v>
      </c>
      <c r="B196" s="1418">
        <f t="shared" ref="B196:J196" si="145">+B121-B152</f>
        <v>347449</v>
      </c>
      <c r="C196" s="1417">
        <f t="shared" si="145"/>
        <v>-49601492</v>
      </c>
      <c r="D196" s="1417">
        <f t="shared" si="145"/>
        <v>69779393</v>
      </c>
      <c r="E196" s="1417">
        <f t="shared" si="145"/>
        <v>61880369</v>
      </c>
      <c r="F196" s="1417">
        <f t="shared" si="145"/>
        <v>7914590</v>
      </c>
      <c r="G196" s="1417">
        <f t="shared" si="145"/>
        <v>-1112832</v>
      </c>
      <c r="H196" s="1417">
        <f t="shared" si="145"/>
        <v>-1044033</v>
      </c>
      <c r="I196" s="1417">
        <f t="shared" si="145"/>
        <v>-498330</v>
      </c>
      <c r="J196" s="1417">
        <f t="shared" si="145"/>
        <v>87665114</v>
      </c>
      <c r="K196" s="1417"/>
      <c r="L196" s="1417"/>
    </row>
    <row r="197" spans="1:17" ht="16.5" hidden="1" customHeight="1" thickBot="1">
      <c r="A197" s="1419" t="s">
        <v>60</v>
      </c>
      <c r="B197" s="1420">
        <f t="shared" ref="B197:J209" si="146">+B135-B167</f>
        <v>0</v>
      </c>
      <c r="C197" s="1421">
        <f t="shared" si="146"/>
        <v>-47975834.699999988</v>
      </c>
      <c r="D197" s="1420">
        <f t="shared" si="146"/>
        <v>46658659</v>
      </c>
      <c r="E197" s="1420">
        <f t="shared" ref="E197:I209" si="147">+E135-E167</f>
        <v>59839253</v>
      </c>
      <c r="F197" s="1420">
        <f t="shared" si="147"/>
        <v>5587119</v>
      </c>
      <c r="G197" s="1420">
        <f t="shared" si="147"/>
        <v>777760</v>
      </c>
      <c r="H197" s="1420">
        <f t="shared" si="147"/>
        <v>-1112833</v>
      </c>
      <c r="I197" s="1420">
        <f t="shared" si="147"/>
        <v>-423581</v>
      </c>
      <c r="J197" s="1420">
        <f>SUM(J198:J209)</f>
        <v>66360851.300000094</v>
      </c>
      <c r="K197" s="1422"/>
      <c r="L197" s="1422"/>
    </row>
    <row r="198" spans="1:17" hidden="1">
      <c r="A198" s="1401" t="s">
        <v>54</v>
      </c>
      <c r="B198" s="1402">
        <f t="shared" ref="B198:B209" si="148">+B136-B168</f>
        <v>0</v>
      </c>
      <c r="C198" s="1403">
        <f t="shared" si="146"/>
        <v>0</v>
      </c>
      <c r="D198" s="1402">
        <f t="shared" si="146"/>
        <v>0</v>
      </c>
      <c r="E198" s="1402">
        <f t="shared" si="147"/>
        <v>0</v>
      </c>
      <c r="F198" s="1402">
        <f t="shared" si="147"/>
        <v>0</v>
      </c>
      <c r="G198" s="1402">
        <f t="shared" si="147"/>
        <v>0</v>
      </c>
      <c r="H198" s="1402">
        <f t="shared" si="147"/>
        <v>0</v>
      </c>
      <c r="I198" s="1402">
        <f t="shared" si="147"/>
        <v>0</v>
      </c>
      <c r="J198" s="1423">
        <f>+J136-J168</f>
        <v>0</v>
      </c>
      <c r="K198" s="1424"/>
      <c r="L198" s="1424"/>
    </row>
    <row r="199" spans="1:17" hidden="1">
      <c r="A199" s="1406" t="s">
        <v>13</v>
      </c>
      <c r="B199" s="1404">
        <f t="shared" si="148"/>
        <v>0</v>
      </c>
      <c r="C199" s="1407">
        <f t="shared" si="146"/>
        <v>-465604.60000000149</v>
      </c>
      <c r="D199" s="1404">
        <f t="shared" si="146"/>
        <v>1274281</v>
      </c>
      <c r="E199" s="1404">
        <f t="shared" si="147"/>
        <v>0</v>
      </c>
      <c r="F199" s="1404">
        <f t="shared" si="147"/>
        <v>0</v>
      </c>
      <c r="G199" s="1404">
        <f t="shared" si="147"/>
        <v>-404338</v>
      </c>
      <c r="H199" s="1404">
        <f t="shared" si="147"/>
        <v>-404338</v>
      </c>
      <c r="I199" s="1404">
        <f t="shared" si="147"/>
        <v>0</v>
      </c>
      <c r="J199" s="1425">
        <f t="shared" si="146"/>
        <v>0.39999999850988388</v>
      </c>
      <c r="K199" s="1424"/>
      <c r="L199" s="1424"/>
    </row>
    <row r="200" spans="1:17" hidden="1">
      <c r="A200" s="1406" t="s">
        <v>15</v>
      </c>
      <c r="B200" s="1404">
        <f t="shared" si="148"/>
        <v>0</v>
      </c>
      <c r="C200" s="1407">
        <f t="shared" si="146"/>
        <v>-1751337</v>
      </c>
      <c r="D200" s="1404">
        <f t="shared" si="146"/>
        <v>-965656</v>
      </c>
      <c r="E200" s="1404">
        <f t="shared" si="147"/>
        <v>0</v>
      </c>
      <c r="F200" s="1404">
        <f t="shared" si="147"/>
        <v>0</v>
      </c>
      <c r="G200" s="1404">
        <f t="shared" si="147"/>
        <v>0</v>
      </c>
      <c r="H200" s="1404">
        <f t="shared" si="147"/>
        <v>0</v>
      </c>
      <c r="I200" s="1404">
        <f t="shared" si="147"/>
        <v>0</v>
      </c>
      <c r="J200" s="1425">
        <f t="shared" si="146"/>
        <v>-2716993</v>
      </c>
      <c r="K200" s="1424"/>
      <c r="L200" s="1424"/>
    </row>
    <row r="201" spans="1:17" hidden="1">
      <c r="A201" s="1406" t="s">
        <v>62</v>
      </c>
      <c r="B201" s="1404">
        <f t="shared" si="148"/>
        <v>0</v>
      </c>
      <c r="C201" s="1407">
        <f t="shared" si="146"/>
        <v>-218416</v>
      </c>
      <c r="D201" s="1404">
        <f t="shared" si="146"/>
        <v>218416</v>
      </c>
      <c r="E201" s="1404">
        <f t="shared" si="147"/>
        <v>0</v>
      </c>
      <c r="F201" s="1404">
        <f t="shared" si="147"/>
        <v>0</v>
      </c>
      <c r="G201" s="1404">
        <f t="shared" si="147"/>
        <v>0</v>
      </c>
      <c r="H201" s="1404">
        <f t="shared" si="147"/>
        <v>0</v>
      </c>
      <c r="I201" s="1404">
        <f t="shared" si="147"/>
        <v>0</v>
      </c>
      <c r="J201" s="1425">
        <f t="shared" si="146"/>
        <v>0</v>
      </c>
      <c r="K201" s="1424"/>
      <c r="L201" s="1424"/>
    </row>
    <row r="202" spans="1:17" hidden="1">
      <c r="A202" s="1401" t="s">
        <v>12</v>
      </c>
      <c r="B202" s="1404">
        <f t="shared" si="148"/>
        <v>0</v>
      </c>
      <c r="C202" s="1407">
        <f t="shared" si="146"/>
        <v>38927</v>
      </c>
      <c r="D202" s="1404">
        <f t="shared" si="146"/>
        <v>1023902</v>
      </c>
      <c r="E202" s="1404">
        <f t="shared" si="147"/>
        <v>1008040</v>
      </c>
      <c r="F202" s="1404">
        <f t="shared" si="147"/>
        <v>147063</v>
      </c>
      <c r="G202" s="1404">
        <f t="shared" si="147"/>
        <v>0</v>
      </c>
      <c r="H202" s="1404">
        <f t="shared" si="147"/>
        <v>0</v>
      </c>
      <c r="I202" s="1404">
        <f t="shared" si="147"/>
        <v>0</v>
      </c>
      <c r="J202" s="1425">
        <f t="shared" si="146"/>
        <v>2217932</v>
      </c>
      <c r="K202" s="1424"/>
      <c r="L202" s="1424"/>
    </row>
    <row r="203" spans="1:17" hidden="1">
      <c r="A203" s="1406" t="s">
        <v>57</v>
      </c>
      <c r="B203" s="1404">
        <f t="shared" si="148"/>
        <v>0</v>
      </c>
      <c r="C203" s="1407">
        <f t="shared" si="146"/>
        <v>-23613797</v>
      </c>
      <c r="D203" s="1404">
        <f t="shared" si="146"/>
        <v>0</v>
      </c>
      <c r="E203" s="1404">
        <f t="shared" si="147"/>
        <v>23613797</v>
      </c>
      <c r="F203" s="1404">
        <f t="shared" si="147"/>
        <v>0</v>
      </c>
      <c r="G203" s="1404">
        <f t="shared" si="147"/>
        <v>0</v>
      </c>
      <c r="H203" s="1404">
        <f t="shared" si="147"/>
        <v>0</v>
      </c>
      <c r="I203" s="1404">
        <f t="shared" si="147"/>
        <v>0</v>
      </c>
      <c r="J203" s="1425">
        <f t="shared" si="146"/>
        <v>0</v>
      </c>
      <c r="K203" s="1405"/>
      <c r="L203" s="1405"/>
    </row>
    <row r="204" spans="1:17" hidden="1">
      <c r="A204" s="1406" t="s">
        <v>58</v>
      </c>
      <c r="B204" s="1404">
        <f t="shared" si="148"/>
        <v>0</v>
      </c>
      <c r="C204" s="1407">
        <f t="shared" si="146"/>
        <v>0</v>
      </c>
      <c r="D204" s="1404">
        <f t="shared" si="146"/>
        <v>0</v>
      </c>
      <c r="E204" s="1404">
        <f t="shared" si="147"/>
        <v>0</v>
      </c>
      <c r="F204" s="1404">
        <f t="shared" si="147"/>
        <v>0</v>
      </c>
      <c r="G204" s="1404">
        <f t="shared" si="147"/>
        <v>0</v>
      </c>
      <c r="H204" s="1404">
        <f t="shared" si="147"/>
        <v>0</v>
      </c>
      <c r="I204" s="1404">
        <f t="shared" si="147"/>
        <v>0</v>
      </c>
      <c r="J204" s="1425">
        <f t="shared" si="146"/>
        <v>0</v>
      </c>
      <c r="K204" s="1424"/>
      <c r="L204" s="1424"/>
    </row>
    <row r="205" spans="1:17" hidden="1">
      <c r="A205" s="1406" t="s">
        <v>17</v>
      </c>
      <c r="B205" s="1404">
        <f t="shared" si="148"/>
        <v>0</v>
      </c>
      <c r="C205" s="1407">
        <f t="shared" si="146"/>
        <v>0</v>
      </c>
      <c r="D205" s="1404">
        <f t="shared" si="146"/>
        <v>0</v>
      </c>
      <c r="E205" s="1404">
        <f t="shared" si="147"/>
        <v>0</v>
      </c>
      <c r="F205" s="1404">
        <f t="shared" si="147"/>
        <v>0</v>
      </c>
      <c r="G205" s="1404">
        <f t="shared" si="147"/>
        <v>0</v>
      </c>
      <c r="H205" s="1404">
        <f t="shared" si="147"/>
        <v>0</v>
      </c>
      <c r="I205" s="1404">
        <f t="shared" si="147"/>
        <v>0</v>
      </c>
      <c r="J205" s="1425">
        <f t="shared" si="146"/>
        <v>0</v>
      </c>
      <c r="K205" s="1424"/>
      <c r="L205" s="1424"/>
    </row>
    <row r="206" spans="1:17" ht="24" hidden="1">
      <c r="A206" s="1406" t="s">
        <v>26</v>
      </c>
      <c r="B206" s="1426">
        <f t="shared" si="148"/>
        <v>0</v>
      </c>
      <c r="C206" s="1427">
        <f t="shared" si="146"/>
        <v>0</v>
      </c>
      <c r="D206" s="1426">
        <f t="shared" si="146"/>
        <v>0</v>
      </c>
      <c r="E206" s="1426">
        <f t="shared" si="147"/>
        <v>0</v>
      </c>
      <c r="F206" s="1426">
        <f t="shared" si="147"/>
        <v>0</v>
      </c>
      <c r="G206" s="1426">
        <f t="shared" si="147"/>
        <v>0</v>
      </c>
      <c r="H206" s="1426">
        <f t="shared" si="147"/>
        <v>0</v>
      </c>
      <c r="I206" s="1426">
        <f t="shared" si="147"/>
        <v>0</v>
      </c>
      <c r="J206" s="1425">
        <f>+J144-J176</f>
        <v>0</v>
      </c>
      <c r="K206" s="1428"/>
      <c r="L206" s="1428"/>
    </row>
    <row r="207" spans="1:17" ht="13.5" hidden="1" customHeight="1">
      <c r="A207" s="1406" t="s">
        <v>20</v>
      </c>
      <c r="B207" s="1404">
        <f t="shared" si="148"/>
        <v>0</v>
      </c>
      <c r="C207" s="1407">
        <f t="shared" si="146"/>
        <v>95031</v>
      </c>
      <c r="D207" s="1404">
        <f t="shared" si="146"/>
        <v>116140</v>
      </c>
      <c r="E207" s="1404">
        <f t="shared" si="147"/>
        <v>-54522</v>
      </c>
      <c r="F207" s="1404">
        <f t="shared" si="147"/>
        <v>-60491</v>
      </c>
      <c r="G207" s="1404">
        <f t="shared" si="147"/>
        <v>-58811</v>
      </c>
      <c r="H207" s="1404">
        <f t="shared" si="147"/>
        <v>0</v>
      </c>
      <c r="I207" s="1404">
        <f t="shared" si="147"/>
        <v>0</v>
      </c>
      <c r="J207" s="1425">
        <f>+J145-J177</f>
        <v>37347</v>
      </c>
      <c r="K207" s="1424"/>
      <c r="L207" s="1424"/>
    </row>
    <row r="208" spans="1:17" ht="13.5" hidden="1" customHeight="1">
      <c r="A208" s="1408" t="s">
        <v>19</v>
      </c>
      <c r="B208" s="1404">
        <f t="shared" si="148"/>
        <v>0</v>
      </c>
      <c r="C208" s="1407">
        <f t="shared" si="146"/>
        <v>0</v>
      </c>
      <c r="D208" s="1404">
        <f t="shared" si="146"/>
        <v>0</v>
      </c>
      <c r="E208" s="1404">
        <f t="shared" si="147"/>
        <v>0</v>
      </c>
      <c r="F208" s="1404">
        <f t="shared" si="147"/>
        <v>0</v>
      </c>
      <c r="G208" s="1404">
        <f t="shared" si="147"/>
        <v>0</v>
      </c>
      <c r="H208" s="1404">
        <f t="shared" si="147"/>
        <v>0</v>
      </c>
      <c r="I208" s="1404">
        <f t="shared" si="147"/>
        <v>0</v>
      </c>
      <c r="J208" s="1425">
        <f>+J146-J178</f>
        <v>0</v>
      </c>
      <c r="K208" s="1424"/>
      <c r="L208" s="1424"/>
    </row>
    <row r="209" spans="1:12" ht="13.5" hidden="1" thickBot="1">
      <c r="A209" s="1409" t="s">
        <v>21</v>
      </c>
      <c r="B209" s="1410">
        <f t="shared" si="148"/>
        <v>0</v>
      </c>
      <c r="C209" s="1411">
        <f t="shared" si="146"/>
        <v>-22060638.099999994</v>
      </c>
      <c r="D209" s="1410">
        <f t="shared" si="146"/>
        <v>44991576</v>
      </c>
      <c r="E209" s="1410">
        <f t="shared" si="147"/>
        <v>35271938</v>
      </c>
      <c r="F209" s="1410">
        <f t="shared" si="147"/>
        <v>5500547</v>
      </c>
      <c r="G209" s="1410">
        <f t="shared" si="147"/>
        <v>1240909</v>
      </c>
      <c r="H209" s="1410">
        <f t="shared" si="147"/>
        <v>-708495</v>
      </c>
      <c r="I209" s="1410">
        <f t="shared" si="147"/>
        <v>-423581</v>
      </c>
      <c r="J209" s="1425">
        <f>+J147-J179</f>
        <v>66822564.900000095</v>
      </c>
      <c r="K209" s="1424"/>
      <c r="L209" s="1424"/>
    </row>
    <row r="210" spans="1:12" ht="13.5" hidden="1" thickBot="1">
      <c r="A210" s="1429"/>
      <c r="B210" s="1431">
        <f>SUM(B198:B209)</f>
        <v>0</v>
      </c>
      <c r="C210" s="1430">
        <f t="shared" ref="C210:J210" si="149">SUM(C198:C209)</f>
        <v>-47975834.699999996</v>
      </c>
      <c r="D210" s="1430">
        <f t="shared" si="149"/>
        <v>46658659</v>
      </c>
      <c r="E210" s="1430">
        <f t="shared" si="149"/>
        <v>59839253</v>
      </c>
      <c r="F210" s="1430">
        <f t="shared" si="149"/>
        <v>5587119</v>
      </c>
      <c r="G210" s="1430">
        <f t="shared" si="149"/>
        <v>777760</v>
      </c>
      <c r="H210" s="1430">
        <f t="shared" si="149"/>
        <v>-1112833</v>
      </c>
      <c r="I210" s="1430">
        <f t="shared" si="149"/>
        <v>-423581</v>
      </c>
      <c r="J210" s="1430">
        <f t="shared" si="149"/>
        <v>66360851.300000094</v>
      </c>
      <c r="K210" s="1432"/>
      <c r="L210" s="1432"/>
    </row>
    <row r="211" spans="1:12" ht="2.25" hidden="1" customHeight="1">
      <c r="A211" s="1178"/>
      <c r="B211" s="1433"/>
      <c r="J211" s="1178"/>
    </row>
    <row r="212" spans="1:12" hidden="1">
      <c r="A212" s="1416" t="s">
        <v>42</v>
      </c>
      <c r="B212" s="1435">
        <f>+B135-B167</f>
        <v>0</v>
      </c>
      <c r="C212" s="1434">
        <f t="shared" ref="C212:J212" si="150">+C135-C167</f>
        <v>-47975834.699999988</v>
      </c>
      <c r="D212" s="1434">
        <f t="shared" si="150"/>
        <v>46658659</v>
      </c>
      <c r="E212" s="1434">
        <f>+E135-E167</f>
        <v>59839253</v>
      </c>
      <c r="F212" s="1434">
        <f>+F135-F167</f>
        <v>5587119</v>
      </c>
      <c r="G212" s="1434">
        <f>+G135-G167</f>
        <v>777760</v>
      </c>
      <c r="H212" s="1434">
        <f>+H135-H167</f>
        <v>-1112833</v>
      </c>
      <c r="I212" s="1434">
        <f>+I135-I167</f>
        <v>-423581</v>
      </c>
      <c r="J212" s="1434">
        <f t="shared" si="150"/>
        <v>66360851.300000191</v>
      </c>
    </row>
    <row r="213" spans="1:12" ht="14.25" hidden="1" customHeight="1">
      <c r="A213" s="1178"/>
      <c r="B213" s="1185">
        <f>+B212-B210</f>
        <v>0</v>
      </c>
      <c r="C213" s="1185">
        <f t="shared" ref="C213:J213" si="151">+C212-C210</f>
        <v>0</v>
      </c>
      <c r="D213" s="1185">
        <f t="shared" si="151"/>
        <v>0</v>
      </c>
      <c r="E213" s="1185">
        <f>+E212-E210</f>
        <v>0</v>
      </c>
      <c r="F213" s="1185">
        <f>+F212-F210</f>
        <v>0</v>
      </c>
      <c r="G213" s="1185">
        <f>+G212-G210</f>
        <v>0</v>
      </c>
      <c r="H213" s="1185">
        <f>+H212-H210</f>
        <v>0</v>
      </c>
      <c r="I213" s="1185">
        <f>+I212-I210</f>
        <v>0</v>
      </c>
      <c r="J213" s="1185">
        <f t="shared" si="151"/>
        <v>9.6857547760009766E-8</v>
      </c>
    </row>
    <row r="214" spans="1:12" ht="12" hidden="1" customHeight="1">
      <c r="A214" s="1178"/>
      <c r="J214" s="1185"/>
    </row>
    <row r="215" spans="1:12" hidden="1">
      <c r="A215" s="1178"/>
      <c r="J215" s="1178"/>
    </row>
    <row r="216" spans="1:12" hidden="1">
      <c r="A216" s="1178"/>
    </row>
    <row r="217" spans="1:12" hidden="1">
      <c r="A217" s="1178"/>
      <c r="J217" s="1178"/>
    </row>
    <row r="218" spans="1:12" hidden="1">
      <c r="A218" s="1178"/>
      <c r="J218" s="1178"/>
    </row>
    <row r="219" spans="1:12" ht="41.25" hidden="1" customHeight="1">
      <c r="A219" s="1178"/>
    </row>
    <row r="220" spans="1:12" hidden="1">
      <c r="A220" s="1178"/>
      <c r="J220" s="1178"/>
    </row>
    <row r="221" spans="1:12" hidden="1">
      <c r="A221" s="1178"/>
      <c r="J221" s="1178"/>
    </row>
    <row r="222" spans="1:12" hidden="1">
      <c r="A222" s="1178"/>
      <c r="J222" s="1178"/>
    </row>
    <row r="223" spans="1:12" hidden="1">
      <c r="A223" s="1178"/>
      <c r="J223" s="1178"/>
    </row>
    <row r="224" spans="1:12" hidden="1">
      <c r="A224" s="1178"/>
      <c r="J224" s="1178"/>
    </row>
    <row r="225" spans="1:10" hidden="1">
      <c r="A225" s="1178"/>
      <c r="J225" s="1178"/>
    </row>
    <row r="226" spans="1:10" hidden="1">
      <c r="A226" s="1178"/>
      <c r="J226" s="1178"/>
    </row>
    <row r="227" spans="1:10" hidden="1">
      <c r="A227" s="1178"/>
      <c r="J227" s="1178"/>
    </row>
    <row r="228" spans="1:10" hidden="1">
      <c r="A228" s="1178"/>
      <c r="J228" s="1178"/>
    </row>
    <row r="229" spans="1:10" hidden="1">
      <c r="A229" s="1178"/>
      <c r="J229" s="1178"/>
    </row>
    <row r="230" spans="1:10" hidden="1">
      <c r="A230" s="1178"/>
      <c r="J230" s="1178"/>
    </row>
    <row r="231" spans="1:10" hidden="1">
      <c r="A231" s="1178"/>
      <c r="J231" s="1178"/>
    </row>
    <row r="232" spans="1:10" hidden="1">
      <c r="A232" s="1178"/>
      <c r="J232" s="1178"/>
    </row>
    <row r="233" spans="1:10" hidden="1">
      <c r="A233" s="1178"/>
      <c r="J233" s="1178"/>
    </row>
    <row r="234" spans="1:10" hidden="1">
      <c r="A234" s="1178"/>
      <c r="J234" s="1178"/>
    </row>
    <row r="235" spans="1:10" hidden="1">
      <c r="A235" s="1178"/>
      <c r="J235" s="1178"/>
    </row>
    <row r="236" spans="1:10" hidden="1">
      <c r="A236" s="1178"/>
      <c r="J236" s="1178"/>
    </row>
    <row r="237" spans="1:10" hidden="1">
      <c r="A237" s="1178"/>
      <c r="J237" s="1178"/>
    </row>
    <row r="238" spans="1:10" hidden="1">
      <c r="A238" s="1178"/>
      <c r="J238" s="1178"/>
    </row>
    <row r="239" spans="1:10" hidden="1">
      <c r="A239" s="1178"/>
      <c r="J239" s="1178"/>
    </row>
    <row r="240" spans="1:10" hidden="1">
      <c r="A240" s="1178"/>
      <c r="J240" s="1178"/>
    </row>
    <row r="241" spans="1:10" hidden="1">
      <c r="A241" s="1178"/>
      <c r="J241" s="1178"/>
    </row>
    <row r="242" spans="1:10" hidden="1">
      <c r="A242" s="1178"/>
      <c r="J242" s="1178"/>
    </row>
    <row r="243" spans="1:10" hidden="1">
      <c r="A243" s="1178"/>
      <c r="J243" s="1178"/>
    </row>
    <row r="244" spans="1:10" hidden="1">
      <c r="A244" s="1178"/>
      <c r="J244" s="1178"/>
    </row>
    <row r="245" spans="1:10" hidden="1">
      <c r="A245" s="1178"/>
      <c r="J245" s="1178"/>
    </row>
    <row r="246" spans="1:10" hidden="1">
      <c r="A246" s="1178"/>
      <c r="J246" s="1178"/>
    </row>
    <row r="247" spans="1:10" hidden="1">
      <c r="A247" s="1178"/>
      <c r="J247" s="1178"/>
    </row>
    <row r="248" spans="1:10" hidden="1">
      <c r="A248" s="1178"/>
      <c r="J248" s="1178"/>
    </row>
    <row r="249" spans="1:10" hidden="1">
      <c r="A249" s="1178"/>
      <c r="J249" s="1178"/>
    </row>
    <row r="250" spans="1:10" hidden="1">
      <c r="A250" s="1178"/>
      <c r="J250" s="1178"/>
    </row>
    <row r="251" spans="1:10" hidden="1">
      <c r="A251" s="1178"/>
      <c r="J251" s="1178"/>
    </row>
    <row r="252" spans="1:10" hidden="1">
      <c r="A252" s="1178"/>
      <c r="J252" s="1178"/>
    </row>
    <row r="253" spans="1:10" hidden="1">
      <c r="A253" s="1178"/>
      <c r="J253" s="1178"/>
    </row>
    <row r="254" spans="1:10" hidden="1">
      <c r="A254" s="1178"/>
      <c r="J254" s="1178"/>
    </row>
    <row r="255" spans="1:10" hidden="1">
      <c r="A255" s="1178"/>
      <c r="J255" s="1178"/>
    </row>
    <row r="256" spans="1:10" hidden="1">
      <c r="A256" s="1178"/>
      <c r="J256" s="1178"/>
    </row>
    <row r="257" spans="1:10" hidden="1">
      <c r="A257" s="1178"/>
      <c r="J257" s="1178"/>
    </row>
    <row r="258" spans="1:10" hidden="1">
      <c r="A258" s="1178"/>
      <c r="J258" s="1178"/>
    </row>
    <row r="259" spans="1:10" hidden="1">
      <c r="A259" s="1178"/>
      <c r="J259" s="1178"/>
    </row>
    <row r="260" spans="1:10" hidden="1">
      <c r="A260" s="1178"/>
      <c r="J260" s="1178"/>
    </row>
    <row r="261" spans="1:10" hidden="1">
      <c r="A261" s="1178"/>
      <c r="J261" s="1178"/>
    </row>
    <row r="262" spans="1:10" hidden="1">
      <c r="A262" s="1178"/>
      <c r="J262" s="1178"/>
    </row>
    <row r="263" spans="1:10" hidden="1">
      <c r="A263" s="1178"/>
      <c r="J263" s="1178"/>
    </row>
    <row r="264" spans="1:10" hidden="1">
      <c r="A264" s="1178"/>
      <c r="J264" s="1178"/>
    </row>
    <row r="265" spans="1:10" hidden="1">
      <c r="A265" s="1178"/>
      <c r="J265" s="1178"/>
    </row>
    <row r="266" spans="1:10" hidden="1">
      <c r="A266" s="1178"/>
      <c r="J266" s="1178"/>
    </row>
    <row r="267" spans="1:10" hidden="1">
      <c r="A267" s="1178"/>
      <c r="J267" s="1178"/>
    </row>
    <row r="268" spans="1:10" hidden="1">
      <c r="A268" s="1178"/>
      <c r="J268" s="1178"/>
    </row>
    <row r="269" spans="1:10" hidden="1">
      <c r="A269" s="1178"/>
      <c r="J269" s="1178"/>
    </row>
    <row r="270" spans="1:10" hidden="1">
      <c r="A270" s="1178"/>
      <c r="J270" s="1178"/>
    </row>
    <row r="271" spans="1:10" hidden="1">
      <c r="A271" s="1178"/>
      <c r="J271" s="1178"/>
    </row>
    <row r="272" spans="1:10" hidden="1">
      <c r="A272" s="1178"/>
      <c r="J272" s="1178"/>
    </row>
    <row r="273" spans="1:10" hidden="1">
      <c r="A273" s="1178"/>
      <c r="J273" s="1178"/>
    </row>
    <row r="274" spans="1:10" hidden="1">
      <c r="A274" s="1178"/>
      <c r="J274" s="1178"/>
    </row>
    <row r="275" spans="1:10" hidden="1">
      <c r="A275" s="1178"/>
      <c r="J275" s="1178"/>
    </row>
    <row r="276" spans="1:10" hidden="1">
      <c r="A276" s="1178"/>
      <c r="J276" s="1178"/>
    </row>
    <row r="277" spans="1:10" hidden="1">
      <c r="A277" s="1178"/>
      <c r="J277" s="1178"/>
    </row>
    <row r="278" spans="1:10" hidden="1">
      <c r="A278" s="1178"/>
      <c r="J278" s="1178"/>
    </row>
    <row r="279" spans="1:10" hidden="1">
      <c r="A279" s="1178"/>
      <c r="J279" s="1178"/>
    </row>
    <row r="280" spans="1:10" hidden="1">
      <c r="A280" s="1178"/>
      <c r="J280" s="1178"/>
    </row>
    <row r="281" spans="1:10" hidden="1">
      <c r="A281" s="1178"/>
      <c r="J281" s="1178"/>
    </row>
    <row r="282" spans="1:10" hidden="1">
      <c r="A282" s="1178"/>
      <c r="J282" s="1178"/>
    </row>
    <row r="283" spans="1:10" hidden="1">
      <c r="A283" s="1178"/>
      <c r="J283" s="1178"/>
    </row>
    <row r="284" spans="1:10" hidden="1">
      <c r="A284" s="1178"/>
      <c r="J284" s="1178"/>
    </row>
    <row r="285" spans="1:10" hidden="1">
      <c r="A285" s="1178"/>
      <c r="J285" s="1178"/>
    </row>
    <row r="286" spans="1:10" hidden="1">
      <c r="A286" s="1178"/>
      <c r="J286" s="1178"/>
    </row>
    <row r="287" spans="1:10" hidden="1">
      <c r="A287" s="1178"/>
      <c r="J287" s="1178"/>
    </row>
    <row r="288" spans="1:10" hidden="1">
      <c r="A288" s="1178"/>
      <c r="J288" s="1178"/>
    </row>
    <row r="289" spans="1:10" hidden="1">
      <c r="A289" s="1178"/>
      <c r="J289" s="1178"/>
    </row>
    <row r="290" spans="1:10" hidden="1">
      <c r="A290" s="1178"/>
      <c r="J290" s="1178"/>
    </row>
    <row r="291" spans="1:10" hidden="1">
      <c r="A291" s="1178"/>
      <c r="J291" s="1178"/>
    </row>
    <row r="292" spans="1:10" hidden="1">
      <c r="A292" s="1178"/>
      <c r="J292" s="1178"/>
    </row>
    <row r="293" spans="1:10" hidden="1">
      <c r="A293" s="1178"/>
      <c r="J293" s="1178"/>
    </row>
    <row r="294" spans="1:10" hidden="1">
      <c r="A294" s="1178"/>
      <c r="J294" s="1178"/>
    </row>
    <row r="295" spans="1:10" hidden="1">
      <c r="A295" s="1178"/>
      <c r="J295" s="1178"/>
    </row>
    <row r="296" spans="1:10" hidden="1">
      <c r="A296" s="1178"/>
      <c r="J296" s="1178"/>
    </row>
    <row r="297" spans="1:10" hidden="1">
      <c r="A297" s="1178"/>
      <c r="J297" s="1178"/>
    </row>
    <row r="298" spans="1:10" hidden="1">
      <c r="A298" s="1178"/>
      <c r="J298" s="1178"/>
    </row>
    <row r="299" spans="1:10" hidden="1">
      <c r="A299" s="1178"/>
      <c r="J299" s="1178"/>
    </row>
    <row r="300" spans="1:10" hidden="1">
      <c r="A300" s="1178"/>
      <c r="J300" s="1178"/>
    </row>
    <row r="301" spans="1:10" hidden="1">
      <c r="A301" s="1178"/>
      <c r="J301" s="1178"/>
    </row>
    <row r="302" spans="1:10" hidden="1">
      <c r="A302" s="1178"/>
      <c r="J302" s="1178"/>
    </row>
    <row r="303" spans="1:10" hidden="1">
      <c r="A303" s="1178"/>
      <c r="J303" s="1178"/>
    </row>
    <row r="304" spans="1:10" hidden="1">
      <c r="A304" s="1178"/>
      <c r="J304" s="1178"/>
    </row>
    <row r="305" spans="1:10" hidden="1">
      <c r="A305" s="1178"/>
      <c r="J305" s="1178"/>
    </row>
    <row r="306" spans="1:10" hidden="1">
      <c r="A306" s="1178"/>
      <c r="J306" s="1178"/>
    </row>
    <row r="307" spans="1:10" hidden="1">
      <c r="A307" s="1178"/>
      <c r="J307" s="1178"/>
    </row>
    <row r="308" spans="1:10" hidden="1">
      <c r="A308" s="1178"/>
      <c r="J308" s="1178"/>
    </row>
    <row r="309" spans="1:10" hidden="1">
      <c r="A309" s="1178"/>
      <c r="J309" s="1178"/>
    </row>
    <row r="310" spans="1:10" hidden="1">
      <c r="A310" s="1178"/>
      <c r="J310" s="1178"/>
    </row>
    <row r="311" spans="1:10" hidden="1">
      <c r="A311" s="1178"/>
      <c r="J311" s="1178"/>
    </row>
    <row r="312" spans="1:10" hidden="1">
      <c r="A312" s="1178"/>
      <c r="J312" s="1178"/>
    </row>
    <row r="313" spans="1:10" hidden="1">
      <c r="A313" s="1178"/>
      <c r="J313" s="1178"/>
    </row>
    <row r="314" spans="1:10" hidden="1">
      <c r="A314" s="1178"/>
      <c r="J314" s="1178"/>
    </row>
    <row r="315" spans="1:10" hidden="1">
      <c r="A315" s="1178"/>
      <c r="J315" s="1178"/>
    </row>
    <row r="316" spans="1:10" hidden="1">
      <c r="A316" s="1178"/>
      <c r="J316" s="1178"/>
    </row>
    <row r="317" spans="1:10" hidden="1">
      <c r="A317" s="1178"/>
      <c r="J317" s="1178"/>
    </row>
    <row r="318" spans="1:10" hidden="1">
      <c r="A318" s="1178"/>
      <c r="J318" s="1178"/>
    </row>
    <row r="319" spans="1:10" hidden="1">
      <c r="A319" s="1178"/>
      <c r="J319" s="1178"/>
    </row>
    <row r="320" spans="1:10" hidden="1">
      <c r="A320" s="1178"/>
      <c r="J320" s="1178"/>
    </row>
    <row r="321" spans="1:10" hidden="1">
      <c r="A321" s="1178"/>
      <c r="J321" s="1178"/>
    </row>
    <row r="322" spans="1:10" hidden="1">
      <c r="A322" s="1178"/>
      <c r="J322" s="1178"/>
    </row>
    <row r="323" spans="1:10" hidden="1">
      <c r="A323" s="1178"/>
      <c r="J323" s="1178"/>
    </row>
    <row r="324" spans="1:10" hidden="1">
      <c r="A324" s="1178"/>
      <c r="J324" s="1178"/>
    </row>
    <row r="325" spans="1:10" hidden="1">
      <c r="A325" s="1178"/>
      <c r="J325" s="1178"/>
    </row>
    <row r="326" spans="1:10" hidden="1">
      <c r="A326" s="1178"/>
      <c r="J326" s="1178"/>
    </row>
    <row r="327" spans="1:10" hidden="1">
      <c r="A327" s="1178"/>
      <c r="J327" s="1178"/>
    </row>
    <row r="328" spans="1:10" hidden="1">
      <c r="A328" s="1178"/>
      <c r="J328" s="1178"/>
    </row>
    <row r="329" spans="1:10" hidden="1">
      <c r="A329" s="1178"/>
      <c r="J329" s="1178"/>
    </row>
    <row r="330" spans="1:10" hidden="1">
      <c r="A330" s="1178"/>
      <c r="J330" s="1178"/>
    </row>
    <row r="331" spans="1:10" hidden="1">
      <c r="A331" s="1178"/>
      <c r="J331" s="1178"/>
    </row>
    <row r="332" spans="1:10" hidden="1">
      <c r="A332" s="1178"/>
      <c r="J332" s="1178"/>
    </row>
    <row r="333" spans="1:10" hidden="1">
      <c r="A333" s="1178"/>
      <c r="J333" s="1178"/>
    </row>
    <row r="334" spans="1:10" hidden="1">
      <c r="A334" s="1178"/>
      <c r="J334" s="1178"/>
    </row>
    <row r="335" spans="1:10" hidden="1">
      <c r="A335" s="1178"/>
      <c r="J335" s="1178"/>
    </row>
    <row r="336" spans="1:10" hidden="1">
      <c r="A336" s="1178"/>
      <c r="J336" s="1178"/>
    </row>
    <row r="337" spans="1:10" hidden="1">
      <c r="A337" s="1178"/>
      <c r="J337" s="1178"/>
    </row>
    <row r="338" spans="1:10" hidden="1">
      <c r="A338" s="1178"/>
      <c r="J338" s="1178"/>
    </row>
    <row r="339" spans="1:10" hidden="1">
      <c r="A339" s="1178"/>
      <c r="J339" s="1178"/>
    </row>
    <row r="340" spans="1:10" hidden="1">
      <c r="A340" s="1178"/>
      <c r="J340" s="1178"/>
    </row>
    <row r="341" spans="1:10" hidden="1">
      <c r="A341" s="1178"/>
      <c r="J341" s="1178"/>
    </row>
    <row r="342" spans="1:10" hidden="1">
      <c r="A342" s="1178"/>
      <c r="J342" s="1178"/>
    </row>
    <row r="343" spans="1:10" hidden="1">
      <c r="A343" s="1178"/>
      <c r="J343" s="1178"/>
    </row>
    <row r="344" spans="1:10" hidden="1">
      <c r="A344" s="1178"/>
      <c r="J344" s="1178"/>
    </row>
    <row r="345" spans="1:10" hidden="1">
      <c r="A345" s="1178"/>
      <c r="J345" s="1178"/>
    </row>
    <row r="346" spans="1:10" hidden="1">
      <c r="A346" s="1178"/>
      <c r="J346" s="1178"/>
    </row>
    <row r="347" spans="1:10" hidden="1">
      <c r="A347" s="1178"/>
      <c r="J347" s="1178"/>
    </row>
    <row r="348" spans="1:10" hidden="1">
      <c r="A348" s="1178"/>
      <c r="J348" s="1178"/>
    </row>
    <row r="349" spans="1:10" hidden="1">
      <c r="A349" s="1178"/>
      <c r="J349" s="1178"/>
    </row>
    <row r="350" spans="1:10" hidden="1">
      <c r="A350" s="1178"/>
      <c r="J350" s="1178"/>
    </row>
    <row r="351" spans="1:10" hidden="1">
      <c r="A351" s="1178"/>
      <c r="J351" s="1178"/>
    </row>
    <row r="352" spans="1:10" hidden="1">
      <c r="A352" s="1178"/>
      <c r="J352" s="1178"/>
    </row>
    <row r="353" spans="1:10" hidden="1">
      <c r="A353" s="1178"/>
      <c r="J353" s="1178"/>
    </row>
    <row r="354" spans="1:10" hidden="1">
      <c r="A354" s="1178"/>
      <c r="J354" s="1178"/>
    </row>
    <row r="355" spans="1:10" hidden="1">
      <c r="A355" s="1178"/>
      <c r="J355" s="1178"/>
    </row>
    <row r="356" spans="1:10" hidden="1">
      <c r="A356" s="1178"/>
      <c r="J356" s="1178"/>
    </row>
    <row r="357" spans="1:10" hidden="1">
      <c r="A357" s="1178"/>
      <c r="J357" s="1178"/>
    </row>
    <row r="358" spans="1:10" hidden="1">
      <c r="A358" s="1178"/>
      <c r="J358" s="1178"/>
    </row>
    <row r="359" spans="1:10" hidden="1">
      <c r="A359" s="1178"/>
      <c r="J359" s="1178"/>
    </row>
    <row r="360" spans="1:10" hidden="1">
      <c r="A360" s="1178"/>
      <c r="J360" s="1178"/>
    </row>
    <row r="361" spans="1:10" hidden="1">
      <c r="A361" s="1178"/>
      <c r="J361" s="1178"/>
    </row>
    <row r="362" spans="1:10" hidden="1">
      <c r="A362" s="1178"/>
      <c r="J362" s="1178"/>
    </row>
    <row r="363" spans="1:10" hidden="1">
      <c r="A363" s="1178"/>
      <c r="J363" s="1178"/>
    </row>
    <row r="364" spans="1:10" hidden="1">
      <c r="A364" s="1178"/>
      <c r="J364" s="1178"/>
    </row>
    <row r="365" spans="1:10" hidden="1">
      <c r="A365" s="1178"/>
      <c r="J365" s="1178"/>
    </row>
    <row r="366" spans="1:10" hidden="1">
      <c r="A366" s="1178"/>
      <c r="J366" s="1178"/>
    </row>
    <row r="367" spans="1:10" hidden="1">
      <c r="A367" s="1178"/>
      <c r="J367" s="1178"/>
    </row>
    <row r="368" spans="1:10" hidden="1">
      <c r="A368" s="1178"/>
      <c r="J368" s="1178"/>
    </row>
    <row r="369" spans="1:10" hidden="1">
      <c r="A369" s="1178"/>
      <c r="J369" s="1178"/>
    </row>
    <row r="370" spans="1:10" hidden="1">
      <c r="A370" s="1178"/>
      <c r="J370" s="1178"/>
    </row>
    <row r="371" spans="1:10" hidden="1">
      <c r="A371" s="1178"/>
      <c r="J371" s="1178"/>
    </row>
    <row r="372" spans="1:10" hidden="1">
      <c r="A372" s="1178"/>
      <c r="J372" s="1178"/>
    </row>
    <row r="373" spans="1:10" hidden="1">
      <c r="A373" s="1178"/>
      <c r="J373" s="1178"/>
    </row>
    <row r="374" spans="1:10" hidden="1">
      <c r="A374" s="1178"/>
      <c r="J374" s="1178"/>
    </row>
    <row r="375" spans="1:10" hidden="1">
      <c r="A375" s="1178"/>
      <c r="J375" s="1178"/>
    </row>
    <row r="376" spans="1:10" hidden="1">
      <c r="A376" s="1178"/>
      <c r="J376" s="1178"/>
    </row>
    <row r="377" spans="1:10" hidden="1">
      <c r="A377" s="1178"/>
      <c r="J377" s="1178"/>
    </row>
    <row r="378" spans="1:10" hidden="1">
      <c r="A378" s="1178"/>
      <c r="J378" s="1178"/>
    </row>
    <row r="379" spans="1:10">
      <c r="A379" s="1178"/>
      <c r="J379" s="1178"/>
    </row>
    <row r="380" spans="1:10" hidden="1">
      <c r="A380" s="1178"/>
      <c r="J380" s="1178"/>
    </row>
    <row r="381" spans="1:10" hidden="1">
      <c r="A381" s="1178"/>
      <c r="J381" s="1178"/>
    </row>
    <row r="382" spans="1:10" hidden="1">
      <c r="A382" s="1178"/>
      <c r="J382" s="1178"/>
    </row>
    <row r="383" spans="1:10" hidden="1">
      <c r="A383" s="1178"/>
      <c r="J383" s="1178"/>
    </row>
    <row r="384" spans="1:10" hidden="1">
      <c r="A384" s="1178"/>
      <c r="J384" s="1178"/>
    </row>
    <row r="385" spans="1:13" hidden="1">
      <c r="A385" s="1178"/>
      <c r="J385" s="1178"/>
    </row>
    <row r="386" spans="1:13" hidden="1">
      <c r="A386" s="1178"/>
      <c r="J386" s="1178"/>
    </row>
    <row r="387" spans="1:13" ht="13.5" hidden="1" thickBot="1">
      <c r="A387" s="1178"/>
      <c r="J387" s="1178"/>
    </row>
    <row r="388" spans="1:13" ht="45" hidden="1">
      <c r="A388" s="1436" t="s">
        <v>69</v>
      </c>
      <c r="B388" s="1437"/>
      <c r="C388" s="1437"/>
      <c r="D388" s="1437"/>
      <c r="E388" s="1437"/>
      <c r="F388" s="1437"/>
      <c r="G388" s="1437"/>
      <c r="H388" s="1437"/>
      <c r="I388" s="1437"/>
      <c r="J388" s="1437"/>
      <c r="K388" s="1438"/>
      <c r="L388" s="1438"/>
      <c r="M388" s="1438"/>
    </row>
    <row r="389" spans="1:13" hidden="1">
      <c r="A389" s="1178"/>
      <c r="J389" s="1178"/>
      <c r="K389" s="2065"/>
      <c r="L389" s="2065"/>
      <c r="M389" s="2065"/>
    </row>
    <row r="390" spans="1:13" hidden="1">
      <c r="A390" s="1178"/>
      <c r="J390" s="1178"/>
      <c r="K390" s="2065"/>
      <c r="L390" s="2065"/>
      <c r="M390" s="2065"/>
    </row>
    <row r="391" spans="1:13" hidden="1">
      <c r="A391" s="1178"/>
      <c r="J391" s="1178"/>
      <c r="K391" s="2065"/>
      <c r="L391" s="2065"/>
      <c r="M391" s="2065"/>
    </row>
    <row r="392" spans="1:13" hidden="1">
      <c r="A392" s="1178"/>
      <c r="J392" s="1178"/>
      <c r="K392" s="2065"/>
      <c r="L392" s="2065"/>
      <c r="M392" s="2065"/>
    </row>
    <row r="393" spans="1:13" hidden="1">
      <c r="A393" s="1178"/>
      <c r="J393" s="1178"/>
      <c r="K393" s="2065"/>
      <c r="L393" s="2065"/>
      <c r="M393" s="2065"/>
    </row>
    <row r="394" spans="1:13" hidden="1">
      <c r="A394" s="1178"/>
      <c r="J394" s="1178"/>
      <c r="K394" s="2065"/>
      <c r="L394" s="2065"/>
      <c r="M394" s="2065"/>
    </row>
    <row r="395" spans="1:13" hidden="1">
      <c r="A395" s="1178"/>
      <c r="J395" s="1178"/>
      <c r="K395" s="2065"/>
      <c r="L395" s="2065"/>
      <c r="M395" s="2065"/>
    </row>
    <row r="396" spans="1:13" hidden="1">
      <c r="A396" s="1178"/>
      <c r="J396" s="1178"/>
      <c r="K396" s="2065"/>
      <c r="L396" s="2065"/>
      <c r="M396" s="2065"/>
    </row>
    <row r="397" spans="1:13" hidden="1">
      <c r="A397" s="1178"/>
      <c r="J397" s="1178"/>
      <c r="K397" s="2065"/>
      <c r="L397" s="2065"/>
      <c r="M397" s="2065"/>
    </row>
    <row r="398" spans="1:13" hidden="1">
      <c r="A398" s="1178"/>
      <c r="J398" s="1178"/>
      <c r="K398" s="2065"/>
      <c r="L398" s="2065"/>
      <c r="M398" s="2065"/>
    </row>
    <row r="399" spans="1:13" ht="13.5" hidden="1" thickBot="1">
      <c r="A399" s="1439"/>
      <c r="B399" s="1439"/>
      <c r="C399" s="1439"/>
      <c r="D399" s="1439"/>
      <c r="E399" s="1439"/>
      <c r="F399" s="1439"/>
      <c r="G399" s="1439"/>
      <c r="H399" s="1439"/>
      <c r="I399" s="1439"/>
      <c r="J399" s="1439"/>
      <c r="K399" s="700"/>
      <c r="L399" s="700"/>
      <c r="M399" s="700"/>
    </row>
    <row r="400" spans="1:13" hidden="1">
      <c r="A400" s="1178"/>
      <c r="J400" s="1178"/>
    </row>
    <row r="401" spans="1:10" hidden="1">
      <c r="A401" s="1178"/>
      <c r="J401" s="1178"/>
    </row>
    <row r="402" spans="1:10" hidden="1">
      <c r="A402" s="1178"/>
      <c r="J402" s="1178"/>
    </row>
    <row r="403" spans="1:10" hidden="1">
      <c r="A403" s="1178"/>
      <c r="J403" s="1178"/>
    </row>
    <row r="404" spans="1:10" hidden="1">
      <c r="A404" s="1178"/>
      <c r="J404" s="1178"/>
    </row>
    <row r="405" spans="1:10" hidden="1">
      <c r="A405" s="1178"/>
      <c r="J405" s="1178"/>
    </row>
    <row r="406" spans="1:10" hidden="1">
      <c r="A406" s="1178"/>
      <c r="J406" s="1178"/>
    </row>
    <row r="407" spans="1:10" hidden="1">
      <c r="A407" s="1178"/>
      <c r="J407" s="1178"/>
    </row>
    <row r="408" spans="1:10" hidden="1">
      <c r="A408" s="1178"/>
      <c r="J408" s="1178"/>
    </row>
    <row r="409" spans="1:10" hidden="1">
      <c r="A409" s="1178"/>
      <c r="J409" s="1178"/>
    </row>
    <row r="410" spans="1:10" hidden="1">
      <c r="A410" s="1178"/>
      <c r="J410" s="1178"/>
    </row>
    <row r="411" spans="1:10">
      <c r="A411" s="1178"/>
      <c r="J411" s="1178"/>
    </row>
    <row r="412" spans="1:10">
      <c r="A412" s="1178"/>
      <c r="J412" s="1178"/>
    </row>
    <row r="413" spans="1:10">
      <c r="A413" s="1178"/>
      <c r="J413" s="1178"/>
    </row>
    <row r="414" spans="1:10">
      <c r="A414" s="1178"/>
      <c r="J414" s="1178"/>
    </row>
    <row r="415" spans="1:10">
      <c r="A415" s="1178"/>
      <c r="J415" s="1178"/>
    </row>
    <row r="416" spans="1:10">
      <c r="A416" s="1178"/>
      <c r="J416" s="1178"/>
    </row>
    <row r="417" spans="1:10">
      <c r="A417" s="1178"/>
      <c r="J417" s="1178"/>
    </row>
    <row r="418" spans="1:10">
      <c r="A418" s="1178"/>
      <c r="J418" s="1178"/>
    </row>
    <row r="419" spans="1:10">
      <c r="A419" s="1178"/>
      <c r="J419" s="1178"/>
    </row>
    <row r="420" spans="1:10">
      <c r="A420" s="1178"/>
      <c r="J420" s="1178"/>
    </row>
    <row r="421" spans="1:10">
      <c r="A421" s="1178"/>
      <c r="J421" s="1178"/>
    </row>
    <row r="422" spans="1:10">
      <c r="A422" s="1178"/>
      <c r="J422" s="1178"/>
    </row>
    <row r="423" spans="1:10">
      <c r="A423" s="1178"/>
      <c r="J423" s="1178"/>
    </row>
    <row r="424" spans="1:10">
      <c r="A424" s="1178"/>
      <c r="J424" s="1178"/>
    </row>
    <row r="425" spans="1:10">
      <c r="A425" s="1178"/>
      <c r="J425" s="1178"/>
    </row>
    <row r="426" spans="1:10">
      <c r="A426" s="1178"/>
      <c r="J426" s="1178"/>
    </row>
    <row r="427" spans="1:10">
      <c r="A427" s="1178"/>
      <c r="J427" s="1178"/>
    </row>
    <row r="428" spans="1:10">
      <c r="A428" s="1178"/>
      <c r="J428" s="1178"/>
    </row>
    <row r="429" spans="1:10">
      <c r="A429" s="1178"/>
      <c r="J429" s="1178"/>
    </row>
    <row r="430" spans="1:10">
      <c r="A430" s="1178"/>
      <c r="J430" s="1178"/>
    </row>
    <row r="431" spans="1:10">
      <c r="A431" s="1178"/>
      <c r="J431" s="1178"/>
    </row>
    <row r="432" spans="1:10">
      <c r="A432" s="1178"/>
      <c r="J432" s="1178"/>
    </row>
    <row r="433" spans="1:10">
      <c r="A433" s="1178"/>
      <c r="J433" s="1178"/>
    </row>
    <row r="434" spans="1:10">
      <c r="A434" s="1178"/>
      <c r="J434" s="1178"/>
    </row>
    <row r="435" spans="1:10">
      <c r="A435" s="1178"/>
      <c r="J435" s="1178"/>
    </row>
    <row r="436" spans="1:10">
      <c r="A436" s="1178"/>
      <c r="J436" s="1178"/>
    </row>
    <row r="437" spans="1:10">
      <c r="A437" s="1178"/>
      <c r="J437" s="1178"/>
    </row>
    <row r="438" spans="1:10">
      <c r="A438" s="1178"/>
      <c r="J438" s="1178"/>
    </row>
    <row r="439" spans="1:10">
      <c r="A439" s="1178"/>
      <c r="J439" s="1178"/>
    </row>
    <row r="440" spans="1:10">
      <c r="A440" s="1178"/>
      <c r="J440" s="1178"/>
    </row>
    <row r="441" spans="1:10">
      <c r="A441" s="1178"/>
      <c r="J441" s="1178"/>
    </row>
    <row r="442" spans="1:10">
      <c r="A442" s="1178"/>
      <c r="J442" s="1178"/>
    </row>
    <row r="443" spans="1:10">
      <c r="A443" s="1178"/>
      <c r="J443" s="1178"/>
    </row>
    <row r="444" spans="1:10">
      <c r="A444" s="1178"/>
      <c r="J444" s="1178"/>
    </row>
    <row r="445" spans="1:10">
      <c r="A445" s="1178"/>
      <c r="J445" s="1178"/>
    </row>
    <row r="446" spans="1:10">
      <c r="A446" s="1178"/>
      <c r="J446" s="1178"/>
    </row>
    <row r="447" spans="1:10">
      <c r="A447" s="1178"/>
      <c r="J447" s="1178"/>
    </row>
    <row r="448" spans="1:10">
      <c r="A448" s="1178"/>
      <c r="J448" s="1178"/>
    </row>
    <row r="449" spans="1:10">
      <c r="A449" s="1178"/>
      <c r="J449" s="1178"/>
    </row>
    <row r="450" spans="1:10">
      <c r="A450" s="1178"/>
      <c r="J450" s="1178"/>
    </row>
    <row r="451" spans="1:10">
      <c r="A451" s="1178"/>
      <c r="J451" s="1178"/>
    </row>
    <row r="452" spans="1:10">
      <c r="A452" s="1178"/>
      <c r="J452" s="1178"/>
    </row>
    <row r="453" spans="1:10">
      <c r="A453" s="1178"/>
      <c r="J453" s="1178"/>
    </row>
    <row r="454" spans="1:10">
      <c r="A454" s="1178"/>
      <c r="J454" s="1178"/>
    </row>
    <row r="455" spans="1:10">
      <c r="A455" s="1178"/>
      <c r="J455" s="1178"/>
    </row>
    <row r="456" spans="1:10">
      <c r="A456" s="1178"/>
      <c r="J456" s="1178"/>
    </row>
    <row r="457" spans="1:10">
      <c r="A457" s="1178"/>
      <c r="J457" s="1178"/>
    </row>
    <row r="458" spans="1:10">
      <c r="A458" s="1178"/>
      <c r="J458" s="1178"/>
    </row>
    <row r="459" spans="1:10">
      <c r="A459" s="1178"/>
      <c r="J459" s="1178"/>
    </row>
    <row r="460" spans="1:10">
      <c r="A460" s="1178"/>
      <c r="J460" s="1178"/>
    </row>
    <row r="461" spans="1:10">
      <c r="A461" s="1178"/>
      <c r="J461" s="1178"/>
    </row>
    <row r="462" spans="1:10">
      <c r="A462" s="1178"/>
      <c r="J462" s="1178"/>
    </row>
    <row r="463" spans="1:10">
      <c r="A463" s="1178"/>
      <c r="J463" s="1178"/>
    </row>
    <row r="464" spans="1:10">
      <c r="A464" s="1178"/>
      <c r="J464" s="1178"/>
    </row>
    <row r="465" spans="1:10">
      <c r="A465" s="1178"/>
      <c r="J465" s="1178"/>
    </row>
    <row r="466" spans="1:10">
      <c r="A466" s="1178"/>
      <c r="J466" s="1178"/>
    </row>
    <row r="467" spans="1:10">
      <c r="A467" s="1178"/>
      <c r="J467" s="1178"/>
    </row>
    <row r="468" spans="1:10">
      <c r="A468" s="1178"/>
      <c r="J468" s="1178"/>
    </row>
    <row r="469" spans="1:10">
      <c r="A469" s="1178"/>
      <c r="J469" s="1178"/>
    </row>
    <row r="470" spans="1:10">
      <c r="A470" s="1178"/>
      <c r="J470" s="1178"/>
    </row>
    <row r="471" spans="1:10">
      <c r="A471" s="1178"/>
      <c r="J471" s="1178"/>
    </row>
    <row r="472" spans="1:10">
      <c r="A472" s="1178"/>
      <c r="J472" s="1178"/>
    </row>
    <row r="473" spans="1:10">
      <c r="A473" s="1178"/>
      <c r="J473" s="1178"/>
    </row>
    <row r="474" spans="1:10">
      <c r="A474" s="1178"/>
      <c r="J474" s="1178"/>
    </row>
    <row r="475" spans="1:10">
      <c r="A475" s="1178"/>
      <c r="J475" s="1178"/>
    </row>
    <row r="476" spans="1:10">
      <c r="A476" s="1178"/>
      <c r="J476" s="1178"/>
    </row>
    <row r="477" spans="1:10">
      <c r="A477" s="1178"/>
      <c r="J477" s="1178"/>
    </row>
    <row r="478" spans="1:10">
      <c r="A478" s="1178"/>
      <c r="J478" s="1178"/>
    </row>
    <row r="479" spans="1:10">
      <c r="A479" s="1178"/>
      <c r="J479" s="1178"/>
    </row>
    <row r="480" spans="1:10">
      <c r="A480" s="1178"/>
      <c r="J480" s="1178"/>
    </row>
    <row r="481" spans="1:10">
      <c r="A481" s="1178"/>
      <c r="J481" s="1178"/>
    </row>
    <row r="482" spans="1:10">
      <c r="A482" s="1178"/>
      <c r="J482" s="1178"/>
    </row>
    <row r="483" spans="1:10">
      <c r="A483" s="1178"/>
      <c r="J483" s="1178"/>
    </row>
    <row r="484" spans="1:10">
      <c r="A484" s="1178"/>
      <c r="J484" s="1178"/>
    </row>
    <row r="485" spans="1:10">
      <c r="A485" s="1178"/>
      <c r="J485" s="1178"/>
    </row>
    <row r="486" spans="1:10">
      <c r="A486" s="1178"/>
      <c r="J486" s="1178"/>
    </row>
    <row r="487" spans="1:10">
      <c r="A487" s="1178"/>
      <c r="J487" s="1178"/>
    </row>
    <row r="488" spans="1:10">
      <c r="A488" s="1178"/>
      <c r="J488" s="1178"/>
    </row>
    <row r="489" spans="1:10">
      <c r="A489" s="1178"/>
      <c r="J489" s="1178"/>
    </row>
    <row r="490" spans="1:10">
      <c r="A490" s="1178"/>
      <c r="J490" s="1178"/>
    </row>
    <row r="491" spans="1:10">
      <c r="A491" s="1178"/>
      <c r="J491" s="1178"/>
    </row>
    <row r="492" spans="1:10">
      <c r="A492" s="1178"/>
      <c r="J492" s="1178"/>
    </row>
    <row r="493" spans="1:10">
      <c r="A493" s="1178"/>
      <c r="J493" s="1178"/>
    </row>
    <row r="494" spans="1:10">
      <c r="A494" s="1178"/>
      <c r="J494" s="1178"/>
    </row>
    <row r="495" spans="1:10">
      <c r="A495" s="1178"/>
      <c r="J495" s="1178"/>
    </row>
    <row r="496" spans="1:10">
      <c r="A496" s="1178"/>
      <c r="J496" s="1178"/>
    </row>
    <row r="497" spans="1:10">
      <c r="A497" s="1178"/>
      <c r="J497" s="1178"/>
    </row>
    <row r="498" spans="1:10">
      <c r="A498" s="1178"/>
      <c r="J498" s="1178"/>
    </row>
    <row r="499" spans="1:10">
      <c r="A499" s="1178"/>
      <c r="J499" s="1178"/>
    </row>
    <row r="500" spans="1:10">
      <c r="A500" s="1178"/>
      <c r="J500" s="1178"/>
    </row>
    <row r="501" spans="1:10">
      <c r="A501" s="1178"/>
      <c r="J501" s="1178"/>
    </row>
    <row r="502" spans="1:10">
      <c r="A502" s="1178"/>
      <c r="J502" s="1178"/>
    </row>
    <row r="503" spans="1:10">
      <c r="A503" s="1178"/>
      <c r="J503" s="1178"/>
    </row>
    <row r="504" spans="1:10">
      <c r="A504" s="1178"/>
      <c r="J504" s="1178"/>
    </row>
    <row r="505" spans="1:10">
      <c r="A505" s="1178"/>
      <c r="J505" s="1178"/>
    </row>
    <row r="506" spans="1:10">
      <c r="A506" s="1178"/>
      <c r="J506" s="1178"/>
    </row>
    <row r="507" spans="1:10">
      <c r="A507" s="1178"/>
      <c r="J507" s="1178"/>
    </row>
    <row r="508" spans="1:10">
      <c r="A508" s="1178"/>
      <c r="J508" s="1178"/>
    </row>
    <row r="509" spans="1:10">
      <c r="A509" s="1178"/>
      <c r="J509" s="1178"/>
    </row>
    <row r="510" spans="1:10">
      <c r="A510" s="1178"/>
      <c r="J510" s="1178"/>
    </row>
    <row r="511" spans="1:10">
      <c r="A511" s="1178"/>
      <c r="J511" s="1178"/>
    </row>
    <row r="512" spans="1:10">
      <c r="A512" s="1178"/>
      <c r="J512" s="1178"/>
    </row>
    <row r="513" spans="1:10">
      <c r="A513" s="1178"/>
      <c r="J513" s="1178"/>
    </row>
    <row r="514" spans="1:10">
      <c r="A514" s="1178"/>
      <c r="J514" s="1178"/>
    </row>
    <row r="515" spans="1:10">
      <c r="A515" s="1178"/>
      <c r="J515" s="1178"/>
    </row>
    <row r="516" spans="1:10">
      <c r="A516" s="1178"/>
      <c r="J516" s="1178"/>
    </row>
    <row r="517" spans="1:10">
      <c r="A517" s="1178"/>
      <c r="J517" s="1178"/>
    </row>
    <row r="518" spans="1:10">
      <c r="A518" s="1178"/>
      <c r="J518" s="1178"/>
    </row>
    <row r="519" spans="1:10">
      <c r="A519" s="1178"/>
      <c r="J519" s="1178"/>
    </row>
    <row r="520" spans="1:10">
      <c r="A520" s="1178"/>
      <c r="J520" s="1178"/>
    </row>
    <row r="521" spans="1:10">
      <c r="A521" s="1178"/>
      <c r="J521" s="1178"/>
    </row>
    <row r="522" spans="1:10">
      <c r="A522" s="1178"/>
      <c r="J522" s="1178"/>
    </row>
    <row r="523" spans="1:10">
      <c r="A523" s="1178"/>
      <c r="J523" s="1178"/>
    </row>
    <row r="524" spans="1:10">
      <c r="A524" s="1178"/>
      <c r="J524" s="1178"/>
    </row>
    <row r="525" spans="1:10">
      <c r="A525" s="1178"/>
      <c r="J525" s="1178"/>
    </row>
    <row r="526" spans="1:10">
      <c r="A526" s="1178"/>
      <c r="J526" s="1178"/>
    </row>
    <row r="527" spans="1:10">
      <c r="A527" s="1178"/>
      <c r="J527" s="1178"/>
    </row>
    <row r="528" spans="1:10">
      <c r="A528" s="1178"/>
      <c r="J528" s="1178"/>
    </row>
    <row r="529" spans="1:10">
      <c r="A529" s="1178"/>
      <c r="J529" s="1178"/>
    </row>
    <row r="530" spans="1:10">
      <c r="A530" s="1178"/>
      <c r="J530" s="1178"/>
    </row>
    <row r="531" spans="1:10">
      <c r="A531" s="1178"/>
      <c r="J531" s="1178"/>
    </row>
    <row r="532" spans="1:10">
      <c r="A532" s="1178"/>
      <c r="J532" s="1178"/>
    </row>
    <row r="533" spans="1:10">
      <c r="A533" s="1178"/>
      <c r="J533" s="1178"/>
    </row>
    <row r="534" spans="1:10">
      <c r="A534" s="1178"/>
      <c r="J534" s="1178"/>
    </row>
    <row r="535" spans="1:10">
      <c r="A535" s="1178"/>
      <c r="J535" s="1178"/>
    </row>
    <row r="536" spans="1:10">
      <c r="A536" s="1178"/>
      <c r="J536" s="1178"/>
    </row>
    <row r="537" spans="1:10">
      <c r="A537" s="1178"/>
      <c r="J537" s="1178"/>
    </row>
    <row r="538" spans="1:10">
      <c r="A538" s="1178"/>
      <c r="J538" s="1178"/>
    </row>
    <row r="539" spans="1:10">
      <c r="A539" s="1178"/>
      <c r="J539" s="1178"/>
    </row>
    <row r="540" spans="1:10">
      <c r="A540" s="1178"/>
      <c r="J540" s="1178"/>
    </row>
    <row r="541" spans="1:10">
      <c r="A541" s="1178"/>
      <c r="J541" s="1178"/>
    </row>
    <row r="542" spans="1:10">
      <c r="A542" s="1178"/>
      <c r="J542" s="1178"/>
    </row>
    <row r="543" spans="1:10">
      <c r="A543" s="1178"/>
      <c r="J543" s="1178"/>
    </row>
    <row r="544" spans="1:10">
      <c r="A544" s="1178"/>
      <c r="J544" s="1178"/>
    </row>
    <row r="545" spans="1:10">
      <c r="A545" s="1178"/>
      <c r="J545" s="1178"/>
    </row>
    <row r="546" spans="1:10">
      <c r="A546" s="1178"/>
      <c r="J546" s="1178"/>
    </row>
    <row r="547" spans="1:10">
      <c r="A547" s="1178"/>
      <c r="J547" s="1178"/>
    </row>
    <row r="548" spans="1:10">
      <c r="A548" s="1178"/>
      <c r="J548" s="1178"/>
    </row>
    <row r="549" spans="1:10">
      <c r="A549" s="1178"/>
      <c r="J549" s="1178"/>
    </row>
    <row r="550" spans="1:10">
      <c r="A550" s="1178"/>
      <c r="J550" s="1178"/>
    </row>
    <row r="551" spans="1:10">
      <c r="A551" s="1178"/>
      <c r="J551" s="1178"/>
    </row>
    <row r="552" spans="1:10">
      <c r="A552" s="1178"/>
      <c r="J552" s="1178"/>
    </row>
    <row r="553" spans="1:10">
      <c r="A553" s="1178"/>
      <c r="J553" s="1178"/>
    </row>
    <row r="554" spans="1:10">
      <c r="A554" s="1178"/>
      <c r="J554" s="1178"/>
    </row>
    <row r="555" spans="1:10">
      <c r="A555" s="1178"/>
      <c r="J555" s="1178"/>
    </row>
    <row r="556" spans="1:10">
      <c r="A556" s="1178"/>
      <c r="J556" s="1178"/>
    </row>
    <row r="557" spans="1:10">
      <c r="A557" s="1178"/>
      <c r="J557" s="1178"/>
    </row>
    <row r="558" spans="1:10">
      <c r="A558" s="1178"/>
      <c r="J558" s="1178"/>
    </row>
    <row r="559" spans="1:10">
      <c r="A559" s="1178"/>
      <c r="J559" s="1178"/>
    </row>
    <row r="560" spans="1:10">
      <c r="A560" s="1178"/>
      <c r="J560" s="1178"/>
    </row>
    <row r="561" spans="1:10">
      <c r="A561" s="1178"/>
      <c r="J561" s="1178"/>
    </row>
    <row r="562" spans="1:10">
      <c r="A562" s="1178"/>
      <c r="J562" s="1178"/>
    </row>
    <row r="563" spans="1:10">
      <c r="A563" s="1178"/>
      <c r="J563" s="1178"/>
    </row>
    <row r="564" spans="1:10">
      <c r="A564" s="1178"/>
      <c r="J564" s="1178"/>
    </row>
    <row r="565" spans="1:10">
      <c r="A565" s="1178"/>
      <c r="J565" s="1178"/>
    </row>
    <row r="566" spans="1:10">
      <c r="A566" s="1178"/>
      <c r="J566" s="1178"/>
    </row>
    <row r="567" spans="1:10">
      <c r="A567" s="1178"/>
      <c r="J567" s="1178"/>
    </row>
    <row r="568" spans="1:10">
      <c r="A568" s="1178"/>
      <c r="J568" s="1178"/>
    </row>
    <row r="569" spans="1:10">
      <c r="A569" s="1178"/>
      <c r="J569" s="1178"/>
    </row>
    <row r="570" spans="1:10">
      <c r="A570" s="1178"/>
      <c r="J570" s="1178"/>
    </row>
    <row r="571" spans="1:10">
      <c r="A571" s="1178"/>
      <c r="J571" s="1178"/>
    </row>
    <row r="572" spans="1:10">
      <c r="A572" s="1178"/>
      <c r="J572" s="1178"/>
    </row>
    <row r="573" spans="1:10">
      <c r="A573" s="1178"/>
      <c r="J573" s="1178"/>
    </row>
    <row r="574" spans="1:10">
      <c r="A574" s="1178"/>
      <c r="J574" s="1178"/>
    </row>
    <row r="575" spans="1:10">
      <c r="A575" s="1178"/>
      <c r="J575" s="1178"/>
    </row>
    <row r="576" spans="1:10">
      <c r="A576" s="1178"/>
      <c r="J576" s="1178"/>
    </row>
    <row r="577" spans="1:10">
      <c r="A577" s="1178"/>
      <c r="J577" s="1178"/>
    </row>
    <row r="578" spans="1:10">
      <c r="A578" s="1178"/>
      <c r="J578" s="1178"/>
    </row>
    <row r="579" spans="1:10">
      <c r="A579" s="1178"/>
      <c r="J579" s="1178"/>
    </row>
    <row r="580" spans="1:10">
      <c r="A580" s="1178"/>
      <c r="J580" s="1178"/>
    </row>
    <row r="581" spans="1:10">
      <c r="A581" s="1178"/>
      <c r="J581" s="1178"/>
    </row>
    <row r="582" spans="1:10">
      <c r="A582" s="1178"/>
      <c r="J582" s="1178"/>
    </row>
    <row r="583" spans="1:10">
      <c r="A583" s="1178"/>
      <c r="J583" s="1178"/>
    </row>
    <row r="584" spans="1:10">
      <c r="A584" s="1178"/>
      <c r="J584" s="1178"/>
    </row>
    <row r="585" spans="1:10">
      <c r="A585" s="1178"/>
      <c r="J585" s="1178"/>
    </row>
    <row r="586" spans="1:10">
      <c r="A586" s="1178"/>
      <c r="J586" s="1178"/>
    </row>
    <row r="587" spans="1:10">
      <c r="A587" s="1178"/>
      <c r="J587" s="1178"/>
    </row>
    <row r="588" spans="1:10">
      <c r="A588" s="1178"/>
      <c r="J588" s="1178"/>
    </row>
    <row r="589" spans="1:10">
      <c r="A589" s="1178"/>
      <c r="J589" s="1178"/>
    </row>
    <row r="590" spans="1:10">
      <c r="A590" s="1178"/>
      <c r="J590" s="1178"/>
    </row>
    <row r="591" spans="1:10">
      <c r="A591" s="1178"/>
      <c r="J591" s="1178"/>
    </row>
    <row r="592" spans="1:10">
      <c r="A592" s="1178"/>
      <c r="J592" s="1178"/>
    </row>
    <row r="593" spans="1:10">
      <c r="A593" s="1178"/>
      <c r="J593" s="1178"/>
    </row>
    <row r="594" spans="1:10">
      <c r="A594" s="1178"/>
      <c r="J594" s="1178"/>
    </row>
    <row r="595" spans="1:10">
      <c r="A595" s="1178"/>
      <c r="J595" s="1178"/>
    </row>
    <row r="596" spans="1:10">
      <c r="A596" s="1178"/>
      <c r="J596" s="1178"/>
    </row>
    <row r="597" spans="1:10">
      <c r="A597" s="1178"/>
      <c r="J597" s="1178"/>
    </row>
    <row r="598" spans="1:10">
      <c r="A598" s="1178"/>
      <c r="J598" s="1178"/>
    </row>
    <row r="599" spans="1:10">
      <c r="A599" s="1178"/>
      <c r="J599" s="1178"/>
    </row>
    <row r="600" spans="1:10">
      <c r="A600" s="1178"/>
      <c r="J600" s="1178"/>
    </row>
    <row r="601" spans="1:10">
      <c r="A601" s="1178"/>
      <c r="J601" s="1178"/>
    </row>
    <row r="602" spans="1:10">
      <c r="A602" s="1178"/>
      <c r="J602" s="1178"/>
    </row>
    <row r="603" spans="1:10">
      <c r="A603" s="1178"/>
      <c r="J603" s="1178"/>
    </row>
    <row r="604" spans="1:10">
      <c r="A604" s="1178"/>
      <c r="J604" s="1178"/>
    </row>
    <row r="605" spans="1:10">
      <c r="A605" s="1178"/>
      <c r="J605" s="1178"/>
    </row>
    <row r="606" spans="1:10">
      <c r="A606" s="1178"/>
      <c r="J606" s="1178"/>
    </row>
    <row r="607" spans="1:10">
      <c r="A607" s="1178"/>
      <c r="J607" s="1178"/>
    </row>
    <row r="608" spans="1:10">
      <c r="A608" s="1178"/>
      <c r="J608" s="1178"/>
    </row>
    <row r="609" spans="1:10">
      <c r="A609" s="1178"/>
      <c r="J609" s="1178"/>
    </row>
    <row r="610" spans="1:10">
      <c r="A610" s="1178"/>
      <c r="J610" s="1178"/>
    </row>
    <row r="611" spans="1:10">
      <c r="A611" s="1178"/>
      <c r="J611" s="1178"/>
    </row>
    <row r="612" spans="1:10">
      <c r="A612" s="1178"/>
      <c r="J612" s="1178"/>
    </row>
    <row r="613" spans="1:10">
      <c r="A613" s="1178"/>
      <c r="J613" s="1178"/>
    </row>
    <row r="614" spans="1:10">
      <c r="A614" s="1178"/>
      <c r="J614" s="1178"/>
    </row>
    <row r="615" spans="1:10">
      <c r="A615" s="1178"/>
      <c r="J615" s="1178"/>
    </row>
    <row r="616" spans="1:10">
      <c r="A616" s="1178"/>
      <c r="J616" s="1178"/>
    </row>
    <row r="617" spans="1:10">
      <c r="A617" s="1178"/>
      <c r="J617" s="1178"/>
    </row>
    <row r="618" spans="1:10">
      <c r="A618" s="1178"/>
      <c r="J618" s="1178"/>
    </row>
    <row r="619" spans="1:10">
      <c r="A619" s="1178"/>
      <c r="J619" s="1178"/>
    </row>
    <row r="620" spans="1:10">
      <c r="A620" s="1178"/>
      <c r="J620" s="1178"/>
    </row>
    <row r="621" spans="1:10">
      <c r="A621" s="1178"/>
      <c r="J621" s="1178"/>
    </row>
    <row r="622" spans="1:10">
      <c r="A622" s="1178"/>
      <c r="J622" s="1178"/>
    </row>
    <row r="623" spans="1:10">
      <c r="A623" s="1178"/>
      <c r="J623" s="1178"/>
    </row>
    <row r="624" spans="1:10">
      <c r="A624" s="1178"/>
      <c r="J624" s="1178"/>
    </row>
    <row r="625" spans="1:10">
      <c r="A625" s="1178"/>
      <c r="J625" s="1178"/>
    </row>
    <row r="626" spans="1:10">
      <c r="A626" s="1178"/>
      <c r="J626" s="1178"/>
    </row>
    <row r="627" spans="1:10">
      <c r="A627" s="1178"/>
      <c r="J627" s="1178"/>
    </row>
    <row r="628" spans="1:10">
      <c r="A628" s="1178"/>
      <c r="J628" s="1178"/>
    </row>
    <row r="629" spans="1:10">
      <c r="A629" s="1178"/>
      <c r="J629" s="1178"/>
    </row>
    <row r="630" spans="1:10">
      <c r="A630" s="1178"/>
      <c r="J630" s="1178"/>
    </row>
    <row r="631" spans="1:10">
      <c r="A631" s="1178"/>
      <c r="J631" s="1178"/>
    </row>
    <row r="632" spans="1:10">
      <c r="A632" s="1178"/>
      <c r="J632" s="1178"/>
    </row>
    <row r="633" spans="1:10">
      <c r="A633" s="1178"/>
      <c r="J633" s="1178"/>
    </row>
    <row r="634" spans="1:10">
      <c r="A634" s="1178"/>
      <c r="J634" s="1178"/>
    </row>
    <row r="635" spans="1:10">
      <c r="A635" s="1178"/>
      <c r="J635" s="1178"/>
    </row>
    <row r="636" spans="1:10">
      <c r="A636" s="1178"/>
      <c r="J636" s="1178"/>
    </row>
    <row r="637" spans="1:10">
      <c r="A637" s="1178"/>
      <c r="J637" s="1178"/>
    </row>
    <row r="638" spans="1:10">
      <c r="A638" s="1178"/>
      <c r="J638" s="1178"/>
    </row>
    <row r="639" spans="1:10">
      <c r="A639" s="1178"/>
      <c r="J639" s="1178"/>
    </row>
    <row r="640" spans="1:10">
      <c r="A640" s="1178"/>
      <c r="J640" s="1178"/>
    </row>
    <row r="641" spans="1:10">
      <c r="A641" s="1178"/>
      <c r="J641" s="1178"/>
    </row>
    <row r="642" spans="1:10">
      <c r="A642" s="1178"/>
      <c r="J642" s="1178"/>
    </row>
    <row r="643" spans="1:10">
      <c r="A643" s="1178"/>
      <c r="J643" s="1178"/>
    </row>
    <row r="644" spans="1:10">
      <c r="A644" s="1178"/>
      <c r="J644" s="1178"/>
    </row>
    <row r="645" spans="1:10">
      <c r="A645" s="1178"/>
      <c r="J645" s="1178"/>
    </row>
    <row r="646" spans="1:10">
      <c r="A646" s="1178"/>
      <c r="J646" s="1178"/>
    </row>
    <row r="647" spans="1:10">
      <c r="A647" s="1178"/>
      <c r="J647" s="1178"/>
    </row>
    <row r="648" spans="1:10">
      <c r="A648" s="1178"/>
      <c r="J648" s="1178"/>
    </row>
    <row r="649" spans="1:10">
      <c r="A649" s="1178"/>
      <c r="J649" s="1178"/>
    </row>
    <row r="650" spans="1:10">
      <c r="A650" s="1178"/>
      <c r="J650" s="1178"/>
    </row>
    <row r="651" spans="1:10">
      <c r="A651" s="1178"/>
      <c r="J651" s="1178"/>
    </row>
    <row r="652" spans="1:10">
      <c r="A652" s="1178"/>
      <c r="J652" s="1178"/>
    </row>
    <row r="653" spans="1:10">
      <c r="A653" s="1178"/>
      <c r="J653" s="1178"/>
    </row>
    <row r="654" spans="1:10">
      <c r="A654" s="1178"/>
      <c r="J654" s="1178"/>
    </row>
    <row r="655" spans="1:10">
      <c r="A655" s="1178"/>
      <c r="J655" s="1178"/>
    </row>
    <row r="656" spans="1:10">
      <c r="A656" s="1178"/>
      <c r="J656" s="1178"/>
    </row>
    <row r="657" spans="1:10">
      <c r="A657" s="1178"/>
      <c r="J657" s="1178"/>
    </row>
    <row r="658" spans="1:10">
      <c r="A658" s="1178"/>
      <c r="J658" s="1178"/>
    </row>
    <row r="659" spans="1:10">
      <c r="A659" s="1178"/>
      <c r="J659" s="1178"/>
    </row>
    <row r="660" spans="1:10">
      <c r="A660" s="1178"/>
      <c r="J660" s="1178"/>
    </row>
    <row r="661" spans="1:10">
      <c r="A661" s="1178"/>
      <c r="J661" s="1178"/>
    </row>
    <row r="662" spans="1:10">
      <c r="A662" s="1178"/>
      <c r="J662" s="1178"/>
    </row>
    <row r="663" spans="1:10">
      <c r="A663" s="1178"/>
      <c r="J663" s="1178"/>
    </row>
    <row r="664" spans="1:10">
      <c r="A664" s="1178"/>
      <c r="J664" s="1178"/>
    </row>
    <row r="665" spans="1:10">
      <c r="A665" s="1178"/>
      <c r="J665" s="1178"/>
    </row>
    <row r="666" spans="1:10">
      <c r="A666" s="1178"/>
      <c r="J666" s="1178"/>
    </row>
    <row r="667" spans="1:10">
      <c r="A667" s="1178"/>
      <c r="J667" s="1178"/>
    </row>
    <row r="668" spans="1:10">
      <c r="A668" s="1178"/>
      <c r="J668" s="1178"/>
    </row>
    <row r="669" spans="1:10">
      <c r="A669" s="1178"/>
      <c r="J669" s="1178"/>
    </row>
    <row r="670" spans="1:10">
      <c r="A670" s="1178"/>
      <c r="J670" s="1178"/>
    </row>
    <row r="671" spans="1:10">
      <c r="A671" s="1178"/>
      <c r="J671" s="1178"/>
    </row>
    <row r="672" spans="1:10">
      <c r="A672" s="1178"/>
      <c r="J672" s="1178"/>
    </row>
    <row r="673" spans="1:10">
      <c r="A673" s="1178"/>
      <c r="J673" s="1178"/>
    </row>
    <row r="674" spans="1:10">
      <c r="A674" s="1178"/>
      <c r="J674" s="1178"/>
    </row>
    <row r="675" spans="1:10">
      <c r="A675" s="1178"/>
      <c r="J675" s="1178"/>
    </row>
    <row r="676" spans="1:10">
      <c r="A676" s="1178"/>
      <c r="J676" s="1178"/>
    </row>
    <row r="677" spans="1:10">
      <c r="A677" s="1178"/>
      <c r="J677" s="1178"/>
    </row>
    <row r="678" spans="1:10">
      <c r="A678" s="1178"/>
      <c r="J678" s="1178"/>
    </row>
    <row r="679" spans="1:10">
      <c r="A679" s="1178"/>
      <c r="J679" s="1178"/>
    </row>
    <row r="680" spans="1:10">
      <c r="A680" s="1178"/>
      <c r="J680" s="1178"/>
    </row>
    <row r="681" spans="1:10">
      <c r="A681" s="1178"/>
      <c r="J681" s="1178"/>
    </row>
    <row r="682" spans="1:10">
      <c r="A682" s="1178"/>
      <c r="J682" s="1178"/>
    </row>
    <row r="683" spans="1:10">
      <c r="A683" s="1178"/>
      <c r="J683" s="1178"/>
    </row>
    <row r="684" spans="1:10">
      <c r="A684" s="1178"/>
      <c r="J684" s="1178"/>
    </row>
    <row r="685" spans="1:10">
      <c r="A685" s="1178"/>
      <c r="J685" s="1178"/>
    </row>
    <row r="686" spans="1:10">
      <c r="A686" s="1178"/>
      <c r="J686" s="1178"/>
    </row>
    <row r="687" spans="1:10">
      <c r="A687" s="1178"/>
      <c r="J687" s="1178"/>
    </row>
    <row r="688" spans="1:10">
      <c r="A688" s="1178"/>
      <c r="J688" s="1178"/>
    </row>
    <row r="689" spans="1:10">
      <c r="A689" s="1178"/>
      <c r="J689" s="1178"/>
    </row>
    <row r="690" spans="1:10">
      <c r="A690" s="1178"/>
      <c r="J690" s="1178"/>
    </row>
    <row r="691" spans="1:10">
      <c r="A691" s="1178"/>
      <c r="J691" s="1178"/>
    </row>
    <row r="692" spans="1:10">
      <c r="A692" s="1178"/>
      <c r="J692" s="1178"/>
    </row>
    <row r="693" spans="1:10">
      <c r="A693" s="1178"/>
      <c r="J693" s="1178"/>
    </row>
    <row r="694" spans="1:10">
      <c r="A694" s="1178"/>
      <c r="J694" s="1178"/>
    </row>
    <row r="695" spans="1:10">
      <c r="A695" s="1178"/>
      <c r="J695" s="1178"/>
    </row>
    <row r="696" spans="1:10">
      <c r="A696" s="1178"/>
      <c r="J696" s="1178"/>
    </row>
    <row r="697" spans="1:10">
      <c r="A697" s="1178"/>
      <c r="J697" s="1178"/>
    </row>
    <row r="698" spans="1:10">
      <c r="A698" s="1178"/>
      <c r="J698" s="1178"/>
    </row>
    <row r="699" spans="1:10">
      <c r="A699" s="1178"/>
      <c r="J699" s="1178"/>
    </row>
    <row r="700" spans="1:10">
      <c r="A700" s="1178"/>
      <c r="J700" s="1178"/>
    </row>
    <row r="701" spans="1:10">
      <c r="A701" s="1178"/>
      <c r="J701" s="1178"/>
    </row>
    <row r="702" spans="1:10">
      <c r="A702" s="1178"/>
      <c r="J702" s="1178"/>
    </row>
    <row r="703" spans="1:10">
      <c r="A703" s="1178"/>
      <c r="J703" s="1178"/>
    </row>
    <row r="704" spans="1:10">
      <c r="A704" s="1178"/>
      <c r="J704" s="1178"/>
    </row>
    <row r="705" spans="1:10">
      <c r="A705" s="1178"/>
      <c r="J705" s="1178"/>
    </row>
    <row r="706" spans="1:10">
      <c r="A706" s="1178"/>
      <c r="J706" s="1178"/>
    </row>
    <row r="707" spans="1:10">
      <c r="A707" s="1178"/>
      <c r="J707" s="1178"/>
    </row>
    <row r="708" spans="1:10">
      <c r="A708" s="1178"/>
      <c r="J708" s="1178"/>
    </row>
    <row r="709" spans="1:10">
      <c r="A709" s="1178"/>
      <c r="J709" s="1178"/>
    </row>
    <row r="710" spans="1:10">
      <c r="A710" s="1178"/>
      <c r="J710" s="1178"/>
    </row>
    <row r="711" spans="1:10">
      <c r="A711" s="1178"/>
      <c r="J711" s="1178"/>
    </row>
    <row r="712" spans="1:10">
      <c r="A712" s="1178"/>
      <c r="J712" s="1178"/>
    </row>
    <row r="713" spans="1:10">
      <c r="A713" s="1178"/>
      <c r="J713" s="1178"/>
    </row>
    <row r="714" spans="1:10">
      <c r="A714" s="1178"/>
      <c r="J714" s="1178"/>
    </row>
    <row r="715" spans="1:10">
      <c r="A715" s="1178"/>
      <c r="J715" s="1178"/>
    </row>
    <row r="716" spans="1:10">
      <c r="A716" s="1178"/>
      <c r="J716" s="1178"/>
    </row>
    <row r="717" spans="1:10">
      <c r="A717" s="1178"/>
      <c r="J717" s="1178"/>
    </row>
    <row r="718" spans="1:10">
      <c r="A718" s="1178"/>
      <c r="J718" s="1178"/>
    </row>
    <row r="719" spans="1:10">
      <c r="A719" s="1178"/>
      <c r="J719" s="1178"/>
    </row>
    <row r="720" spans="1:10">
      <c r="A720" s="1178"/>
      <c r="J720" s="1178"/>
    </row>
    <row r="721" spans="1:10">
      <c r="A721" s="1178"/>
      <c r="J721" s="1178"/>
    </row>
    <row r="722" spans="1:10">
      <c r="A722" s="1178"/>
      <c r="J722" s="1178"/>
    </row>
    <row r="723" spans="1:10">
      <c r="A723" s="1178"/>
      <c r="J723" s="1178"/>
    </row>
    <row r="724" spans="1:10">
      <c r="A724" s="1178"/>
      <c r="J724" s="1178"/>
    </row>
    <row r="725" spans="1:10">
      <c r="A725" s="1178"/>
      <c r="J725" s="1178"/>
    </row>
    <row r="726" spans="1:10">
      <c r="A726" s="1178"/>
      <c r="J726" s="1178"/>
    </row>
    <row r="727" spans="1:10">
      <c r="A727" s="1178"/>
      <c r="J727" s="1178"/>
    </row>
    <row r="728" spans="1:10">
      <c r="A728" s="1178"/>
      <c r="J728" s="1178"/>
    </row>
    <row r="729" spans="1:10">
      <c r="A729" s="1178"/>
      <c r="J729" s="1178"/>
    </row>
    <row r="730" spans="1:10">
      <c r="A730" s="1178"/>
      <c r="J730" s="1178"/>
    </row>
    <row r="731" spans="1:10">
      <c r="A731" s="1178"/>
      <c r="J731" s="1178"/>
    </row>
    <row r="732" spans="1:10">
      <c r="A732" s="1178"/>
      <c r="J732" s="1178"/>
    </row>
    <row r="733" spans="1:10">
      <c r="A733" s="1178"/>
      <c r="J733" s="1178"/>
    </row>
    <row r="734" spans="1:10">
      <c r="A734" s="1178"/>
      <c r="J734" s="1178"/>
    </row>
    <row r="735" spans="1:10">
      <c r="A735" s="1178"/>
      <c r="J735" s="1178"/>
    </row>
    <row r="736" spans="1:10">
      <c r="A736" s="1178"/>
      <c r="J736" s="1178"/>
    </row>
    <row r="737" spans="1:10">
      <c r="A737" s="1178"/>
      <c r="J737" s="1178"/>
    </row>
    <row r="738" spans="1:10">
      <c r="A738" s="1178"/>
      <c r="J738" s="1178"/>
    </row>
    <row r="739" spans="1:10">
      <c r="A739" s="1178"/>
      <c r="J739" s="1178"/>
    </row>
    <row r="740" spans="1:10">
      <c r="A740" s="1178"/>
      <c r="J740" s="1178"/>
    </row>
    <row r="741" spans="1:10">
      <c r="A741" s="1178"/>
      <c r="J741" s="1178"/>
    </row>
    <row r="742" spans="1:10">
      <c r="A742" s="1178"/>
      <c r="J742" s="1178"/>
    </row>
    <row r="743" spans="1:10">
      <c r="A743" s="1178"/>
      <c r="J743" s="1178"/>
    </row>
    <row r="744" spans="1:10">
      <c r="A744" s="1178"/>
      <c r="J744" s="1178"/>
    </row>
    <row r="745" spans="1:10">
      <c r="A745" s="1178"/>
      <c r="J745" s="1178"/>
    </row>
    <row r="746" spans="1:10">
      <c r="A746" s="1178"/>
      <c r="J746" s="1178"/>
    </row>
    <row r="747" spans="1:10">
      <c r="A747" s="1178"/>
      <c r="J747" s="1178"/>
    </row>
    <row r="748" spans="1:10">
      <c r="A748" s="1178"/>
      <c r="J748" s="1178"/>
    </row>
    <row r="749" spans="1:10">
      <c r="A749" s="1178"/>
      <c r="J749" s="1178"/>
    </row>
    <row r="750" spans="1:10">
      <c r="A750" s="1178"/>
      <c r="J750" s="1178"/>
    </row>
    <row r="751" spans="1:10">
      <c r="A751" s="1178"/>
      <c r="J751" s="1178"/>
    </row>
    <row r="752" spans="1:10">
      <c r="A752" s="1178"/>
      <c r="J752" s="1178"/>
    </row>
    <row r="753" spans="1:10">
      <c r="A753" s="1178"/>
      <c r="J753" s="1178"/>
    </row>
    <row r="754" spans="1:10">
      <c r="A754" s="1178"/>
      <c r="J754" s="1178"/>
    </row>
    <row r="755" spans="1:10">
      <c r="A755" s="1178"/>
      <c r="J755" s="1178"/>
    </row>
    <row r="756" spans="1:10">
      <c r="A756" s="1178"/>
      <c r="J756" s="1178"/>
    </row>
    <row r="757" spans="1:10">
      <c r="A757" s="1178"/>
      <c r="J757" s="1178"/>
    </row>
    <row r="758" spans="1:10">
      <c r="A758" s="1178"/>
      <c r="J758" s="1178"/>
    </row>
    <row r="759" spans="1:10">
      <c r="A759" s="1178"/>
      <c r="J759" s="1178"/>
    </row>
    <row r="760" spans="1:10">
      <c r="A760" s="1178"/>
      <c r="J760" s="1178"/>
    </row>
    <row r="761" spans="1:10">
      <c r="A761" s="1178"/>
      <c r="J761" s="1178"/>
    </row>
    <row r="762" spans="1:10">
      <c r="A762" s="1178"/>
      <c r="J762" s="1178"/>
    </row>
    <row r="763" spans="1:10">
      <c r="A763" s="1178"/>
      <c r="J763" s="1178"/>
    </row>
    <row r="764" spans="1:10">
      <c r="A764" s="1178"/>
      <c r="J764" s="1178"/>
    </row>
    <row r="765" spans="1:10">
      <c r="A765" s="1178"/>
      <c r="J765" s="1178"/>
    </row>
    <row r="766" spans="1:10">
      <c r="A766" s="1178"/>
      <c r="J766" s="1178"/>
    </row>
    <row r="767" spans="1:10">
      <c r="A767" s="1178"/>
      <c r="J767" s="1178"/>
    </row>
    <row r="768" spans="1:10">
      <c r="A768" s="1178"/>
      <c r="J768" s="1178"/>
    </row>
    <row r="769" spans="1:10">
      <c r="A769" s="1178"/>
      <c r="J769" s="1178"/>
    </row>
    <row r="770" spans="1:10">
      <c r="A770" s="1178"/>
      <c r="J770" s="1178"/>
    </row>
    <row r="771" spans="1:10">
      <c r="A771" s="1178"/>
      <c r="J771" s="1178"/>
    </row>
    <row r="772" spans="1:10">
      <c r="A772" s="1178"/>
      <c r="J772" s="1178"/>
    </row>
    <row r="773" spans="1:10">
      <c r="A773" s="1178"/>
      <c r="J773" s="1178"/>
    </row>
    <row r="774" spans="1:10">
      <c r="A774" s="1178"/>
      <c r="J774" s="1178"/>
    </row>
    <row r="775" spans="1:10">
      <c r="A775" s="1178"/>
      <c r="J775" s="1178"/>
    </row>
    <row r="776" spans="1:10">
      <c r="A776" s="1178"/>
      <c r="J776" s="1178"/>
    </row>
    <row r="777" spans="1:10">
      <c r="A777" s="1178"/>
      <c r="J777" s="1178"/>
    </row>
    <row r="778" spans="1:10">
      <c r="A778" s="1178"/>
      <c r="J778" s="1178"/>
    </row>
    <row r="779" spans="1:10">
      <c r="A779" s="1178"/>
      <c r="J779" s="1178"/>
    </row>
    <row r="780" spans="1:10">
      <c r="A780" s="1178"/>
      <c r="J780" s="1178"/>
    </row>
    <row r="781" spans="1:10">
      <c r="A781" s="1178"/>
      <c r="J781" s="1178"/>
    </row>
    <row r="782" spans="1:10">
      <c r="A782" s="1178"/>
      <c r="J782" s="1178"/>
    </row>
    <row r="783" spans="1:10">
      <c r="A783" s="1178"/>
      <c r="J783" s="1178"/>
    </row>
    <row r="784" spans="1:10">
      <c r="A784" s="1178"/>
      <c r="J784" s="1178"/>
    </row>
    <row r="785" spans="1:10">
      <c r="A785" s="1178"/>
      <c r="J785" s="1178"/>
    </row>
    <row r="786" spans="1:10">
      <c r="A786" s="1178"/>
      <c r="J786" s="1178"/>
    </row>
    <row r="787" spans="1:10">
      <c r="A787" s="1178"/>
      <c r="J787" s="1178"/>
    </row>
    <row r="788" spans="1:10">
      <c r="A788" s="1178"/>
      <c r="J788" s="1178"/>
    </row>
    <row r="789" spans="1:10">
      <c r="A789" s="1178"/>
      <c r="J789" s="1178"/>
    </row>
    <row r="790" spans="1:10">
      <c r="A790" s="1178"/>
      <c r="J790" s="1178"/>
    </row>
    <row r="791" spans="1:10">
      <c r="A791" s="1178"/>
      <c r="J791" s="1178"/>
    </row>
    <row r="792" spans="1:10">
      <c r="A792" s="1178"/>
      <c r="J792" s="1178"/>
    </row>
    <row r="793" spans="1:10">
      <c r="A793" s="1178"/>
      <c r="J793" s="1178"/>
    </row>
    <row r="794" spans="1:10">
      <c r="A794" s="1178"/>
      <c r="J794" s="1178"/>
    </row>
    <row r="795" spans="1:10">
      <c r="A795" s="1178"/>
      <c r="J795" s="1178"/>
    </row>
    <row r="796" spans="1:10">
      <c r="A796" s="1178"/>
      <c r="J796" s="1178"/>
    </row>
    <row r="797" spans="1:10">
      <c r="A797" s="1178"/>
      <c r="J797" s="1178"/>
    </row>
    <row r="798" spans="1:10">
      <c r="A798" s="1178"/>
      <c r="J798" s="1178"/>
    </row>
    <row r="799" spans="1:10">
      <c r="A799" s="1178"/>
      <c r="J799" s="1178"/>
    </row>
    <row r="800" spans="1:10">
      <c r="A800" s="1178"/>
      <c r="J800" s="1178"/>
    </row>
    <row r="801" spans="1:10">
      <c r="A801" s="1178"/>
      <c r="J801" s="1178"/>
    </row>
    <row r="802" spans="1:10">
      <c r="A802" s="1178"/>
      <c r="J802" s="1178"/>
    </row>
    <row r="803" spans="1:10">
      <c r="A803" s="1178"/>
      <c r="J803" s="1178"/>
    </row>
    <row r="804" spans="1:10">
      <c r="A804" s="1178"/>
      <c r="J804" s="1178"/>
    </row>
    <row r="805" spans="1:10">
      <c r="A805" s="1178"/>
      <c r="J805" s="1178"/>
    </row>
    <row r="806" spans="1:10">
      <c r="A806" s="1178"/>
      <c r="J806" s="1178"/>
    </row>
    <row r="807" spans="1:10">
      <c r="A807" s="1178"/>
      <c r="J807" s="1178"/>
    </row>
    <row r="808" spans="1:10">
      <c r="A808" s="1178"/>
      <c r="J808" s="1178"/>
    </row>
    <row r="809" spans="1:10">
      <c r="A809" s="1178"/>
      <c r="J809" s="1178"/>
    </row>
    <row r="810" spans="1:10">
      <c r="A810" s="1178"/>
      <c r="J810" s="1178"/>
    </row>
    <row r="811" spans="1:10">
      <c r="A811" s="1178"/>
      <c r="J811" s="1178"/>
    </row>
    <row r="812" spans="1:10">
      <c r="A812" s="1178"/>
      <c r="J812" s="1178"/>
    </row>
    <row r="813" spans="1:10">
      <c r="A813" s="1178"/>
      <c r="J813" s="1178"/>
    </row>
    <row r="814" spans="1:10">
      <c r="A814" s="1178"/>
      <c r="J814" s="1178"/>
    </row>
    <row r="815" spans="1:10">
      <c r="A815" s="1178"/>
      <c r="J815" s="1178"/>
    </row>
    <row r="816" spans="1:10">
      <c r="A816" s="1178"/>
      <c r="J816" s="1178"/>
    </row>
    <row r="817" spans="1:10">
      <c r="A817" s="1178"/>
      <c r="J817" s="1178"/>
    </row>
    <row r="818" spans="1:10">
      <c r="A818" s="1178"/>
      <c r="J818" s="1178"/>
    </row>
    <row r="819" spans="1:10">
      <c r="A819" s="1178"/>
      <c r="J819" s="1178"/>
    </row>
    <row r="820" spans="1:10">
      <c r="A820" s="1178"/>
      <c r="J820" s="1178"/>
    </row>
    <row r="821" spans="1:10">
      <c r="A821" s="1178"/>
      <c r="J821" s="1178"/>
    </row>
    <row r="822" spans="1:10">
      <c r="A822" s="1178"/>
      <c r="J822" s="1178"/>
    </row>
    <row r="823" spans="1:10">
      <c r="A823" s="1178"/>
      <c r="J823" s="1178"/>
    </row>
    <row r="824" spans="1:10">
      <c r="A824" s="1178"/>
      <c r="J824" s="1178"/>
    </row>
    <row r="825" spans="1:10">
      <c r="A825" s="1178"/>
      <c r="J825" s="1178"/>
    </row>
    <row r="826" spans="1:10">
      <c r="A826" s="1178"/>
      <c r="J826" s="1178"/>
    </row>
    <row r="827" spans="1:10">
      <c r="A827" s="1178"/>
      <c r="J827" s="1178"/>
    </row>
    <row r="828" spans="1:10">
      <c r="A828" s="1178"/>
      <c r="J828" s="1178"/>
    </row>
    <row r="829" spans="1:10">
      <c r="A829" s="1178"/>
      <c r="J829" s="1178"/>
    </row>
    <row r="830" spans="1:10">
      <c r="A830" s="1178"/>
      <c r="J830" s="1178"/>
    </row>
    <row r="831" spans="1:10">
      <c r="A831" s="1178"/>
      <c r="J831" s="1178"/>
    </row>
    <row r="832" spans="1:10">
      <c r="A832" s="1178"/>
      <c r="J832" s="1178"/>
    </row>
    <row r="833" spans="1:10">
      <c r="A833" s="1178"/>
      <c r="J833" s="1178"/>
    </row>
    <row r="834" spans="1:10">
      <c r="A834" s="1178"/>
      <c r="J834" s="1178"/>
    </row>
    <row r="835" spans="1:10">
      <c r="A835" s="1178"/>
      <c r="J835" s="1178"/>
    </row>
    <row r="836" spans="1:10">
      <c r="A836" s="1178"/>
      <c r="J836" s="1178"/>
    </row>
    <row r="837" spans="1:10">
      <c r="A837" s="1178"/>
      <c r="J837" s="1178"/>
    </row>
    <row r="838" spans="1:10">
      <c r="A838" s="1178"/>
      <c r="J838" s="1178"/>
    </row>
    <row r="839" spans="1:10">
      <c r="A839" s="1178"/>
      <c r="J839" s="1178"/>
    </row>
    <row r="840" spans="1:10">
      <c r="A840" s="1178"/>
      <c r="J840" s="1178"/>
    </row>
    <row r="841" spans="1:10">
      <c r="A841" s="1178"/>
      <c r="J841" s="1178"/>
    </row>
    <row r="842" spans="1:10">
      <c r="A842" s="1178"/>
      <c r="J842" s="1178"/>
    </row>
    <row r="843" spans="1:10">
      <c r="A843" s="1178"/>
      <c r="J843" s="1178"/>
    </row>
    <row r="844" spans="1:10">
      <c r="A844" s="1178"/>
      <c r="J844" s="1178"/>
    </row>
    <row r="845" spans="1:10">
      <c r="A845" s="1178"/>
      <c r="J845" s="1178"/>
    </row>
    <row r="846" spans="1:10">
      <c r="A846" s="1178"/>
      <c r="J846" s="1178"/>
    </row>
    <row r="847" spans="1:10">
      <c r="A847" s="1178"/>
      <c r="J847" s="1178"/>
    </row>
    <row r="848" spans="1:10">
      <c r="A848" s="1178"/>
      <c r="J848" s="1178"/>
    </row>
    <row r="849" spans="1:10">
      <c r="A849" s="1178"/>
      <c r="J849" s="1178"/>
    </row>
    <row r="850" spans="1:10">
      <c r="A850" s="1178"/>
      <c r="J850" s="1178"/>
    </row>
    <row r="851" spans="1:10">
      <c r="A851" s="1178"/>
      <c r="J851" s="1178"/>
    </row>
    <row r="852" spans="1:10">
      <c r="A852" s="1178"/>
      <c r="J852" s="1178"/>
    </row>
    <row r="853" spans="1:10">
      <c r="A853" s="1178"/>
      <c r="J853" s="1178"/>
    </row>
    <row r="854" spans="1:10">
      <c r="A854" s="1178"/>
      <c r="J854" s="1178"/>
    </row>
    <row r="855" spans="1:10">
      <c r="A855" s="1178"/>
      <c r="J855" s="1178"/>
    </row>
    <row r="856" spans="1:10">
      <c r="A856" s="1178"/>
      <c r="J856" s="1178"/>
    </row>
    <row r="857" spans="1:10">
      <c r="A857" s="1178"/>
      <c r="J857" s="1178"/>
    </row>
    <row r="858" spans="1:10">
      <c r="A858" s="1178"/>
      <c r="J858" s="1178"/>
    </row>
    <row r="859" spans="1:10">
      <c r="A859" s="1178"/>
      <c r="J859" s="1178"/>
    </row>
    <row r="860" spans="1:10">
      <c r="A860" s="1178"/>
      <c r="J860" s="1178"/>
    </row>
    <row r="861" spans="1:10">
      <c r="A861" s="1178"/>
      <c r="J861" s="1178"/>
    </row>
    <row r="862" spans="1:10">
      <c r="A862" s="1178"/>
      <c r="J862" s="1178"/>
    </row>
    <row r="863" spans="1:10">
      <c r="A863" s="1178"/>
      <c r="J863" s="1178"/>
    </row>
    <row r="864" spans="1:10">
      <c r="A864" s="1178"/>
      <c r="J864" s="1178"/>
    </row>
    <row r="865" spans="1:10">
      <c r="A865" s="1178"/>
      <c r="J865" s="1178"/>
    </row>
    <row r="866" spans="1:10">
      <c r="A866" s="1178"/>
      <c r="J866" s="1178"/>
    </row>
    <row r="867" spans="1:10">
      <c r="A867" s="1178"/>
      <c r="J867" s="1178"/>
    </row>
    <row r="868" spans="1:10">
      <c r="A868" s="1178"/>
      <c r="J868" s="1178"/>
    </row>
    <row r="869" spans="1:10">
      <c r="A869" s="1178"/>
      <c r="J869" s="1178"/>
    </row>
    <row r="870" spans="1:10">
      <c r="A870" s="1178"/>
      <c r="J870" s="1178"/>
    </row>
    <row r="871" spans="1:10">
      <c r="A871" s="1178"/>
      <c r="J871" s="1178"/>
    </row>
    <row r="872" spans="1:10">
      <c r="A872" s="1178"/>
      <c r="J872" s="1178"/>
    </row>
    <row r="873" spans="1:10">
      <c r="A873" s="1178"/>
      <c r="J873" s="1178"/>
    </row>
    <row r="874" spans="1:10">
      <c r="A874" s="1178"/>
      <c r="J874" s="1178"/>
    </row>
    <row r="875" spans="1:10">
      <c r="A875" s="1178"/>
      <c r="J875" s="1178"/>
    </row>
    <row r="876" spans="1:10">
      <c r="A876" s="1178"/>
      <c r="J876" s="1178"/>
    </row>
    <row r="877" spans="1:10">
      <c r="A877" s="1178"/>
      <c r="J877" s="1178"/>
    </row>
    <row r="878" spans="1:10">
      <c r="A878" s="1178"/>
      <c r="J878" s="1178"/>
    </row>
    <row r="879" spans="1:10">
      <c r="A879" s="1178"/>
      <c r="J879" s="1178"/>
    </row>
    <row r="880" spans="1:10">
      <c r="A880" s="1178"/>
      <c r="J880" s="1178"/>
    </row>
    <row r="881" spans="1:10">
      <c r="A881" s="1178"/>
      <c r="J881" s="1178"/>
    </row>
    <row r="882" spans="1:10">
      <c r="A882" s="1178"/>
      <c r="J882" s="1178"/>
    </row>
    <row r="883" spans="1:10">
      <c r="A883" s="1178"/>
      <c r="J883" s="1178"/>
    </row>
    <row r="884" spans="1:10">
      <c r="A884" s="1178"/>
      <c r="J884" s="1178"/>
    </row>
    <row r="885" spans="1:10">
      <c r="A885" s="1178"/>
      <c r="J885" s="1178"/>
    </row>
    <row r="886" spans="1:10">
      <c r="A886" s="1178"/>
      <c r="J886" s="1178"/>
    </row>
    <row r="887" spans="1:10">
      <c r="A887" s="1178"/>
      <c r="J887" s="1178"/>
    </row>
    <row r="888" spans="1:10">
      <c r="A888" s="1178"/>
      <c r="J888" s="1178"/>
    </row>
    <row r="889" spans="1:10">
      <c r="A889" s="1178"/>
      <c r="J889" s="1178"/>
    </row>
    <row r="890" spans="1:10">
      <c r="A890" s="1178"/>
      <c r="J890" s="1178"/>
    </row>
    <row r="891" spans="1:10">
      <c r="A891" s="1178"/>
      <c r="J891" s="1178"/>
    </row>
    <row r="892" spans="1:10">
      <c r="A892" s="1178"/>
      <c r="J892" s="1178"/>
    </row>
    <row r="893" spans="1:10">
      <c r="A893" s="1178"/>
      <c r="J893" s="1178"/>
    </row>
    <row r="894" spans="1:10">
      <c r="A894" s="1178"/>
      <c r="J894" s="1178"/>
    </row>
    <row r="895" spans="1:10">
      <c r="A895" s="1178"/>
      <c r="J895" s="1178"/>
    </row>
    <row r="896" spans="1:10">
      <c r="A896" s="1178"/>
      <c r="J896" s="1178"/>
    </row>
    <row r="897" spans="1:10">
      <c r="A897" s="1178"/>
      <c r="J897" s="1178"/>
    </row>
    <row r="898" spans="1:10">
      <c r="A898" s="1178"/>
      <c r="J898" s="1178"/>
    </row>
    <row r="899" spans="1:10">
      <c r="A899" s="1178"/>
      <c r="J899" s="1178"/>
    </row>
    <row r="900" spans="1:10">
      <c r="A900" s="1178"/>
      <c r="J900" s="1178"/>
    </row>
    <row r="901" spans="1:10">
      <c r="A901" s="1178"/>
      <c r="J901" s="1178"/>
    </row>
    <row r="902" spans="1:10">
      <c r="A902" s="1178"/>
      <c r="J902" s="1178"/>
    </row>
    <row r="903" spans="1:10">
      <c r="A903" s="1178"/>
      <c r="J903" s="1178"/>
    </row>
    <row r="904" spans="1:10">
      <c r="A904" s="1178"/>
      <c r="J904" s="1178"/>
    </row>
    <row r="905" spans="1:10">
      <c r="A905" s="1178"/>
      <c r="J905" s="1178"/>
    </row>
    <row r="906" spans="1:10">
      <c r="A906" s="1178"/>
      <c r="J906" s="1178"/>
    </row>
    <row r="907" spans="1:10">
      <c r="A907" s="1178"/>
      <c r="J907" s="1178"/>
    </row>
    <row r="908" spans="1:10">
      <c r="A908" s="1178"/>
      <c r="J908" s="1178"/>
    </row>
    <row r="909" spans="1:10">
      <c r="A909" s="1178"/>
      <c r="J909" s="1178"/>
    </row>
    <row r="910" spans="1:10">
      <c r="A910" s="1178"/>
      <c r="J910" s="1178"/>
    </row>
    <row r="911" spans="1:10">
      <c r="A911" s="1178"/>
      <c r="J911" s="1178"/>
    </row>
    <row r="912" spans="1:10">
      <c r="A912" s="1178"/>
      <c r="J912" s="1178"/>
    </row>
    <row r="913" spans="1:10">
      <c r="A913" s="1178"/>
      <c r="J913" s="1178"/>
    </row>
    <row r="914" spans="1:10">
      <c r="A914" s="1178"/>
      <c r="J914" s="1178"/>
    </row>
    <row r="915" spans="1:10">
      <c r="A915" s="1178"/>
      <c r="J915" s="1178"/>
    </row>
    <row r="916" spans="1:10">
      <c r="A916" s="1178"/>
      <c r="J916" s="1178"/>
    </row>
    <row r="917" spans="1:10">
      <c r="A917" s="1178"/>
      <c r="J917" s="1178"/>
    </row>
    <row r="918" spans="1:10">
      <c r="A918" s="1178"/>
      <c r="J918" s="1178"/>
    </row>
    <row r="919" spans="1:10">
      <c r="A919" s="1178"/>
      <c r="J919" s="1178"/>
    </row>
    <row r="920" spans="1:10">
      <c r="A920" s="1178"/>
      <c r="J920" s="1178"/>
    </row>
    <row r="921" spans="1:10">
      <c r="A921" s="1178"/>
      <c r="J921" s="1178"/>
    </row>
    <row r="922" spans="1:10">
      <c r="A922" s="1178"/>
      <c r="J922" s="1178"/>
    </row>
    <row r="923" spans="1:10">
      <c r="A923" s="1178"/>
      <c r="J923" s="1178"/>
    </row>
    <row r="924" spans="1:10">
      <c r="A924" s="1178"/>
      <c r="J924" s="1178"/>
    </row>
    <row r="925" spans="1:10">
      <c r="A925" s="1178"/>
      <c r="J925" s="1178"/>
    </row>
    <row r="926" spans="1:10">
      <c r="A926" s="1178"/>
      <c r="J926" s="1178"/>
    </row>
    <row r="927" spans="1:10">
      <c r="A927" s="1178"/>
      <c r="J927" s="1178"/>
    </row>
    <row r="928" spans="1:10">
      <c r="A928" s="1178"/>
      <c r="J928" s="1178"/>
    </row>
    <row r="929" spans="1:10">
      <c r="A929" s="1178"/>
      <c r="J929" s="1178"/>
    </row>
    <row r="930" spans="1:10">
      <c r="A930" s="1178"/>
      <c r="J930" s="1178"/>
    </row>
    <row r="931" spans="1:10">
      <c r="A931" s="1178"/>
      <c r="J931" s="1178"/>
    </row>
    <row r="932" spans="1:10">
      <c r="A932" s="1178"/>
      <c r="J932" s="1178"/>
    </row>
    <row r="933" spans="1:10">
      <c r="A933" s="1178"/>
      <c r="J933" s="1178"/>
    </row>
    <row r="934" spans="1:10">
      <c r="A934" s="1178"/>
      <c r="J934" s="1178"/>
    </row>
    <row r="935" spans="1:10">
      <c r="A935" s="1178"/>
      <c r="J935" s="1178"/>
    </row>
    <row r="936" spans="1:10">
      <c r="A936" s="1178"/>
      <c r="J936" s="1178"/>
    </row>
    <row r="937" spans="1:10">
      <c r="A937" s="1178"/>
      <c r="J937" s="1178"/>
    </row>
    <row r="938" spans="1:10">
      <c r="A938" s="1178"/>
      <c r="J938" s="1178"/>
    </row>
    <row r="939" spans="1:10">
      <c r="A939" s="1178"/>
      <c r="J939" s="1178"/>
    </row>
    <row r="940" spans="1:10">
      <c r="A940" s="1178"/>
      <c r="J940" s="1178"/>
    </row>
    <row r="941" spans="1:10">
      <c r="A941" s="1178"/>
      <c r="J941" s="1178"/>
    </row>
    <row r="942" spans="1:10">
      <c r="A942" s="1178"/>
      <c r="J942" s="1178"/>
    </row>
    <row r="943" spans="1:10">
      <c r="A943" s="1178"/>
      <c r="J943" s="1178"/>
    </row>
    <row r="944" spans="1:10">
      <c r="A944" s="1178"/>
      <c r="J944" s="1178"/>
    </row>
    <row r="945" spans="1:10">
      <c r="A945" s="1178"/>
      <c r="J945" s="1178"/>
    </row>
    <row r="946" spans="1:10">
      <c r="A946" s="1178"/>
      <c r="J946" s="1178"/>
    </row>
    <row r="947" spans="1:10">
      <c r="A947" s="1178"/>
      <c r="J947" s="1178"/>
    </row>
    <row r="948" spans="1:10">
      <c r="A948" s="1178"/>
      <c r="J948" s="1178"/>
    </row>
    <row r="949" spans="1:10">
      <c r="A949" s="1178"/>
      <c r="J949" s="1178"/>
    </row>
    <row r="950" spans="1:10">
      <c r="A950" s="1178"/>
      <c r="J950" s="1178"/>
    </row>
    <row r="951" spans="1:10">
      <c r="A951" s="1178"/>
      <c r="J951" s="1178"/>
    </row>
    <row r="952" spans="1:10">
      <c r="A952" s="1178"/>
      <c r="J952" s="1178"/>
    </row>
    <row r="953" spans="1:10">
      <c r="A953" s="1178"/>
      <c r="J953" s="1178"/>
    </row>
    <row r="954" spans="1:10">
      <c r="A954" s="1178"/>
      <c r="J954" s="1178"/>
    </row>
    <row r="955" spans="1:10">
      <c r="A955" s="1178"/>
      <c r="J955" s="1178"/>
    </row>
    <row r="956" spans="1:10">
      <c r="A956" s="1178"/>
      <c r="J956" s="1178"/>
    </row>
    <row r="957" spans="1:10">
      <c r="A957" s="1178"/>
      <c r="J957" s="1178"/>
    </row>
    <row r="958" spans="1:10">
      <c r="A958" s="1178"/>
      <c r="J958" s="1178"/>
    </row>
    <row r="959" spans="1:10">
      <c r="A959" s="1178"/>
      <c r="J959" s="1178"/>
    </row>
    <row r="960" spans="1:10">
      <c r="A960" s="1178"/>
      <c r="J960" s="1178"/>
    </row>
    <row r="961" spans="1:10">
      <c r="A961" s="1178"/>
      <c r="J961" s="1178"/>
    </row>
    <row r="962" spans="1:10">
      <c r="A962" s="1178"/>
      <c r="J962" s="1178"/>
    </row>
    <row r="963" spans="1:10">
      <c r="A963" s="1178"/>
      <c r="J963" s="1178"/>
    </row>
    <row r="964" spans="1:10">
      <c r="A964" s="1178"/>
      <c r="J964" s="1178"/>
    </row>
    <row r="965" spans="1:10">
      <c r="A965" s="1178"/>
      <c r="J965" s="1178"/>
    </row>
    <row r="966" spans="1:10">
      <c r="A966" s="1178"/>
      <c r="J966" s="1178"/>
    </row>
    <row r="967" spans="1:10">
      <c r="A967" s="1178"/>
      <c r="J967" s="1178"/>
    </row>
    <row r="968" spans="1:10">
      <c r="A968" s="1178"/>
      <c r="J968" s="1178"/>
    </row>
    <row r="969" spans="1:10">
      <c r="A969" s="1178"/>
      <c r="J969" s="1178"/>
    </row>
    <row r="970" spans="1:10">
      <c r="A970" s="1178"/>
      <c r="J970" s="1178"/>
    </row>
    <row r="971" spans="1:10">
      <c r="A971" s="1178"/>
      <c r="J971" s="1178"/>
    </row>
    <row r="972" spans="1:10">
      <c r="A972" s="1178"/>
      <c r="J972" s="1178"/>
    </row>
    <row r="973" spans="1:10">
      <c r="A973" s="1178"/>
      <c r="J973" s="1178"/>
    </row>
    <row r="974" spans="1:10">
      <c r="A974" s="1178"/>
      <c r="J974" s="1178"/>
    </row>
    <row r="975" spans="1:10">
      <c r="A975" s="1178"/>
      <c r="J975" s="1178"/>
    </row>
    <row r="976" spans="1:10">
      <c r="A976" s="1178"/>
      <c r="J976" s="1178"/>
    </row>
    <row r="977" spans="1:10">
      <c r="A977" s="1178"/>
      <c r="J977" s="1178"/>
    </row>
    <row r="978" spans="1:10">
      <c r="A978" s="1178"/>
      <c r="J978" s="1178"/>
    </row>
    <row r="979" spans="1:10">
      <c r="A979" s="1178"/>
      <c r="J979" s="1178"/>
    </row>
    <row r="980" spans="1:10">
      <c r="A980" s="1178"/>
      <c r="J980" s="1178"/>
    </row>
    <row r="981" spans="1:10">
      <c r="A981" s="1178"/>
      <c r="J981" s="1178"/>
    </row>
    <row r="982" spans="1:10">
      <c r="A982" s="1178"/>
      <c r="J982" s="1178"/>
    </row>
    <row r="983" spans="1:10">
      <c r="A983" s="1178"/>
      <c r="J983" s="1178"/>
    </row>
    <row r="984" spans="1:10">
      <c r="A984" s="1178"/>
      <c r="J984" s="1178"/>
    </row>
    <row r="985" spans="1:10">
      <c r="A985" s="1178"/>
      <c r="J985" s="1178"/>
    </row>
    <row r="986" spans="1:10">
      <c r="A986" s="1178"/>
      <c r="J986" s="1178"/>
    </row>
    <row r="987" spans="1:10">
      <c r="A987" s="1178"/>
      <c r="J987" s="1178"/>
    </row>
    <row r="988" spans="1:10">
      <c r="A988" s="1178"/>
      <c r="J988" s="1178"/>
    </row>
    <row r="989" spans="1:10">
      <c r="A989" s="1178"/>
      <c r="J989" s="1178"/>
    </row>
    <row r="990" spans="1:10">
      <c r="A990" s="1178"/>
      <c r="J990" s="1178"/>
    </row>
    <row r="991" spans="1:10">
      <c r="A991" s="1178"/>
      <c r="J991" s="1178"/>
    </row>
    <row r="992" spans="1:10">
      <c r="A992" s="1178"/>
      <c r="J992" s="1178"/>
    </row>
    <row r="993" spans="1:10">
      <c r="A993" s="1178"/>
      <c r="J993" s="1178"/>
    </row>
    <row r="994" spans="1:10">
      <c r="A994" s="1178"/>
      <c r="J994" s="1178"/>
    </row>
    <row r="995" spans="1:10">
      <c r="A995" s="1178"/>
      <c r="J995" s="1178"/>
    </row>
    <row r="996" spans="1:10">
      <c r="A996" s="1178"/>
      <c r="J996" s="1178"/>
    </row>
    <row r="997" spans="1:10">
      <c r="A997" s="1178"/>
      <c r="J997" s="1178"/>
    </row>
    <row r="998" spans="1:10">
      <c r="A998" s="1178"/>
      <c r="J998" s="1178"/>
    </row>
    <row r="999" spans="1:10">
      <c r="A999" s="1178"/>
      <c r="J999" s="1178"/>
    </row>
    <row r="1000" spans="1:10">
      <c r="A1000" s="1178"/>
      <c r="J1000" s="1178"/>
    </row>
    <row r="1001" spans="1:10">
      <c r="A1001" s="1178"/>
      <c r="J1001" s="1178"/>
    </row>
    <row r="1002" spans="1:10">
      <c r="A1002" s="1178"/>
      <c r="J1002" s="1178"/>
    </row>
    <row r="1003" spans="1:10">
      <c r="A1003" s="1178"/>
      <c r="J1003" s="1178"/>
    </row>
    <row r="1004" spans="1:10">
      <c r="A1004" s="1178"/>
      <c r="J1004" s="1178"/>
    </row>
    <row r="1005" spans="1:10">
      <c r="A1005" s="1178"/>
      <c r="J1005" s="1178"/>
    </row>
    <row r="1006" spans="1:10">
      <c r="A1006" s="1178"/>
      <c r="J1006" s="1178"/>
    </row>
    <row r="1007" spans="1:10">
      <c r="A1007" s="1178"/>
      <c r="J1007" s="1178"/>
    </row>
    <row r="1008" spans="1:10">
      <c r="A1008" s="1178"/>
      <c r="J1008" s="1178"/>
    </row>
    <row r="1009" spans="1:10">
      <c r="A1009" s="1178"/>
      <c r="J1009" s="1178"/>
    </row>
    <row r="1010" spans="1:10">
      <c r="A1010" s="1178"/>
      <c r="J1010" s="1178"/>
    </row>
    <row r="1011" spans="1:10">
      <c r="A1011" s="1178"/>
      <c r="J1011" s="1178"/>
    </row>
    <row r="1012" spans="1:10">
      <c r="A1012" s="1178"/>
      <c r="J1012" s="1178"/>
    </row>
    <row r="1013" spans="1:10">
      <c r="A1013" s="1178"/>
      <c r="J1013" s="1178"/>
    </row>
    <row r="1014" spans="1:10">
      <c r="A1014" s="1178"/>
      <c r="J1014" s="1178"/>
    </row>
    <row r="1015" spans="1:10">
      <c r="A1015" s="1178"/>
      <c r="J1015" s="1178"/>
    </row>
    <row r="1016" spans="1:10">
      <c r="A1016" s="1178"/>
      <c r="J1016" s="1178"/>
    </row>
    <row r="1017" spans="1:10">
      <c r="A1017" s="1178"/>
      <c r="J1017" s="1178"/>
    </row>
    <row r="1018" spans="1:10">
      <c r="A1018" s="1178"/>
      <c r="J1018" s="1178"/>
    </row>
    <row r="1019" spans="1:10">
      <c r="A1019" s="1178"/>
      <c r="J1019" s="1178"/>
    </row>
    <row r="1020" spans="1:10">
      <c r="A1020" s="1178"/>
      <c r="J1020" s="1178"/>
    </row>
    <row r="1021" spans="1:10">
      <c r="A1021" s="1178"/>
      <c r="J1021" s="1178"/>
    </row>
    <row r="1022" spans="1:10">
      <c r="A1022" s="1178"/>
      <c r="J1022" s="1178"/>
    </row>
    <row r="1023" spans="1:10">
      <c r="A1023" s="1178"/>
      <c r="J1023" s="1178"/>
    </row>
    <row r="1024" spans="1:10">
      <c r="A1024" s="1178"/>
      <c r="J1024" s="1178"/>
    </row>
    <row r="1025" spans="1:10">
      <c r="A1025" s="1178"/>
      <c r="J1025" s="1178"/>
    </row>
    <row r="1026" spans="1:10">
      <c r="A1026" s="1178"/>
      <c r="J1026" s="1178"/>
    </row>
    <row r="1027" spans="1:10">
      <c r="A1027" s="1178"/>
      <c r="J1027" s="1178"/>
    </row>
    <row r="1028" spans="1:10">
      <c r="A1028" s="1178"/>
      <c r="J1028" s="1178"/>
    </row>
    <row r="1029" spans="1:10">
      <c r="A1029" s="1178"/>
      <c r="J1029" s="1178"/>
    </row>
    <row r="1030" spans="1:10">
      <c r="A1030" s="1178"/>
      <c r="J1030" s="1178"/>
    </row>
    <row r="1031" spans="1:10">
      <c r="A1031" s="1178"/>
      <c r="J1031" s="1178"/>
    </row>
    <row r="1032" spans="1:10">
      <c r="A1032" s="1178"/>
      <c r="J1032" s="1178"/>
    </row>
    <row r="1033" spans="1:10">
      <c r="A1033" s="1178"/>
      <c r="J1033" s="1178"/>
    </row>
    <row r="1034" spans="1:10">
      <c r="A1034" s="1178"/>
      <c r="J1034" s="1178"/>
    </row>
    <row r="1035" spans="1:10">
      <c r="A1035" s="1178"/>
      <c r="J1035" s="1178"/>
    </row>
    <row r="1036" spans="1:10">
      <c r="A1036" s="1178"/>
      <c r="J1036" s="1178"/>
    </row>
    <row r="1037" spans="1:10">
      <c r="A1037" s="1178"/>
      <c r="J1037" s="1178"/>
    </row>
    <row r="1038" spans="1:10">
      <c r="A1038" s="1178"/>
      <c r="J1038" s="1178"/>
    </row>
    <row r="1039" spans="1:10">
      <c r="A1039" s="1178"/>
      <c r="J1039" s="1178"/>
    </row>
    <row r="1040" spans="1:10">
      <c r="A1040" s="1178"/>
      <c r="J1040" s="1178"/>
    </row>
    <row r="1041" spans="1:10">
      <c r="A1041" s="1178"/>
      <c r="J1041" s="1178"/>
    </row>
    <row r="1042" spans="1:10">
      <c r="A1042" s="1178"/>
      <c r="J1042" s="1178"/>
    </row>
    <row r="1043" spans="1:10">
      <c r="A1043" s="1178"/>
      <c r="J1043" s="1178"/>
    </row>
  </sheetData>
  <mergeCells count="22"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24" orientation="landscape" useFirstPageNumber="1" r:id="rId1"/>
  <headerFooter alignWithMargins="0">
    <oddHeader>&amp;C&amp;"Arial,Kursywa"Wieloletnia prognoza finansowa Województwa Zachodniopomorskiego na lata 2017 - 2044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11"/>
  <sheetViews>
    <sheetView showGridLines="0" view="pageBreakPreview" topLeftCell="A4" zoomScaleNormal="100" zoomScaleSheetLayoutView="100" workbookViewId="0">
      <pane xSplit="2" ySplit="4" topLeftCell="C8" activePane="bottomRight" state="frozen"/>
      <selection activeCell="L250" sqref="L250"/>
      <selection pane="topRight" activeCell="L250" sqref="L250"/>
      <selection pane="bottomLeft" activeCell="L250" sqref="L250"/>
      <selection pane="bottomRight" activeCell="G123" sqref="G123"/>
    </sheetView>
  </sheetViews>
  <sheetFormatPr defaultRowHeight="11.25"/>
  <cols>
    <col min="1" max="1" width="2.85546875" style="866" customWidth="1"/>
    <col min="2" max="2" width="60.42578125" style="667" customWidth="1"/>
    <col min="3" max="3" width="10.5703125" style="667" customWidth="1"/>
    <col min="4" max="5" width="13.28515625" style="667" customWidth="1"/>
    <col min="6" max="6" width="10.28515625" style="667" customWidth="1"/>
    <col min="7" max="10" width="9.7109375" style="667" customWidth="1"/>
    <col min="11" max="12" width="9.28515625" style="667" customWidth="1"/>
    <col min="13" max="13" width="11.85546875" style="667" customWidth="1"/>
    <col min="14" max="14" width="11.42578125" style="667" hidden="1" customWidth="1"/>
    <col min="15" max="15" width="15.28515625" style="913" customWidth="1"/>
    <col min="16" max="16" width="11.85546875" style="667" hidden="1" customWidth="1"/>
    <col min="17" max="22" width="0" style="667" hidden="1" customWidth="1"/>
    <col min="23" max="251" width="9.140625" style="667"/>
    <col min="252" max="252" width="2.85546875" style="667" customWidth="1"/>
    <col min="253" max="253" width="50.7109375" style="667" customWidth="1"/>
    <col min="254" max="254" width="9.42578125" style="667" customWidth="1"/>
    <col min="255" max="255" width="11.85546875" style="667" customWidth="1"/>
    <col min="256" max="256" width="8.42578125" style="667" bestFit="1" customWidth="1"/>
    <col min="257" max="259" width="0" style="667" hidden="1" customWidth="1"/>
    <col min="260" max="260" width="6" style="667" bestFit="1" customWidth="1"/>
    <col min="261" max="261" width="9.5703125" style="667" customWidth="1"/>
    <col min="262" max="262" width="9.85546875" style="667" customWidth="1"/>
    <col min="263" max="263" width="9.7109375" style="667" customWidth="1"/>
    <col min="264" max="264" width="9.5703125" style="667" customWidth="1"/>
    <col min="265" max="265" width="9.85546875" style="667" customWidth="1"/>
    <col min="266" max="266" width="6.5703125" style="667" customWidth="1"/>
    <col min="267" max="267" width="6" style="667" bestFit="1" customWidth="1"/>
    <col min="268" max="268" width="6.28515625" style="667" customWidth="1"/>
    <col min="269" max="269" width="11.7109375" style="667" customWidth="1"/>
    <col min="270" max="270" width="0" style="667" hidden="1" customWidth="1"/>
    <col min="271" max="271" width="14.5703125" style="667" customWidth="1"/>
    <col min="272" max="272" width="11.85546875" style="667" customWidth="1"/>
    <col min="273" max="507" width="9.140625" style="667"/>
    <col min="508" max="508" width="2.85546875" style="667" customWidth="1"/>
    <col min="509" max="509" width="50.7109375" style="667" customWidth="1"/>
    <col min="510" max="510" width="9.42578125" style="667" customWidth="1"/>
    <col min="511" max="511" width="11.85546875" style="667" customWidth="1"/>
    <col min="512" max="512" width="8.42578125" style="667" bestFit="1" customWidth="1"/>
    <col min="513" max="515" width="0" style="667" hidden="1" customWidth="1"/>
    <col min="516" max="516" width="6" style="667" bestFit="1" customWidth="1"/>
    <col min="517" max="517" width="9.5703125" style="667" customWidth="1"/>
    <col min="518" max="518" width="9.85546875" style="667" customWidth="1"/>
    <col min="519" max="519" width="9.7109375" style="667" customWidth="1"/>
    <col min="520" max="520" width="9.5703125" style="667" customWidth="1"/>
    <col min="521" max="521" width="9.85546875" style="667" customWidth="1"/>
    <col min="522" max="522" width="6.5703125" style="667" customWidth="1"/>
    <col min="523" max="523" width="6" style="667" bestFit="1" customWidth="1"/>
    <col min="524" max="524" width="6.28515625" style="667" customWidth="1"/>
    <col min="525" max="525" width="11.7109375" style="667" customWidth="1"/>
    <col min="526" max="526" width="0" style="667" hidden="1" customWidth="1"/>
    <col min="527" max="527" width="14.5703125" style="667" customWidth="1"/>
    <col min="528" max="528" width="11.85546875" style="667" customWidth="1"/>
    <col min="529" max="763" width="9.140625" style="667"/>
    <col min="764" max="764" width="2.85546875" style="667" customWidth="1"/>
    <col min="765" max="765" width="50.7109375" style="667" customWidth="1"/>
    <col min="766" max="766" width="9.42578125" style="667" customWidth="1"/>
    <col min="767" max="767" width="11.85546875" style="667" customWidth="1"/>
    <col min="768" max="768" width="8.42578125" style="667" bestFit="1" customWidth="1"/>
    <col min="769" max="771" width="0" style="667" hidden="1" customWidth="1"/>
    <col min="772" max="772" width="6" style="667" bestFit="1" customWidth="1"/>
    <col min="773" max="773" width="9.5703125" style="667" customWidth="1"/>
    <col min="774" max="774" width="9.85546875" style="667" customWidth="1"/>
    <col min="775" max="775" width="9.7109375" style="667" customWidth="1"/>
    <col min="776" max="776" width="9.5703125" style="667" customWidth="1"/>
    <col min="777" max="777" width="9.85546875" style="667" customWidth="1"/>
    <col min="778" max="778" width="6.5703125" style="667" customWidth="1"/>
    <col min="779" max="779" width="6" style="667" bestFit="1" customWidth="1"/>
    <col min="780" max="780" width="6.28515625" style="667" customWidth="1"/>
    <col min="781" max="781" width="11.7109375" style="667" customWidth="1"/>
    <col min="782" max="782" width="0" style="667" hidden="1" customWidth="1"/>
    <col min="783" max="783" width="14.5703125" style="667" customWidth="1"/>
    <col min="784" max="784" width="11.85546875" style="667" customWidth="1"/>
    <col min="785" max="1019" width="9.140625" style="667"/>
    <col min="1020" max="1020" width="2.85546875" style="667" customWidth="1"/>
    <col min="1021" max="1021" width="50.7109375" style="667" customWidth="1"/>
    <col min="1022" max="1022" width="9.42578125" style="667" customWidth="1"/>
    <col min="1023" max="1023" width="11.85546875" style="667" customWidth="1"/>
    <col min="1024" max="1024" width="8.42578125" style="667" bestFit="1" customWidth="1"/>
    <col min="1025" max="1027" width="0" style="667" hidden="1" customWidth="1"/>
    <col min="1028" max="1028" width="6" style="667" bestFit="1" customWidth="1"/>
    <col min="1029" max="1029" width="9.5703125" style="667" customWidth="1"/>
    <col min="1030" max="1030" width="9.85546875" style="667" customWidth="1"/>
    <col min="1031" max="1031" width="9.7109375" style="667" customWidth="1"/>
    <col min="1032" max="1032" width="9.5703125" style="667" customWidth="1"/>
    <col min="1033" max="1033" width="9.85546875" style="667" customWidth="1"/>
    <col min="1034" max="1034" width="6.5703125" style="667" customWidth="1"/>
    <col min="1035" max="1035" width="6" style="667" bestFit="1" customWidth="1"/>
    <col min="1036" max="1036" width="6.28515625" style="667" customWidth="1"/>
    <col min="1037" max="1037" width="11.7109375" style="667" customWidth="1"/>
    <col min="1038" max="1038" width="0" style="667" hidden="1" customWidth="1"/>
    <col min="1039" max="1039" width="14.5703125" style="667" customWidth="1"/>
    <col min="1040" max="1040" width="11.85546875" style="667" customWidth="1"/>
    <col min="1041" max="1275" width="9.140625" style="667"/>
    <col min="1276" max="1276" width="2.85546875" style="667" customWidth="1"/>
    <col min="1277" max="1277" width="50.7109375" style="667" customWidth="1"/>
    <col min="1278" max="1278" width="9.42578125" style="667" customWidth="1"/>
    <col min="1279" max="1279" width="11.85546875" style="667" customWidth="1"/>
    <col min="1280" max="1280" width="8.42578125" style="667" bestFit="1" customWidth="1"/>
    <col min="1281" max="1283" width="0" style="667" hidden="1" customWidth="1"/>
    <col min="1284" max="1284" width="6" style="667" bestFit="1" customWidth="1"/>
    <col min="1285" max="1285" width="9.5703125" style="667" customWidth="1"/>
    <col min="1286" max="1286" width="9.85546875" style="667" customWidth="1"/>
    <col min="1287" max="1287" width="9.7109375" style="667" customWidth="1"/>
    <col min="1288" max="1288" width="9.5703125" style="667" customWidth="1"/>
    <col min="1289" max="1289" width="9.85546875" style="667" customWidth="1"/>
    <col min="1290" max="1290" width="6.5703125" style="667" customWidth="1"/>
    <col min="1291" max="1291" width="6" style="667" bestFit="1" customWidth="1"/>
    <col min="1292" max="1292" width="6.28515625" style="667" customWidth="1"/>
    <col min="1293" max="1293" width="11.7109375" style="667" customWidth="1"/>
    <col min="1294" max="1294" width="0" style="667" hidden="1" customWidth="1"/>
    <col min="1295" max="1295" width="14.5703125" style="667" customWidth="1"/>
    <col min="1296" max="1296" width="11.85546875" style="667" customWidth="1"/>
    <col min="1297" max="1531" width="9.140625" style="667"/>
    <col min="1532" max="1532" width="2.85546875" style="667" customWidth="1"/>
    <col min="1533" max="1533" width="50.7109375" style="667" customWidth="1"/>
    <col min="1534" max="1534" width="9.42578125" style="667" customWidth="1"/>
    <col min="1535" max="1535" width="11.85546875" style="667" customWidth="1"/>
    <col min="1536" max="1536" width="8.42578125" style="667" bestFit="1" customWidth="1"/>
    <col min="1537" max="1539" width="0" style="667" hidden="1" customWidth="1"/>
    <col min="1540" max="1540" width="6" style="667" bestFit="1" customWidth="1"/>
    <col min="1541" max="1541" width="9.5703125" style="667" customWidth="1"/>
    <col min="1542" max="1542" width="9.85546875" style="667" customWidth="1"/>
    <col min="1543" max="1543" width="9.7109375" style="667" customWidth="1"/>
    <col min="1544" max="1544" width="9.5703125" style="667" customWidth="1"/>
    <col min="1545" max="1545" width="9.85546875" style="667" customWidth="1"/>
    <col min="1546" max="1546" width="6.5703125" style="667" customWidth="1"/>
    <col min="1547" max="1547" width="6" style="667" bestFit="1" customWidth="1"/>
    <col min="1548" max="1548" width="6.28515625" style="667" customWidth="1"/>
    <col min="1549" max="1549" width="11.7109375" style="667" customWidth="1"/>
    <col min="1550" max="1550" width="0" style="667" hidden="1" customWidth="1"/>
    <col min="1551" max="1551" width="14.5703125" style="667" customWidth="1"/>
    <col min="1552" max="1552" width="11.85546875" style="667" customWidth="1"/>
    <col min="1553" max="1787" width="9.140625" style="667"/>
    <col min="1788" max="1788" width="2.85546875" style="667" customWidth="1"/>
    <col min="1789" max="1789" width="50.7109375" style="667" customWidth="1"/>
    <col min="1790" max="1790" width="9.42578125" style="667" customWidth="1"/>
    <col min="1791" max="1791" width="11.85546875" style="667" customWidth="1"/>
    <col min="1792" max="1792" width="8.42578125" style="667" bestFit="1" customWidth="1"/>
    <col min="1793" max="1795" width="0" style="667" hidden="1" customWidth="1"/>
    <col min="1796" max="1796" width="6" style="667" bestFit="1" customWidth="1"/>
    <col min="1797" max="1797" width="9.5703125" style="667" customWidth="1"/>
    <col min="1798" max="1798" width="9.85546875" style="667" customWidth="1"/>
    <col min="1799" max="1799" width="9.7109375" style="667" customWidth="1"/>
    <col min="1800" max="1800" width="9.5703125" style="667" customWidth="1"/>
    <col min="1801" max="1801" width="9.85546875" style="667" customWidth="1"/>
    <col min="1802" max="1802" width="6.5703125" style="667" customWidth="1"/>
    <col min="1803" max="1803" width="6" style="667" bestFit="1" customWidth="1"/>
    <col min="1804" max="1804" width="6.28515625" style="667" customWidth="1"/>
    <col min="1805" max="1805" width="11.7109375" style="667" customWidth="1"/>
    <col min="1806" max="1806" width="0" style="667" hidden="1" customWidth="1"/>
    <col min="1807" max="1807" width="14.5703125" style="667" customWidth="1"/>
    <col min="1808" max="1808" width="11.85546875" style="667" customWidth="1"/>
    <col min="1809" max="2043" width="9.140625" style="667"/>
    <col min="2044" max="2044" width="2.85546875" style="667" customWidth="1"/>
    <col min="2045" max="2045" width="50.7109375" style="667" customWidth="1"/>
    <col min="2046" max="2046" width="9.42578125" style="667" customWidth="1"/>
    <col min="2047" max="2047" width="11.85546875" style="667" customWidth="1"/>
    <col min="2048" max="2048" width="8.42578125" style="667" bestFit="1" customWidth="1"/>
    <col min="2049" max="2051" width="0" style="667" hidden="1" customWidth="1"/>
    <col min="2052" max="2052" width="6" style="667" bestFit="1" customWidth="1"/>
    <col min="2053" max="2053" width="9.5703125" style="667" customWidth="1"/>
    <col min="2054" max="2054" width="9.85546875" style="667" customWidth="1"/>
    <col min="2055" max="2055" width="9.7109375" style="667" customWidth="1"/>
    <col min="2056" max="2056" width="9.5703125" style="667" customWidth="1"/>
    <col min="2057" max="2057" width="9.85546875" style="667" customWidth="1"/>
    <col min="2058" max="2058" width="6.5703125" style="667" customWidth="1"/>
    <col min="2059" max="2059" width="6" style="667" bestFit="1" customWidth="1"/>
    <col min="2060" max="2060" width="6.28515625" style="667" customWidth="1"/>
    <col min="2061" max="2061" width="11.7109375" style="667" customWidth="1"/>
    <col min="2062" max="2062" width="0" style="667" hidden="1" customWidth="1"/>
    <col min="2063" max="2063" width="14.5703125" style="667" customWidth="1"/>
    <col min="2064" max="2064" width="11.85546875" style="667" customWidth="1"/>
    <col min="2065" max="2299" width="9.140625" style="667"/>
    <col min="2300" max="2300" width="2.85546875" style="667" customWidth="1"/>
    <col min="2301" max="2301" width="50.7109375" style="667" customWidth="1"/>
    <col min="2302" max="2302" width="9.42578125" style="667" customWidth="1"/>
    <col min="2303" max="2303" width="11.85546875" style="667" customWidth="1"/>
    <col min="2304" max="2304" width="8.42578125" style="667" bestFit="1" customWidth="1"/>
    <col min="2305" max="2307" width="0" style="667" hidden="1" customWidth="1"/>
    <col min="2308" max="2308" width="6" style="667" bestFit="1" customWidth="1"/>
    <col min="2309" max="2309" width="9.5703125" style="667" customWidth="1"/>
    <col min="2310" max="2310" width="9.85546875" style="667" customWidth="1"/>
    <col min="2311" max="2311" width="9.7109375" style="667" customWidth="1"/>
    <col min="2312" max="2312" width="9.5703125" style="667" customWidth="1"/>
    <col min="2313" max="2313" width="9.85546875" style="667" customWidth="1"/>
    <col min="2314" max="2314" width="6.5703125" style="667" customWidth="1"/>
    <col min="2315" max="2315" width="6" style="667" bestFit="1" customWidth="1"/>
    <col min="2316" max="2316" width="6.28515625" style="667" customWidth="1"/>
    <col min="2317" max="2317" width="11.7109375" style="667" customWidth="1"/>
    <col min="2318" max="2318" width="0" style="667" hidden="1" customWidth="1"/>
    <col min="2319" max="2319" width="14.5703125" style="667" customWidth="1"/>
    <col min="2320" max="2320" width="11.85546875" style="667" customWidth="1"/>
    <col min="2321" max="2555" width="9.140625" style="667"/>
    <col min="2556" max="2556" width="2.85546875" style="667" customWidth="1"/>
    <col min="2557" max="2557" width="50.7109375" style="667" customWidth="1"/>
    <col min="2558" max="2558" width="9.42578125" style="667" customWidth="1"/>
    <col min="2559" max="2559" width="11.85546875" style="667" customWidth="1"/>
    <col min="2560" max="2560" width="8.42578125" style="667" bestFit="1" customWidth="1"/>
    <col min="2561" max="2563" width="0" style="667" hidden="1" customWidth="1"/>
    <col min="2564" max="2564" width="6" style="667" bestFit="1" customWidth="1"/>
    <col min="2565" max="2565" width="9.5703125" style="667" customWidth="1"/>
    <col min="2566" max="2566" width="9.85546875" style="667" customWidth="1"/>
    <col min="2567" max="2567" width="9.7109375" style="667" customWidth="1"/>
    <col min="2568" max="2568" width="9.5703125" style="667" customWidth="1"/>
    <col min="2569" max="2569" width="9.85546875" style="667" customWidth="1"/>
    <col min="2570" max="2570" width="6.5703125" style="667" customWidth="1"/>
    <col min="2571" max="2571" width="6" style="667" bestFit="1" customWidth="1"/>
    <col min="2572" max="2572" width="6.28515625" style="667" customWidth="1"/>
    <col min="2573" max="2573" width="11.7109375" style="667" customWidth="1"/>
    <col min="2574" max="2574" width="0" style="667" hidden="1" customWidth="1"/>
    <col min="2575" max="2575" width="14.5703125" style="667" customWidth="1"/>
    <col min="2576" max="2576" width="11.85546875" style="667" customWidth="1"/>
    <col min="2577" max="2811" width="9.140625" style="667"/>
    <col min="2812" max="2812" width="2.85546875" style="667" customWidth="1"/>
    <col min="2813" max="2813" width="50.7109375" style="667" customWidth="1"/>
    <col min="2814" max="2814" width="9.42578125" style="667" customWidth="1"/>
    <col min="2815" max="2815" width="11.85546875" style="667" customWidth="1"/>
    <col min="2816" max="2816" width="8.42578125" style="667" bestFit="1" customWidth="1"/>
    <col min="2817" max="2819" width="0" style="667" hidden="1" customWidth="1"/>
    <col min="2820" max="2820" width="6" style="667" bestFit="1" customWidth="1"/>
    <col min="2821" max="2821" width="9.5703125" style="667" customWidth="1"/>
    <col min="2822" max="2822" width="9.85546875" style="667" customWidth="1"/>
    <col min="2823" max="2823" width="9.7109375" style="667" customWidth="1"/>
    <col min="2824" max="2824" width="9.5703125" style="667" customWidth="1"/>
    <col min="2825" max="2825" width="9.85546875" style="667" customWidth="1"/>
    <col min="2826" max="2826" width="6.5703125" style="667" customWidth="1"/>
    <col min="2827" max="2827" width="6" style="667" bestFit="1" customWidth="1"/>
    <col min="2828" max="2828" width="6.28515625" style="667" customWidth="1"/>
    <col min="2829" max="2829" width="11.7109375" style="667" customWidth="1"/>
    <col min="2830" max="2830" width="0" style="667" hidden="1" customWidth="1"/>
    <col min="2831" max="2831" width="14.5703125" style="667" customWidth="1"/>
    <col min="2832" max="2832" width="11.85546875" style="667" customWidth="1"/>
    <col min="2833" max="3067" width="9.140625" style="667"/>
    <col min="3068" max="3068" width="2.85546875" style="667" customWidth="1"/>
    <col min="3069" max="3069" width="50.7109375" style="667" customWidth="1"/>
    <col min="3070" max="3070" width="9.42578125" style="667" customWidth="1"/>
    <col min="3071" max="3071" width="11.85546875" style="667" customWidth="1"/>
    <col min="3072" max="3072" width="8.42578125" style="667" bestFit="1" customWidth="1"/>
    <col min="3073" max="3075" width="0" style="667" hidden="1" customWidth="1"/>
    <col min="3076" max="3076" width="6" style="667" bestFit="1" customWidth="1"/>
    <col min="3077" max="3077" width="9.5703125" style="667" customWidth="1"/>
    <col min="3078" max="3078" width="9.85546875" style="667" customWidth="1"/>
    <col min="3079" max="3079" width="9.7109375" style="667" customWidth="1"/>
    <col min="3080" max="3080" width="9.5703125" style="667" customWidth="1"/>
    <col min="3081" max="3081" width="9.85546875" style="667" customWidth="1"/>
    <col min="3082" max="3082" width="6.5703125" style="667" customWidth="1"/>
    <col min="3083" max="3083" width="6" style="667" bestFit="1" customWidth="1"/>
    <col min="3084" max="3084" width="6.28515625" style="667" customWidth="1"/>
    <col min="3085" max="3085" width="11.7109375" style="667" customWidth="1"/>
    <col min="3086" max="3086" width="0" style="667" hidden="1" customWidth="1"/>
    <col min="3087" max="3087" width="14.5703125" style="667" customWidth="1"/>
    <col min="3088" max="3088" width="11.85546875" style="667" customWidth="1"/>
    <col min="3089" max="3323" width="9.140625" style="667"/>
    <col min="3324" max="3324" width="2.85546875" style="667" customWidth="1"/>
    <col min="3325" max="3325" width="50.7109375" style="667" customWidth="1"/>
    <col min="3326" max="3326" width="9.42578125" style="667" customWidth="1"/>
    <col min="3327" max="3327" width="11.85546875" style="667" customWidth="1"/>
    <col min="3328" max="3328" width="8.42578125" style="667" bestFit="1" customWidth="1"/>
    <col min="3329" max="3331" width="0" style="667" hidden="1" customWidth="1"/>
    <col min="3332" max="3332" width="6" style="667" bestFit="1" customWidth="1"/>
    <col min="3333" max="3333" width="9.5703125" style="667" customWidth="1"/>
    <col min="3334" max="3334" width="9.85546875" style="667" customWidth="1"/>
    <col min="3335" max="3335" width="9.7109375" style="667" customWidth="1"/>
    <col min="3336" max="3336" width="9.5703125" style="667" customWidth="1"/>
    <col min="3337" max="3337" width="9.85546875" style="667" customWidth="1"/>
    <col min="3338" max="3338" width="6.5703125" style="667" customWidth="1"/>
    <col min="3339" max="3339" width="6" style="667" bestFit="1" customWidth="1"/>
    <col min="3340" max="3340" width="6.28515625" style="667" customWidth="1"/>
    <col min="3341" max="3341" width="11.7109375" style="667" customWidth="1"/>
    <col min="3342" max="3342" width="0" style="667" hidden="1" customWidth="1"/>
    <col min="3343" max="3343" width="14.5703125" style="667" customWidth="1"/>
    <col min="3344" max="3344" width="11.85546875" style="667" customWidth="1"/>
    <col min="3345" max="3579" width="9.140625" style="667"/>
    <col min="3580" max="3580" width="2.85546875" style="667" customWidth="1"/>
    <col min="3581" max="3581" width="50.7109375" style="667" customWidth="1"/>
    <col min="3582" max="3582" width="9.42578125" style="667" customWidth="1"/>
    <col min="3583" max="3583" width="11.85546875" style="667" customWidth="1"/>
    <col min="3584" max="3584" width="8.42578125" style="667" bestFit="1" customWidth="1"/>
    <col min="3585" max="3587" width="0" style="667" hidden="1" customWidth="1"/>
    <col min="3588" max="3588" width="6" style="667" bestFit="1" customWidth="1"/>
    <col min="3589" max="3589" width="9.5703125" style="667" customWidth="1"/>
    <col min="3590" max="3590" width="9.85546875" style="667" customWidth="1"/>
    <col min="3591" max="3591" width="9.7109375" style="667" customWidth="1"/>
    <col min="3592" max="3592" width="9.5703125" style="667" customWidth="1"/>
    <col min="3593" max="3593" width="9.85546875" style="667" customWidth="1"/>
    <col min="3594" max="3594" width="6.5703125" style="667" customWidth="1"/>
    <col min="3595" max="3595" width="6" style="667" bestFit="1" customWidth="1"/>
    <col min="3596" max="3596" width="6.28515625" style="667" customWidth="1"/>
    <col min="3597" max="3597" width="11.7109375" style="667" customWidth="1"/>
    <col min="3598" max="3598" width="0" style="667" hidden="1" customWidth="1"/>
    <col min="3599" max="3599" width="14.5703125" style="667" customWidth="1"/>
    <col min="3600" max="3600" width="11.85546875" style="667" customWidth="1"/>
    <col min="3601" max="3835" width="9.140625" style="667"/>
    <col min="3836" max="3836" width="2.85546875" style="667" customWidth="1"/>
    <col min="3837" max="3837" width="50.7109375" style="667" customWidth="1"/>
    <col min="3838" max="3838" width="9.42578125" style="667" customWidth="1"/>
    <col min="3839" max="3839" width="11.85546875" style="667" customWidth="1"/>
    <col min="3840" max="3840" width="8.42578125" style="667" bestFit="1" customWidth="1"/>
    <col min="3841" max="3843" width="0" style="667" hidden="1" customWidth="1"/>
    <col min="3844" max="3844" width="6" style="667" bestFit="1" customWidth="1"/>
    <col min="3845" max="3845" width="9.5703125" style="667" customWidth="1"/>
    <col min="3846" max="3846" width="9.85546875" style="667" customWidth="1"/>
    <col min="3847" max="3847" width="9.7109375" style="667" customWidth="1"/>
    <col min="3848" max="3848" width="9.5703125" style="667" customWidth="1"/>
    <col min="3849" max="3849" width="9.85546875" style="667" customWidth="1"/>
    <col min="3850" max="3850" width="6.5703125" style="667" customWidth="1"/>
    <col min="3851" max="3851" width="6" style="667" bestFit="1" customWidth="1"/>
    <col min="3852" max="3852" width="6.28515625" style="667" customWidth="1"/>
    <col min="3853" max="3853" width="11.7109375" style="667" customWidth="1"/>
    <col min="3854" max="3854" width="0" style="667" hidden="1" customWidth="1"/>
    <col min="3855" max="3855" width="14.5703125" style="667" customWidth="1"/>
    <col min="3856" max="3856" width="11.85546875" style="667" customWidth="1"/>
    <col min="3857" max="4091" width="9.140625" style="667"/>
    <col min="4092" max="4092" width="2.85546875" style="667" customWidth="1"/>
    <col min="4093" max="4093" width="50.7109375" style="667" customWidth="1"/>
    <col min="4094" max="4094" width="9.42578125" style="667" customWidth="1"/>
    <col min="4095" max="4095" width="11.85546875" style="667" customWidth="1"/>
    <col min="4096" max="4096" width="8.42578125" style="667" bestFit="1" customWidth="1"/>
    <col min="4097" max="4099" width="0" style="667" hidden="1" customWidth="1"/>
    <col min="4100" max="4100" width="6" style="667" bestFit="1" customWidth="1"/>
    <col min="4101" max="4101" width="9.5703125" style="667" customWidth="1"/>
    <col min="4102" max="4102" width="9.85546875" style="667" customWidth="1"/>
    <col min="4103" max="4103" width="9.7109375" style="667" customWidth="1"/>
    <col min="4104" max="4104" width="9.5703125" style="667" customWidth="1"/>
    <col min="4105" max="4105" width="9.85546875" style="667" customWidth="1"/>
    <col min="4106" max="4106" width="6.5703125" style="667" customWidth="1"/>
    <col min="4107" max="4107" width="6" style="667" bestFit="1" customWidth="1"/>
    <col min="4108" max="4108" width="6.28515625" style="667" customWidth="1"/>
    <col min="4109" max="4109" width="11.7109375" style="667" customWidth="1"/>
    <col min="4110" max="4110" width="0" style="667" hidden="1" customWidth="1"/>
    <col min="4111" max="4111" width="14.5703125" style="667" customWidth="1"/>
    <col min="4112" max="4112" width="11.85546875" style="667" customWidth="1"/>
    <col min="4113" max="4347" width="9.140625" style="667"/>
    <col min="4348" max="4348" width="2.85546875" style="667" customWidth="1"/>
    <col min="4349" max="4349" width="50.7109375" style="667" customWidth="1"/>
    <col min="4350" max="4350" width="9.42578125" style="667" customWidth="1"/>
    <col min="4351" max="4351" width="11.85546875" style="667" customWidth="1"/>
    <col min="4352" max="4352" width="8.42578125" style="667" bestFit="1" customWidth="1"/>
    <col min="4353" max="4355" width="0" style="667" hidden="1" customWidth="1"/>
    <col min="4356" max="4356" width="6" style="667" bestFit="1" customWidth="1"/>
    <col min="4357" max="4357" width="9.5703125" style="667" customWidth="1"/>
    <col min="4358" max="4358" width="9.85546875" style="667" customWidth="1"/>
    <col min="4359" max="4359" width="9.7109375" style="667" customWidth="1"/>
    <col min="4360" max="4360" width="9.5703125" style="667" customWidth="1"/>
    <col min="4361" max="4361" width="9.85546875" style="667" customWidth="1"/>
    <col min="4362" max="4362" width="6.5703125" style="667" customWidth="1"/>
    <col min="4363" max="4363" width="6" style="667" bestFit="1" customWidth="1"/>
    <col min="4364" max="4364" width="6.28515625" style="667" customWidth="1"/>
    <col min="4365" max="4365" width="11.7109375" style="667" customWidth="1"/>
    <col min="4366" max="4366" width="0" style="667" hidden="1" customWidth="1"/>
    <col min="4367" max="4367" width="14.5703125" style="667" customWidth="1"/>
    <col min="4368" max="4368" width="11.85546875" style="667" customWidth="1"/>
    <col min="4369" max="4603" width="9.140625" style="667"/>
    <col min="4604" max="4604" width="2.85546875" style="667" customWidth="1"/>
    <col min="4605" max="4605" width="50.7109375" style="667" customWidth="1"/>
    <col min="4606" max="4606" width="9.42578125" style="667" customWidth="1"/>
    <col min="4607" max="4607" width="11.85546875" style="667" customWidth="1"/>
    <col min="4608" max="4608" width="8.42578125" style="667" bestFit="1" customWidth="1"/>
    <col min="4609" max="4611" width="0" style="667" hidden="1" customWidth="1"/>
    <col min="4612" max="4612" width="6" style="667" bestFit="1" customWidth="1"/>
    <col min="4613" max="4613" width="9.5703125" style="667" customWidth="1"/>
    <col min="4614" max="4614" width="9.85546875" style="667" customWidth="1"/>
    <col min="4615" max="4615" width="9.7109375" style="667" customWidth="1"/>
    <col min="4616" max="4616" width="9.5703125" style="667" customWidth="1"/>
    <col min="4617" max="4617" width="9.85546875" style="667" customWidth="1"/>
    <col min="4618" max="4618" width="6.5703125" style="667" customWidth="1"/>
    <col min="4619" max="4619" width="6" style="667" bestFit="1" customWidth="1"/>
    <col min="4620" max="4620" width="6.28515625" style="667" customWidth="1"/>
    <col min="4621" max="4621" width="11.7109375" style="667" customWidth="1"/>
    <col min="4622" max="4622" width="0" style="667" hidden="1" customWidth="1"/>
    <col min="4623" max="4623" width="14.5703125" style="667" customWidth="1"/>
    <col min="4624" max="4624" width="11.85546875" style="667" customWidth="1"/>
    <col min="4625" max="4859" width="9.140625" style="667"/>
    <col min="4860" max="4860" width="2.85546875" style="667" customWidth="1"/>
    <col min="4861" max="4861" width="50.7109375" style="667" customWidth="1"/>
    <col min="4862" max="4862" width="9.42578125" style="667" customWidth="1"/>
    <col min="4863" max="4863" width="11.85546875" style="667" customWidth="1"/>
    <col min="4864" max="4864" width="8.42578125" style="667" bestFit="1" customWidth="1"/>
    <col min="4865" max="4867" width="0" style="667" hidden="1" customWidth="1"/>
    <col min="4868" max="4868" width="6" style="667" bestFit="1" customWidth="1"/>
    <col min="4869" max="4869" width="9.5703125" style="667" customWidth="1"/>
    <col min="4870" max="4870" width="9.85546875" style="667" customWidth="1"/>
    <col min="4871" max="4871" width="9.7109375" style="667" customWidth="1"/>
    <col min="4872" max="4872" width="9.5703125" style="667" customWidth="1"/>
    <col min="4873" max="4873" width="9.85546875" style="667" customWidth="1"/>
    <col min="4874" max="4874" width="6.5703125" style="667" customWidth="1"/>
    <col min="4875" max="4875" width="6" style="667" bestFit="1" customWidth="1"/>
    <col min="4876" max="4876" width="6.28515625" style="667" customWidth="1"/>
    <col min="4877" max="4877" width="11.7109375" style="667" customWidth="1"/>
    <col min="4878" max="4878" width="0" style="667" hidden="1" customWidth="1"/>
    <col min="4879" max="4879" width="14.5703125" style="667" customWidth="1"/>
    <col min="4880" max="4880" width="11.85546875" style="667" customWidth="1"/>
    <col min="4881" max="5115" width="9.140625" style="667"/>
    <col min="5116" max="5116" width="2.85546875" style="667" customWidth="1"/>
    <col min="5117" max="5117" width="50.7109375" style="667" customWidth="1"/>
    <col min="5118" max="5118" width="9.42578125" style="667" customWidth="1"/>
    <col min="5119" max="5119" width="11.85546875" style="667" customWidth="1"/>
    <col min="5120" max="5120" width="8.42578125" style="667" bestFit="1" customWidth="1"/>
    <col min="5121" max="5123" width="0" style="667" hidden="1" customWidth="1"/>
    <col min="5124" max="5124" width="6" style="667" bestFit="1" customWidth="1"/>
    <col min="5125" max="5125" width="9.5703125" style="667" customWidth="1"/>
    <col min="5126" max="5126" width="9.85546875" style="667" customWidth="1"/>
    <col min="5127" max="5127" width="9.7109375" style="667" customWidth="1"/>
    <col min="5128" max="5128" width="9.5703125" style="667" customWidth="1"/>
    <col min="5129" max="5129" width="9.85546875" style="667" customWidth="1"/>
    <col min="5130" max="5130" width="6.5703125" style="667" customWidth="1"/>
    <col min="5131" max="5131" width="6" style="667" bestFit="1" customWidth="1"/>
    <col min="5132" max="5132" width="6.28515625" style="667" customWidth="1"/>
    <col min="5133" max="5133" width="11.7109375" style="667" customWidth="1"/>
    <col min="5134" max="5134" width="0" style="667" hidden="1" customWidth="1"/>
    <col min="5135" max="5135" width="14.5703125" style="667" customWidth="1"/>
    <col min="5136" max="5136" width="11.85546875" style="667" customWidth="1"/>
    <col min="5137" max="5371" width="9.140625" style="667"/>
    <col min="5372" max="5372" width="2.85546875" style="667" customWidth="1"/>
    <col min="5373" max="5373" width="50.7109375" style="667" customWidth="1"/>
    <col min="5374" max="5374" width="9.42578125" style="667" customWidth="1"/>
    <col min="5375" max="5375" width="11.85546875" style="667" customWidth="1"/>
    <col min="5376" max="5376" width="8.42578125" style="667" bestFit="1" customWidth="1"/>
    <col min="5377" max="5379" width="0" style="667" hidden="1" customWidth="1"/>
    <col min="5380" max="5380" width="6" style="667" bestFit="1" customWidth="1"/>
    <col min="5381" max="5381" width="9.5703125" style="667" customWidth="1"/>
    <col min="5382" max="5382" width="9.85546875" style="667" customWidth="1"/>
    <col min="5383" max="5383" width="9.7109375" style="667" customWidth="1"/>
    <col min="5384" max="5384" width="9.5703125" style="667" customWidth="1"/>
    <col min="5385" max="5385" width="9.85546875" style="667" customWidth="1"/>
    <col min="5386" max="5386" width="6.5703125" style="667" customWidth="1"/>
    <col min="5387" max="5387" width="6" style="667" bestFit="1" customWidth="1"/>
    <col min="5388" max="5388" width="6.28515625" style="667" customWidth="1"/>
    <col min="5389" max="5389" width="11.7109375" style="667" customWidth="1"/>
    <col min="5390" max="5390" width="0" style="667" hidden="1" customWidth="1"/>
    <col min="5391" max="5391" width="14.5703125" style="667" customWidth="1"/>
    <col min="5392" max="5392" width="11.85546875" style="667" customWidth="1"/>
    <col min="5393" max="5627" width="9.140625" style="667"/>
    <col min="5628" max="5628" width="2.85546875" style="667" customWidth="1"/>
    <col min="5629" max="5629" width="50.7109375" style="667" customWidth="1"/>
    <col min="5630" max="5630" width="9.42578125" style="667" customWidth="1"/>
    <col min="5631" max="5631" width="11.85546875" style="667" customWidth="1"/>
    <col min="5632" max="5632" width="8.42578125" style="667" bestFit="1" customWidth="1"/>
    <col min="5633" max="5635" width="0" style="667" hidden="1" customWidth="1"/>
    <col min="5636" max="5636" width="6" style="667" bestFit="1" customWidth="1"/>
    <col min="5637" max="5637" width="9.5703125" style="667" customWidth="1"/>
    <col min="5638" max="5638" width="9.85546875" style="667" customWidth="1"/>
    <col min="5639" max="5639" width="9.7109375" style="667" customWidth="1"/>
    <col min="5640" max="5640" width="9.5703125" style="667" customWidth="1"/>
    <col min="5641" max="5641" width="9.85546875" style="667" customWidth="1"/>
    <col min="5642" max="5642" width="6.5703125" style="667" customWidth="1"/>
    <col min="5643" max="5643" width="6" style="667" bestFit="1" customWidth="1"/>
    <col min="5644" max="5644" width="6.28515625" style="667" customWidth="1"/>
    <col min="5645" max="5645" width="11.7109375" style="667" customWidth="1"/>
    <col min="5646" max="5646" width="0" style="667" hidden="1" customWidth="1"/>
    <col min="5647" max="5647" width="14.5703125" style="667" customWidth="1"/>
    <col min="5648" max="5648" width="11.85546875" style="667" customWidth="1"/>
    <col min="5649" max="5883" width="9.140625" style="667"/>
    <col min="5884" max="5884" width="2.85546875" style="667" customWidth="1"/>
    <col min="5885" max="5885" width="50.7109375" style="667" customWidth="1"/>
    <col min="5886" max="5886" width="9.42578125" style="667" customWidth="1"/>
    <col min="5887" max="5887" width="11.85546875" style="667" customWidth="1"/>
    <col min="5888" max="5888" width="8.42578125" style="667" bestFit="1" customWidth="1"/>
    <col min="5889" max="5891" width="0" style="667" hidden="1" customWidth="1"/>
    <col min="5892" max="5892" width="6" style="667" bestFit="1" customWidth="1"/>
    <col min="5893" max="5893" width="9.5703125" style="667" customWidth="1"/>
    <col min="5894" max="5894" width="9.85546875" style="667" customWidth="1"/>
    <col min="5895" max="5895" width="9.7109375" style="667" customWidth="1"/>
    <col min="5896" max="5896" width="9.5703125" style="667" customWidth="1"/>
    <col min="5897" max="5897" width="9.85546875" style="667" customWidth="1"/>
    <col min="5898" max="5898" width="6.5703125" style="667" customWidth="1"/>
    <col min="5899" max="5899" width="6" style="667" bestFit="1" customWidth="1"/>
    <col min="5900" max="5900" width="6.28515625" style="667" customWidth="1"/>
    <col min="5901" max="5901" width="11.7109375" style="667" customWidth="1"/>
    <col min="5902" max="5902" width="0" style="667" hidden="1" customWidth="1"/>
    <col min="5903" max="5903" width="14.5703125" style="667" customWidth="1"/>
    <col min="5904" max="5904" width="11.85546875" style="667" customWidth="1"/>
    <col min="5905" max="6139" width="9.140625" style="667"/>
    <col min="6140" max="6140" width="2.85546875" style="667" customWidth="1"/>
    <col min="6141" max="6141" width="50.7109375" style="667" customWidth="1"/>
    <col min="6142" max="6142" width="9.42578125" style="667" customWidth="1"/>
    <col min="6143" max="6143" width="11.85546875" style="667" customWidth="1"/>
    <col min="6144" max="6144" width="8.42578125" style="667" bestFit="1" customWidth="1"/>
    <col min="6145" max="6147" width="0" style="667" hidden="1" customWidth="1"/>
    <col min="6148" max="6148" width="6" style="667" bestFit="1" customWidth="1"/>
    <col min="6149" max="6149" width="9.5703125" style="667" customWidth="1"/>
    <col min="6150" max="6150" width="9.85546875" style="667" customWidth="1"/>
    <col min="6151" max="6151" width="9.7109375" style="667" customWidth="1"/>
    <col min="6152" max="6152" width="9.5703125" style="667" customWidth="1"/>
    <col min="6153" max="6153" width="9.85546875" style="667" customWidth="1"/>
    <col min="6154" max="6154" width="6.5703125" style="667" customWidth="1"/>
    <col min="6155" max="6155" width="6" style="667" bestFit="1" customWidth="1"/>
    <col min="6156" max="6156" width="6.28515625" style="667" customWidth="1"/>
    <col min="6157" max="6157" width="11.7109375" style="667" customWidth="1"/>
    <col min="6158" max="6158" width="0" style="667" hidden="1" customWidth="1"/>
    <col min="6159" max="6159" width="14.5703125" style="667" customWidth="1"/>
    <col min="6160" max="6160" width="11.85546875" style="667" customWidth="1"/>
    <col min="6161" max="6395" width="9.140625" style="667"/>
    <col min="6396" max="6396" width="2.85546875" style="667" customWidth="1"/>
    <col min="6397" max="6397" width="50.7109375" style="667" customWidth="1"/>
    <col min="6398" max="6398" width="9.42578125" style="667" customWidth="1"/>
    <col min="6399" max="6399" width="11.85546875" style="667" customWidth="1"/>
    <col min="6400" max="6400" width="8.42578125" style="667" bestFit="1" customWidth="1"/>
    <col min="6401" max="6403" width="0" style="667" hidden="1" customWidth="1"/>
    <col min="6404" max="6404" width="6" style="667" bestFit="1" customWidth="1"/>
    <col min="6405" max="6405" width="9.5703125" style="667" customWidth="1"/>
    <col min="6406" max="6406" width="9.85546875" style="667" customWidth="1"/>
    <col min="6407" max="6407" width="9.7109375" style="667" customWidth="1"/>
    <col min="6408" max="6408" width="9.5703125" style="667" customWidth="1"/>
    <col min="6409" max="6409" width="9.85546875" style="667" customWidth="1"/>
    <col min="6410" max="6410" width="6.5703125" style="667" customWidth="1"/>
    <col min="6411" max="6411" width="6" style="667" bestFit="1" customWidth="1"/>
    <col min="6412" max="6412" width="6.28515625" style="667" customWidth="1"/>
    <col min="6413" max="6413" width="11.7109375" style="667" customWidth="1"/>
    <col min="6414" max="6414" width="0" style="667" hidden="1" customWidth="1"/>
    <col min="6415" max="6415" width="14.5703125" style="667" customWidth="1"/>
    <col min="6416" max="6416" width="11.85546875" style="667" customWidth="1"/>
    <col min="6417" max="6651" width="9.140625" style="667"/>
    <col min="6652" max="6652" width="2.85546875" style="667" customWidth="1"/>
    <col min="6653" max="6653" width="50.7109375" style="667" customWidth="1"/>
    <col min="6654" max="6654" width="9.42578125" style="667" customWidth="1"/>
    <col min="6655" max="6655" width="11.85546875" style="667" customWidth="1"/>
    <col min="6656" max="6656" width="8.42578125" style="667" bestFit="1" customWidth="1"/>
    <col min="6657" max="6659" width="0" style="667" hidden="1" customWidth="1"/>
    <col min="6660" max="6660" width="6" style="667" bestFit="1" customWidth="1"/>
    <col min="6661" max="6661" width="9.5703125" style="667" customWidth="1"/>
    <col min="6662" max="6662" width="9.85546875" style="667" customWidth="1"/>
    <col min="6663" max="6663" width="9.7109375" style="667" customWidth="1"/>
    <col min="6664" max="6664" width="9.5703125" style="667" customWidth="1"/>
    <col min="6665" max="6665" width="9.85546875" style="667" customWidth="1"/>
    <col min="6666" max="6666" width="6.5703125" style="667" customWidth="1"/>
    <col min="6667" max="6667" width="6" style="667" bestFit="1" customWidth="1"/>
    <col min="6668" max="6668" width="6.28515625" style="667" customWidth="1"/>
    <col min="6669" max="6669" width="11.7109375" style="667" customWidth="1"/>
    <col min="6670" max="6670" width="0" style="667" hidden="1" customWidth="1"/>
    <col min="6671" max="6671" width="14.5703125" style="667" customWidth="1"/>
    <col min="6672" max="6672" width="11.85546875" style="667" customWidth="1"/>
    <col min="6673" max="6907" width="9.140625" style="667"/>
    <col min="6908" max="6908" width="2.85546875" style="667" customWidth="1"/>
    <col min="6909" max="6909" width="50.7109375" style="667" customWidth="1"/>
    <col min="6910" max="6910" width="9.42578125" style="667" customWidth="1"/>
    <col min="6911" max="6911" width="11.85546875" style="667" customWidth="1"/>
    <col min="6912" max="6912" width="8.42578125" style="667" bestFit="1" customWidth="1"/>
    <col min="6913" max="6915" width="0" style="667" hidden="1" customWidth="1"/>
    <col min="6916" max="6916" width="6" style="667" bestFit="1" customWidth="1"/>
    <col min="6917" max="6917" width="9.5703125" style="667" customWidth="1"/>
    <col min="6918" max="6918" width="9.85546875" style="667" customWidth="1"/>
    <col min="6919" max="6919" width="9.7109375" style="667" customWidth="1"/>
    <col min="6920" max="6920" width="9.5703125" style="667" customWidth="1"/>
    <col min="6921" max="6921" width="9.85546875" style="667" customWidth="1"/>
    <col min="6922" max="6922" width="6.5703125" style="667" customWidth="1"/>
    <col min="6923" max="6923" width="6" style="667" bestFit="1" customWidth="1"/>
    <col min="6924" max="6924" width="6.28515625" style="667" customWidth="1"/>
    <col min="6925" max="6925" width="11.7109375" style="667" customWidth="1"/>
    <col min="6926" max="6926" width="0" style="667" hidden="1" customWidth="1"/>
    <col min="6927" max="6927" width="14.5703125" style="667" customWidth="1"/>
    <col min="6928" max="6928" width="11.85546875" style="667" customWidth="1"/>
    <col min="6929" max="7163" width="9.140625" style="667"/>
    <col min="7164" max="7164" width="2.85546875" style="667" customWidth="1"/>
    <col min="7165" max="7165" width="50.7109375" style="667" customWidth="1"/>
    <col min="7166" max="7166" width="9.42578125" style="667" customWidth="1"/>
    <col min="7167" max="7167" width="11.85546875" style="667" customWidth="1"/>
    <col min="7168" max="7168" width="8.42578125" style="667" bestFit="1" customWidth="1"/>
    <col min="7169" max="7171" width="0" style="667" hidden="1" customWidth="1"/>
    <col min="7172" max="7172" width="6" style="667" bestFit="1" customWidth="1"/>
    <col min="7173" max="7173" width="9.5703125" style="667" customWidth="1"/>
    <col min="7174" max="7174" width="9.85546875" style="667" customWidth="1"/>
    <col min="7175" max="7175" width="9.7109375" style="667" customWidth="1"/>
    <col min="7176" max="7176" width="9.5703125" style="667" customWidth="1"/>
    <col min="7177" max="7177" width="9.85546875" style="667" customWidth="1"/>
    <col min="7178" max="7178" width="6.5703125" style="667" customWidth="1"/>
    <col min="7179" max="7179" width="6" style="667" bestFit="1" customWidth="1"/>
    <col min="7180" max="7180" width="6.28515625" style="667" customWidth="1"/>
    <col min="7181" max="7181" width="11.7109375" style="667" customWidth="1"/>
    <col min="7182" max="7182" width="0" style="667" hidden="1" customWidth="1"/>
    <col min="7183" max="7183" width="14.5703125" style="667" customWidth="1"/>
    <col min="7184" max="7184" width="11.85546875" style="667" customWidth="1"/>
    <col min="7185" max="7419" width="9.140625" style="667"/>
    <col min="7420" max="7420" width="2.85546875" style="667" customWidth="1"/>
    <col min="7421" max="7421" width="50.7109375" style="667" customWidth="1"/>
    <col min="7422" max="7422" width="9.42578125" style="667" customWidth="1"/>
    <col min="7423" max="7423" width="11.85546875" style="667" customWidth="1"/>
    <col min="7424" max="7424" width="8.42578125" style="667" bestFit="1" customWidth="1"/>
    <col min="7425" max="7427" width="0" style="667" hidden="1" customWidth="1"/>
    <col min="7428" max="7428" width="6" style="667" bestFit="1" customWidth="1"/>
    <col min="7429" max="7429" width="9.5703125" style="667" customWidth="1"/>
    <col min="7430" max="7430" width="9.85546875" style="667" customWidth="1"/>
    <col min="7431" max="7431" width="9.7109375" style="667" customWidth="1"/>
    <col min="7432" max="7432" width="9.5703125" style="667" customWidth="1"/>
    <col min="7433" max="7433" width="9.85546875" style="667" customWidth="1"/>
    <col min="7434" max="7434" width="6.5703125" style="667" customWidth="1"/>
    <col min="7435" max="7435" width="6" style="667" bestFit="1" customWidth="1"/>
    <col min="7436" max="7436" width="6.28515625" style="667" customWidth="1"/>
    <col min="7437" max="7437" width="11.7109375" style="667" customWidth="1"/>
    <col min="7438" max="7438" width="0" style="667" hidden="1" customWidth="1"/>
    <col min="7439" max="7439" width="14.5703125" style="667" customWidth="1"/>
    <col min="7440" max="7440" width="11.85546875" style="667" customWidth="1"/>
    <col min="7441" max="7675" width="9.140625" style="667"/>
    <col min="7676" max="7676" width="2.85546875" style="667" customWidth="1"/>
    <col min="7677" max="7677" width="50.7109375" style="667" customWidth="1"/>
    <col min="7678" max="7678" width="9.42578125" style="667" customWidth="1"/>
    <col min="7679" max="7679" width="11.85546875" style="667" customWidth="1"/>
    <col min="7680" max="7680" width="8.42578125" style="667" bestFit="1" customWidth="1"/>
    <col min="7681" max="7683" width="0" style="667" hidden="1" customWidth="1"/>
    <col min="7684" max="7684" width="6" style="667" bestFit="1" customWidth="1"/>
    <col min="7685" max="7685" width="9.5703125" style="667" customWidth="1"/>
    <col min="7686" max="7686" width="9.85546875" style="667" customWidth="1"/>
    <col min="7687" max="7687" width="9.7109375" style="667" customWidth="1"/>
    <col min="7688" max="7688" width="9.5703125" style="667" customWidth="1"/>
    <col min="7689" max="7689" width="9.85546875" style="667" customWidth="1"/>
    <col min="7690" max="7690" width="6.5703125" style="667" customWidth="1"/>
    <col min="7691" max="7691" width="6" style="667" bestFit="1" customWidth="1"/>
    <col min="7692" max="7692" width="6.28515625" style="667" customWidth="1"/>
    <col min="7693" max="7693" width="11.7109375" style="667" customWidth="1"/>
    <col min="7694" max="7694" width="0" style="667" hidden="1" customWidth="1"/>
    <col min="7695" max="7695" width="14.5703125" style="667" customWidth="1"/>
    <col min="7696" max="7696" width="11.85546875" style="667" customWidth="1"/>
    <col min="7697" max="7931" width="9.140625" style="667"/>
    <col min="7932" max="7932" width="2.85546875" style="667" customWidth="1"/>
    <col min="7933" max="7933" width="50.7109375" style="667" customWidth="1"/>
    <col min="7934" max="7934" width="9.42578125" style="667" customWidth="1"/>
    <col min="7935" max="7935" width="11.85546875" style="667" customWidth="1"/>
    <col min="7936" max="7936" width="8.42578125" style="667" bestFit="1" customWidth="1"/>
    <col min="7937" max="7939" width="0" style="667" hidden="1" customWidth="1"/>
    <col min="7940" max="7940" width="6" style="667" bestFit="1" customWidth="1"/>
    <col min="7941" max="7941" width="9.5703125" style="667" customWidth="1"/>
    <col min="7942" max="7942" width="9.85546875" style="667" customWidth="1"/>
    <col min="7943" max="7943" width="9.7109375" style="667" customWidth="1"/>
    <col min="7944" max="7944" width="9.5703125" style="667" customWidth="1"/>
    <col min="7945" max="7945" width="9.85546875" style="667" customWidth="1"/>
    <col min="7946" max="7946" width="6.5703125" style="667" customWidth="1"/>
    <col min="7947" max="7947" width="6" style="667" bestFit="1" customWidth="1"/>
    <col min="7948" max="7948" width="6.28515625" style="667" customWidth="1"/>
    <col min="7949" max="7949" width="11.7109375" style="667" customWidth="1"/>
    <col min="7950" max="7950" width="0" style="667" hidden="1" customWidth="1"/>
    <col min="7951" max="7951" width="14.5703125" style="667" customWidth="1"/>
    <col min="7952" max="7952" width="11.85546875" style="667" customWidth="1"/>
    <col min="7953" max="8187" width="9.140625" style="667"/>
    <col min="8188" max="8188" width="2.85546875" style="667" customWidth="1"/>
    <col min="8189" max="8189" width="50.7109375" style="667" customWidth="1"/>
    <col min="8190" max="8190" width="9.42578125" style="667" customWidth="1"/>
    <col min="8191" max="8191" width="11.85546875" style="667" customWidth="1"/>
    <col min="8192" max="8192" width="8.42578125" style="667" bestFit="1" customWidth="1"/>
    <col min="8193" max="8195" width="0" style="667" hidden="1" customWidth="1"/>
    <col min="8196" max="8196" width="6" style="667" bestFit="1" customWidth="1"/>
    <col min="8197" max="8197" width="9.5703125" style="667" customWidth="1"/>
    <col min="8198" max="8198" width="9.85546875" style="667" customWidth="1"/>
    <col min="8199" max="8199" width="9.7109375" style="667" customWidth="1"/>
    <col min="8200" max="8200" width="9.5703125" style="667" customWidth="1"/>
    <col min="8201" max="8201" width="9.85546875" style="667" customWidth="1"/>
    <col min="8202" max="8202" width="6.5703125" style="667" customWidth="1"/>
    <col min="8203" max="8203" width="6" style="667" bestFit="1" customWidth="1"/>
    <col min="8204" max="8204" width="6.28515625" style="667" customWidth="1"/>
    <col min="8205" max="8205" width="11.7109375" style="667" customWidth="1"/>
    <col min="8206" max="8206" width="0" style="667" hidden="1" customWidth="1"/>
    <col min="8207" max="8207" width="14.5703125" style="667" customWidth="1"/>
    <col min="8208" max="8208" width="11.85546875" style="667" customWidth="1"/>
    <col min="8209" max="8443" width="9.140625" style="667"/>
    <col min="8444" max="8444" width="2.85546875" style="667" customWidth="1"/>
    <col min="8445" max="8445" width="50.7109375" style="667" customWidth="1"/>
    <col min="8446" max="8446" width="9.42578125" style="667" customWidth="1"/>
    <col min="8447" max="8447" width="11.85546875" style="667" customWidth="1"/>
    <col min="8448" max="8448" width="8.42578125" style="667" bestFit="1" customWidth="1"/>
    <col min="8449" max="8451" width="0" style="667" hidden="1" customWidth="1"/>
    <col min="8452" max="8452" width="6" style="667" bestFit="1" customWidth="1"/>
    <col min="8453" max="8453" width="9.5703125" style="667" customWidth="1"/>
    <col min="8454" max="8454" width="9.85546875" style="667" customWidth="1"/>
    <col min="8455" max="8455" width="9.7109375" style="667" customWidth="1"/>
    <col min="8456" max="8456" width="9.5703125" style="667" customWidth="1"/>
    <col min="8457" max="8457" width="9.85546875" style="667" customWidth="1"/>
    <col min="8458" max="8458" width="6.5703125" style="667" customWidth="1"/>
    <col min="8459" max="8459" width="6" style="667" bestFit="1" customWidth="1"/>
    <col min="8460" max="8460" width="6.28515625" style="667" customWidth="1"/>
    <col min="8461" max="8461" width="11.7109375" style="667" customWidth="1"/>
    <col min="8462" max="8462" width="0" style="667" hidden="1" customWidth="1"/>
    <col min="8463" max="8463" width="14.5703125" style="667" customWidth="1"/>
    <col min="8464" max="8464" width="11.85546875" style="667" customWidth="1"/>
    <col min="8465" max="8699" width="9.140625" style="667"/>
    <col min="8700" max="8700" width="2.85546875" style="667" customWidth="1"/>
    <col min="8701" max="8701" width="50.7109375" style="667" customWidth="1"/>
    <col min="8702" max="8702" width="9.42578125" style="667" customWidth="1"/>
    <col min="8703" max="8703" width="11.85546875" style="667" customWidth="1"/>
    <col min="8704" max="8704" width="8.42578125" style="667" bestFit="1" customWidth="1"/>
    <col min="8705" max="8707" width="0" style="667" hidden="1" customWidth="1"/>
    <col min="8708" max="8708" width="6" style="667" bestFit="1" customWidth="1"/>
    <col min="8709" max="8709" width="9.5703125" style="667" customWidth="1"/>
    <col min="8710" max="8710" width="9.85546875" style="667" customWidth="1"/>
    <col min="8711" max="8711" width="9.7109375" style="667" customWidth="1"/>
    <col min="8712" max="8712" width="9.5703125" style="667" customWidth="1"/>
    <col min="8713" max="8713" width="9.85546875" style="667" customWidth="1"/>
    <col min="8714" max="8714" width="6.5703125" style="667" customWidth="1"/>
    <col min="8715" max="8715" width="6" style="667" bestFit="1" customWidth="1"/>
    <col min="8716" max="8716" width="6.28515625" style="667" customWidth="1"/>
    <col min="8717" max="8717" width="11.7109375" style="667" customWidth="1"/>
    <col min="8718" max="8718" width="0" style="667" hidden="1" customWidth="1"/>
    <col min="8719" max="8719" width="14.5703125" style="667" customWidth="1"/>
    <col min="8720" max="8720" width="11.85546875" style="667" customWidth="1"/>
    <col min="8721" max="8955" width="9.140625" style="667"/>
    <col min="8956" max="8956" width="2.85546875" style="667" customWidth="1"/>
    <col min="8957" max="8957" width="50.7109375" style="667" customWidth="1"/>
    <col min="8958" max="8958" width="9.42578125" style="667" customWidth="1"/>
    <col min="8959" max="8959" width="11.85546875" style="667" customWidth="1"/>
    <col min="8960" max="8960" width="8.42578125" style="667" bestFit="1" customWidth="1"/>
    <col min="8961" max="8963" width="0" style="667" hidden="1" customWidth="1"/>
    <col min="8964" max="8964" width="6" style="667" bestFit="1" customWidth="1"/>
    <col min="8965" max="8965" width="9.5703125" style="667" customWidth="1"/>
    <col min="8966" max="8966" width="9.85546875" style="667" customWidth="1"/>
    <col min="8967" max="8967" width="9.7109375" style="667" customWidth="1"/>
    <col min="8968" max="8968" width="9.5703125" style="667" customWidth="1"/>
    <col min="8969" max="8969" width="9.85546875" style="667" customWidth="1"/>
    <col min="8970" max="8970" width="6.5703125" style="667" customWidth="1"/>
    <col min="8971" max="8971" width="6" style="667" bestFit="1" customWidth="1"/>
    <col min="8972" max="8972" width="6.28515625" style="667" customWidth="1"/>
    <col min="8973" max="8973" width="11.7109375" style="667" customWidth="1"/>
    <col min="8974" max="8974" width="0" style="667" hidden="1" customWidth="1"/>
    <col min="8975" max="8975" width="14.5703125" style="667" customWidth="1"/>
    <col min="8976" max="8976" width="11.85546875" style="667" customWidth="1"/>
    <col min="8977" max="9211" width="9.140625" style="667"/>
    <col min="9212" max="9212" width="2.85546875" style="667" customWidth="1"/>
    <col min="9213" max="9213" width="50.7109375" style="667" customWidth="1"/>
    <col min="9214" max="9214" width="9.42578125" style="667" customWidth="1"/>
    <col min="9215" max="9215" width="11.85546875" style="667" customWidth="1"/>
    <col min="9216" max="9216" width="8.42578125" style="667" bestFit="1" customWidth="1"/>
    <col min="9217" max="9219" width="0" style="667" hidden="1" customWidth="1"/>
    <col min="9220" max="9220" width="6" style="667" bestFit="1" customWidth="1"/>
    <col min="9221" max="9221" width="9.5703125" style="667" customWidth="1"/>
    <col min="9222" max="9222" width="9.85546875" style="667" customWidth="1"/>
    <col min="9223" max="9223" width="9.7109375" style="667" customWidth="1"/>
    <col min="9224" max="9224" width="9.5703125" style="667" customWidth="1"/>
    <col min="9225" max="9225" width="9.85546875" style="667" customWidth="1"/>
    <col min="9226" max="9226" width="6.5703125" style="667" customWidth="1"/>
    <col min="9227" max="9227" width="6" style="667" bestFit="1" customWidth="1"/>
    <col min="9228" max="9228" width="6.28515625" style="667" customWidth="1"/>
    <col min="9229" max="9229" width="11.7109375" style="667" customWidth="1"/>
    <col min="9230" max="9230" width="0" style="667" hidden="1" customWidth="1"/>
    <col min="9231" max="9231" width="14.5703125" style="667" customWidth="1"/>
    <col min="9232" max="9232" width="11.85546875" style="667" customWidth="1"/>
    <col min="9233" max="9467" width="9.140625" style="667"/>
    <col min="9468" max="9468" width="2.85546875" style="667" customWidth="1"/>
    <col min="9469" max="9469" width="50.7109375" style="667" customWidth="1"/>
    <col min="9470" max="9470" width="9.42578125" style="667" customWidth="1"/>
    <col min="9471" max="9471" width="11.85546875" style="667" customWidth="1"/>
    <col min="9472" max="9472" width="8.42578125" style="667" bestFit="1" customWidth="1"/>
    <col min="9473" max="9475" width="0" style="667" hidden="1" customWidth="1"/>
    <col min="9476" max="9476" width="6" style="667" bestFit="1" customWidth="1"/>
    <col min="9477" max="9477" width="9.5703125" style="667" customWidth="1"/>
    <col min="9478" max="9478" width="9.85546875" style="667" customWidth="1"/>
    <col min="9479" max="9479" width="9.7109375" style="667" customWidth="1"/>
    <col min="9480" max="9480" width="9.5703125" style="667" customWidth="1"/>
    <col min="9481" max="9481" width="9.85546875" style="667" customWidth="1"/>
    <col min="9482" max="9482" width="6.5703125" style="667" customWidth="1"/>
    <col min="9483" max="9483" width="6" style="667" bestFit="1" customWidth="1"/>
    <col min="9484" max="9484" width="6.28515625" style="667" customWidth="1"/>
    <col min="9485" max="9485" width="11.7109375" style="667" customWidth="1"/>
    <col min="9486" max="9486" width="0" style="667" hidden="1" customWidth="1"/>
    <col min="9487" max="9487" width="14.5703125" style="667" customWidth="1"/>
    <col min="9488" max="9488" width="11.85546875" style="667" customWidth="1"/>
    <col min="9489" max="9723" width="9.140625" style="667"/>
    <col min="9724" max="9724" width="2.85546875" style="667" customWidth="1"/>
    <col min="9725" max="9725" width="50.7109375" style="667" customWidth="1"/>
    <col min="9726" max="9726" width="9.42578125" style="667" customWidth="1"/>
    <col min="9727" max="9727" width="11.85546875" style="667" customWidth="1"/>
    <col min="9728" max="9728" width="8.42578125" style="667" bestFit="1" customWidth="1"/>
    <col min="9729" max="9731" width="0" style="667" hidden="1" customWidth="1"/>
    <col min="9732" max="9732" width="6" style="667" bestFit="1" customWidth="1"/>
    <col min="9733" max="9733" width="9.5703125" style="667" customWidth="1"/>
    <col min="9734" max="9734" width="9.85546875" style="667" customWidth="1"/>
    <col min="9735" max="9735" width="9.7109375" style="667" customWidth="1"/>
    <col min="9736" max="9736" width="9.5703125" style="667" customWidth="1"/>
    <col min="9737" max="9737" width="9.85546875" style="667" customWidth="1"/>
    <col min="9738" max="9738" width="6.5703125" style="667" customWidth="1"/>
    <col min="9739" max="9739" width="6" style="667" bestFit="1" customWidth="1"/>
    <col min="9740" max="9740" width="6.28515625" style="667" customWidth="1"/>
    <col min="9741" max="9741" width="11.7109375" style="667" customWidth="1"/>
    <col min="9742" max="9742" width="0" style="667" hidden="1" customWidth="1"/>
    <col min="9743" max="9743" width="14.5703125" style="667" customWidth="1"/>
    <col min="9744" max="9744" width="11.85546875" style="667" customWidth="1"/>
    <col min="9745" max="9979" width="9.140625" style="667"/>
    <col min="9980" max="9980" width="2.85546875" style="667" customWidth="1"/>
    <col min="9981" max="9981" width="50.7109375" style="667" customWidth="1"/>
    <col min="9982" max="9982" width="9.42578125" style="667" customWidth="1"/>
    <col min="9983" max="9983" width="11.85546875" style="667" customWidth="1"/>
    <col min="9984" max="9984" width="8.42578125" style="667" bestFit="1" customWidth="1"/>
    <col min="9985" max="9987" width="0" style="667" hidden="1" customWidth="1"/>
    <col min="9988" max="9988" width="6" style="667" bestFit="1" customWidth="1"/>
    <col min="9989" max="9989" width="9.5703125" style="667" customWidth="1"/>
    <col min="9990" max="9990" width="9.85546875" style="667" customWidth="1"/>
    <col min="9991" max="9991" width="9.7109375" style="667" customWidth="1"/>
    <col min="9992" max="9992" width="9.5703125" style="667" customWidth="1"/>
    <col min="9993" max="9993" width="9.85546875" style="667" customWidth="1"/>
    <col min="9994" max="9994" width="6.5703125" style="667" customWidth="1"/>
    <col min="9995" max="9995" width="6" style="667" bestFit="1" customWidth="1"/>
    <col min="9996" max="9996" width="6.28515625" style="667" customWidth="1"/>
    <col min="9997" max="9997" width="11.7109375" style="667" customWidth="1"/>
    <col min="9998" max="9998" width="0" style="667" hidden="1" customWidth="1"/>
    <col min="9999" max="9999" width="14.5703125" style="667" customWidth="1"/>
    <col min="10000" max="10000" width="11.85546875" style="667" customWidth="1"/>
    <col min="10001" max="10235" width="9.140625" style="667"/>
    <col min="10236" max="10236" width="2.85546875" style="667" customWidth="1"/>
    <col min="10237" max="10237" width="50.7109375" style="667" customWidth="1"/>
    <col min="10238" max="10238" width="9.42578125" style="667" customWidth="1"/>
    <col min="10239" max="10239" width="11.85546875" style="667" customWidth="1"/>
    <col min="10240" max="10240" width="8.42578125" style="667" bestFit="1" customWidth="1"/>
    <col min="10241" max="10243" width="0" style="667" hidden="1" customWidth="1"/>
    <col min="10244" max="10244" width="6" style="667" bestFit="1" customWidth="1"/>
    <col min="10245" max="10245" width="9.5703125" style="667" customWidth="1"/>
    <col min="10246" max="10246" width="9.85546875" style="667" customWidth="1"/>
    <col min="10247" max="10247" width="9.7109375" style="667" customWidth="1"/>
    <col min="10248" max="10248" width="9.5703125" style="667" customWidth="1"/>
    <col min="10249" max="10249" width="9.85546875" style="667" customWidth="1"/>
    <col min="10250" max="10250" width="6.5703125" style="667" customWidth="1"/>
    <col min="10251" max="10251" width="6" style="667" bestFit="1" customWidth="1"/>
    <col min="10252" max="10252" width="6.28515625" style="667" customWidth="1"/>
    <col min="10253" max="10253" width="11.7109375" style="667" customWidth="1"/>
    <col min="10254" max="10254" width="0" style="667" hidden="1" customWidth="1"/>
    <col min="10255" max="10255" width="14.5703125" style="667" customWidth="1"/>
    <col min="10256" max="10256" width="11.85546875" style="667" customWidth="1"/>
    <col min="10257" max="10491" width="9.140625" style="667"/>
    <col min="10492" max="10492" width="2.85546875" style="667" customWidth="1"/>
    <col min="10493" max="10493" width="50.7109375" style="667" customWidth="1"/>
    <col min="10494" max="10494" width="9.42578125" style="667" customWidth="1"/>
    <col min="10495" max="10495" width="11.85546875" style="667" customWidth="1"/>
    <col min="10496" max="10496" width="8.42578125" style="667" bestFit="1" customWidth="1"/>
    <col min="10497" max="10499" width="0" style="667" hidden="1" customWidth="1"/>
    <col min="10500" max="10500" width="6" style="667" bestFit="1" customWidth="1"/>
    <col min="10501" max="10501" width="9.5703125" style="667" customWidth="1"/>
    <col min="10502" max="10502" width="9.85546875" style="667" customWidth="1"/>
    <col min="10503" max="10503" width="9.7109375" style="667" customWidth="1"/>
    <col min="10504" max="10504" width="9.5703125" style="667" customWidth="1"/>
    <col min="10505" max="10505" width="9.85546875" style="667" customWidth="1"/>
    <col min="10506" max="10506" width="6.5703125" style="667" customWidth="1"/>
    <col min="10507" max="10507" width="6" style="667" bestFit="1" customWidth="1"/>
    <col min="10508" max="10508" width="6.28515625" style="667" customWidth="1"/>
    <col min="10509" max="10509" width="11.7109375" style="667" customWidth="1"/>
    <col min="10510" max="10510" width="0" style="667" hidden="1" customWidth="1"/>
    <col min="10511" max="10511" width="14.5703125" style="667" customWidth="1"/>
    <col min="10512" max="10512" width="11.85546875" style="667" customWidth="1"/>
    <col min="10513" max="10747" width="9.140625" style="667"/>
    <col min="10748" max="10748" width="2.85546875" style="667" customWidth="1"/>
    <col min="10749" max="10749" width="50.7109375" style="667" customWidth="1"/>
    <col min="10750" max="10750" width="9.42578125" style="667" customWidth="1"/>
    <col min="10751" max="10751" width="11.85546875" style="667" customWidth="1"/>
    <col min="10752" max="10752" width="8.42578125" style="667" bestFit="1" customWidth="1"/>
    <col min="10753" max="10755" width="0" style="667" hidden="1" customWidth="1"/>
    <col min="10756" max="10756" width="6" style="667" bestFit="1" customWidth="1"/>
    <col min="10757" max="10757" width="9.5703125" style="667" customWidth="1"/>
    <col min="10758" max="10758" width="9.85546875" style="667" customWidth="1"/>
    <col min="10759" max="10759" width="9.7109375" style="667" customWidth="1"/>
    <col min="10760" max="10760" width="9.5703125" style="667" customWidth="1"/>
    <col min="10761" max="10761" width="9.85546875" style="667" customWidth="1"/>
    <col min="10762" max="10762" width="6.5703125" style="667" customWidth="1"/>
    <col min="10763" max="10763" width="6" style="667" bestFit="1" customWidth="1"/>
    <col min="10764" max="10764" width="6.28515625" style="667" customWidth="1"/>
    <col min="10765" max="10765" width="11.7109375" style="667" customWidth="1"/>
    <col min="10766" max="10766" width="0" style="667" hidden="1" customWidth="1"/>
    <col min="10767" max="10767" width="14.5703125" style="667" customWidth="1"/>
    <col min="10768" max="10768" width="11.85546875" style="667" customWidth="1"/>
    <col min="10769" max="11003" width="9.140625" style="667"/>
    <col min="11004" max="11004" width="2.85546875" style="667" customWidth="1"/>
    <col min="11005" max="11005" width="50.7109375" style="667" customWidth="1"/>
    <col min="11006" max="11006" width="9.42578125" style="667" customWidth="1"/>
    <col min="11007" max="11007" width="11.85546875" style="667" customWidth="1"/>
    <col min="11008" max="11008" width="8.42578125" style="667" bestFit="1" customWidth="1"/>
    <col min="11009" max="11011" width="0" style="667" hidden="1" customWidth="1"/>
    <col min="11012" max="11012" width="6" style="667" bestFit="1" customWidth="1"/>
    <col min="11013" max="11013" width="9.5703125" style="667" customWidth="1"/>
    <col min="11014" max="11014" width="9.85546875" style="667" customWidth="1"/>
    <col min="11015" max="11015" width="9.7109375" style="667" customWidth="1"/>
    <col min="11016" max="11016" width="9.5703125" style="667" customWidth="1"/>
    <col min="11017" max="11017" width="9.85546875" style="667" customWidth="1"/>
    <col min="11018" max="11018" width="6.5703125" style="667" customWidth="1"/>
    <col min="11019" max="11019" width="6" style="667" bestFit="1" customWidth="1"/>
    <col min="11020" max="11020" width="6.28515625" style="667" customWidth="1"/>
    <col min="11021" max="11021" width="11.7109375" style="667" customWidth="1"/>
    <col min="11022" max="11022" width="0" style="667" hidden="1" customWidth="1"/>
    <col min="11023" max="11023" width="14.5703125" style="667" customWidth="1"/>
    <col min="11024" max="11024" width="11.85546875" style="667" customWidth="1"/>
    <col min="11025" max="11259" width="9.140625" style="667"/>
    <col min="11260" max="11260" width="2.85546875" style="667" customWidth="1"/>
    <col min="11261" max="11261" width="50.7109375" style="667" customWidth="1"/>
    <col min="11262" max="11262" width="9.42578125" style="667" customWidth="1"/>
    <col min="11263" max="11263" width="11.85546875" style="667" customWidth="1"/>
    <col min="11264" max="11264" width="8.42578125" style="667" bestFit="1" customWidth="1"/>
    <col min="11265" max="11267" width="0" style="667" hidden="1" customWidth="1"/>
    <col min="11268" max="11268" width="6" style="667" bestFit="1" customWidth="1"/>
    <col min="11269" max="11269" width="9.5703125" style="667" customWidth="1"/>
    <col min="11270" max="11270" width="9.85546875" style="667" customWidth="1"/>
    <col min="11271" max="11271" width="9.7109375" style="667" customWidth="1"/>
    <col min="11272" max="11272" width="9.5703125" style="667" customWidth="1"/>
    <col min="11273" max="11273" width="9.85546875" style="667" customWidth="1"/>
    <col min="11274" max="11274" width="6.5703125" style="667" customWidth="1"/>
    <col min="11275" max="11275" width="6" style="667" bestFit="1" customWidth="1"/>
    <col min="11276" max="11276" width="6.28515625" style="667" customWidth="1"/>
    <col min="11277" max="11277" width="11.7109375" style="667" customWidth="1"/>
    <col min="11278" max="11278" width="0" style="667" hidden="1" customWidth="1"/>
    <col min="11279" max="11279" width="14.5703125" style="667" customWidth="1"/>
    <col min="11280" max="11280" width="11.85546875" style="667" customWidth="1"/>
    <col min="11281" max="11515" width="9.140625" style="667"/>
    <col min="11516" max="11516" width="2.85546875" style="667" customWidth="1"/>
    <col min="11517" max="11517" width="50.7109375" style="667" customWidth="1"/>
    <col min="11518" max="11518" width="9.42578125" style="667" customWidth="1"/>
    <col min="11519" max="11519" width="11.85546875" style="667" customWidth="1"/>
    <col min="11520" max="11520" width="8.42578125" style="667" bestFit="1" customWidth="1"/>
    <col min="11521" max="11523" width="0" style="667" hidden="1" customWidth="1"/>
    <col min="11524" max="11524" width="6" style="667" bestFit="1" customWidth="1"/>
    <col min="11525" max="11525" width="9.5703125" style="667" customWidth="1"/>
    <col min="11526" max="11526" width="9.85546875" style="667" customWidth="1"/>
    <col min="11527" max="11527" width="9.7109375" style="667" customWidth="1"/>
    <col min="11528" max="11528" width="9.5703125" style="667" customWidth="1"/>
    <col min="11529" max="11529" width="9.85546875" style="667" customWidth="1"/>
    <col min="11530" max="11530" width="6.5703125" style="667" customWidth="1"/>
    <col min="11531" max="11531" width="6" style="667" bestFit="1" customWidth="1"/>
    <col min="11532" max="11532" width="6.28515625" style="667" customWidth="1"/>
    <col min="11533" max="11533" width="11.7109375" style="667" customWidth="1"/>
    <col min="11534" max="11534" width="0" style="667" hidden="1" customWidth="1"/>
    <col min="11535" max="11535" width="14.5703125" style="667" customWidth="1"/>
    <col min="11536" max="11536" width="11.85546875" style="667" customWidth="1"/>
    <col min="11537" max="11771" width="9.140625" style="667"/>
    <col min="11772" max="11772" width="2.85546875" style="667" customWidth="1"/>
    <col min="11773" max="11773" width="50.7109375" style="667" customWidth="1"/>
    <col min="11774" max="11774" width="9.42578125" style="667" customWidth="1"/>
    <col min="11775" max="11775" width="11.85546875" style="667" customWidth="1"/>
    <col min="11776" max="11776" width="8.42578125" style="667" bestFit="1" customWidth="1"/>
    <col min="11777" max="11779" width="0" style="667" hidden="1" customWidth="1"/>
    <col min="11780" max="11780" width="6" style="667" bestFit="1" customWidth="1"/>
    <col min="11781" max="11781" width="9.5703125" style="667" customWidth="1"/>
    <col min="11782" max="11782" width="9.85546875" style="667" customWidth="1"/>
    <col min="11783" max="11783" width="9.7109375" style="667" customWidth="1"/>
    <col min="11784" max="11784" width="9.5703125" style="667" customWidth="1"/>
    <col min="11785" max="11785" width="9.85546875" style="667" customWidth="1"/>
    <col min="11786" max="11786" width="6.5703125" style="667" customWidth="1"/>
    <col min="11787" max="11787" width="6" style="667" bestFit="1" customWidth="1"/>
    <col min="11788" max="11788" width="6.28515625" style="667" customWidth="1"/>
    <col min="11789" max="11789" width="11.7109375" style="667" customWidth="1"/>
    <col min="11790" max="11790" width="0" style="667" hidden="1" customWidth="1"/>
    <col min="11791" max="11791" width="14.5703125" style="667" customWidth="1"/>
    <col min="11792" max="11792" width="11.85546875" style="667" customWidth="1"/>
    <col min="11793" max="12027" width="9.140625" style="667"/>
    <col min="12028" max="12028" width="2.85546875" style="667" customWidth="1"/>
    <col min="12029" max="12029" width="50.7109375" style="667" customWidth="1"/>
    <col min="12030" max="12030" width="9.42578125" style="667" customWidth="1"/>
    <col min="12031" max="12031" width="11.85546875" style="667" customWidth="1"/>
    <col min="12032" max="12032" width="8.42578125" style="667" bestFit="1" customWidth="1"/>
    <col min="12033" max="12035" width="0" style="667" hidden="1" customWidth="1"/>
    <col min="12036" max="12036" width="6" style="667" bestFit="1" customWidth="1"/>
    <col min="12037" max="12037" width="9.5703125" style="667" customWidth="1"/>
    <col min="12038" max="12038" width="9.85546875" style="667" customWidth="1"/>
    <col min="12039" max="12039" width="9.7109375" style="667" customWidth="1"/>
    <col min="12040" max="12040" width="9.5703125" style="667" customWidth="1"/>
    <col min="12041" max="12041" width="9.85546875" style="667" customWidth="1"/>
    <col min="12042" max="12042" width="6.5703125" style="667" customWidth="1"/>
    <col min="12043" max="12043" width="6" style="667" bestFit="1" customWidth="1"/>
    <col min="12044" max="12044" width="6.28515625" style="667" customWidth="1"/>
    <col min="12045" max="12045" width="11.7109375" style="667" customWidth="1"/>
    <col min="12046" max="12046" width="0" style="667" hidden="1" customWidth="1"/>
    <col min="12047" max="12047" width="14.5703125" style="667" customWidth="1"/>
    <col min="12048" max="12048" width="11.85546875" style="667" customWidth="1"/>
    <col min="12049" max="12283" width="9.140625" style="667"/>
    <col min="12284" max="12284" width="2.85546875" style="667" customWidth="1"/>
    <col min="12285" max="12285" width="50.7109375" style="667" customWidth="1"/>
    <col min="12286" max="12286" width="9.42578125" style="667" customWidth="1"/>
    <col min="12287" max="12287" width="11.85546875" style="667" customWidth="1"/>
    <col min="12288" max="12288" width="8.42578125" style="667" bestFit="1" customWidth="1"/>
    <col min="12289" max="12291" width="0" style="667" hidden="1" customWidth="1"/>
    <col min="12292" max="12292" width="6" style="667" bestFit="1" customWidth="1"/>
    <col min="12293" max="12293" width="9.5703125" style="667" customWidth="1"/>
    <col min="12294" max="12294" width="9.85546875" style="667" customWidth="1"/>
    <col min="12295" max="12295" width="9.7109375" style="667" customWidth="1"/>
    <col min="12296" max="12296" width="9.5703125" style="667" customWidth="1"/>
    <col min="12297" max="12297" width="9.85546875" style="667" customWidth="1"/>
    <col min="12298" max="12298" width="6.5703125" style="667" customWidth="1"/>
    <col min="12299" max="12299" width="6" style="667" bestFit="1" customWidth="1"/>
    <col min="12300" max="12300" width="6.28515625" style="667" customWidth="1"/>
    <col min="12301" max="12301" width="11.7109375" style="667" customWidth="1"/>
    <col min="12302" max="12302" width="0" style="667" hidden="1" customWidth="1"/>
    <col min="12303" max="12303" width="14.5703125" style="667" customWidth="1"/>
    <col min="12304" max="12304" width="11.85546875" style="667" customWidth="1"/>
    <col min="12305" max="12539" width="9.140625" style="667"/>
    <col min="12540" max="12540" width="2.85546875" style="667" customWidth="1"/>
    <col min="12541" max="12541" width="50.7109375" style="667" customWidth="1"/>
    <col min="12542" max="12542" width="9.42578125" style="667" customWidth="1"/>
    <col min="12543" max="12543" width="11.85546875" style="667" customWidth="1"/>
    <col min="12544" max="12544" width="8.42578125" style="667" bestFit="1" customWidth="1"/>
    <col min="12545" max="12547" width="0" style="667" hidden="1" customWidth="1"/>
    <col min="12548" max="12548" width="6" style="667" bestFit="1" customWidth="1"/>
    <col min="12549" max="12549" width="9.5703125" style="667" customWidth="1"/>
    <col min="12550" max="12550" width="9.85546875" style="667" customWidth="1"/>
    <col min="12551" max="12551" width="9.7109375" style="667" customWidth="1"/>
    <col min="12552" max="12552" width="9.5703125" style="667" customWidth="1"/>
    <col min="12553" max="12553" width="9.85546875" style="667" customWidth="1"/>
    <col min="12554" max="12554" width="6.5703125" style="667" customWidth="1"/>
    <col min="12555" max="12555" width="6" style="667" bestFit="1" customWidth="1"/>
    <col min="12556" max="12556" width="6.28515625" style="667" customWidth="1"/>
    <col min="12557" max="12557" width="11.7109375" style="667" customWidth="1"/>
    <col min="12558" max="12558" width="0" style="667" hidden="1" customWidth="1"/>
    <col min="12559" max="12559" width="14.5703125" style="667" customWidth="1"/>
    <col min="12560" max="12560" width="11.85546875" style="667" customWidth="1"/>
    <col min="12561" max="12795" width="9.140625" style="667"/>
    <col min="12796" max="12796" width="2.85546875" style="667" customWidth="1"/>
    <col min="12797" max="12797" width="50.7109375" style="667" customWidth="1"/>
    <col min="12798" max="12798" width="9.42578125" style="667" customWidth="1"/>
    <col min="12799" max="12799" width="11.85546875" style="667" customWidth="1"/>
    <col min="12800" max="12800" width="8.42578125" style="667" bestFit="1" customWidth="1"/>
    <col min="12801" max="12803" width="0" style="667" hidden="1" customWidth="1"/>
    <col min="12804" max="12804" width="6" style="667" bestFit="1" customWidth="1"/>
    <col min="12805" max="12805" width="9.5703125" style="667" customWidth="1"/>
    <col min="12806" max="12806" width="9.85546875" style="667" customWidth="1"/>
    <col min="12807" max="12807" width="9.7109375" style="667" customWidth="1"/>
    <col min="12808" max="12808" width="9.5703125" style="667" customWidth="1"/>
    <col min="12809" max="12809" width="9.85546875" style="667" customWidth="1"/>
    <col min="12810" max="12810" width="6.5703125" style="667" customWidth="1"/>
    <col min="12811" max="12811" width="6" style="667" bestFit="1" customWidth="1"/>
    <col min="12812" max="12812" width="6.28515625" style="667" customWidth="1"/>
    <col min="12813" max="12813" width="11.7109375" style="667" customWidth="1"/>
    <col min="12814" max="12814" width="0" style="667" hidden="1" customWidth="1"/>
    <col min="12815" max="12815" width="14.5703125" style="667" customWidth="1"/>
    <col min="12816" max="12816" width="11.85546875" style="667" customWidth="1"/>
    <col min="12817" max="13051" width="9.140625" style="667"/>
    <col min="13052" max="13052" width="2.85546875" style="667" customWidth="1"/>
    <col min="13053" max="13053" width="50.7109375" style="667" customWidth="1"/>
    <col min="13054" max="13054" width="9.42578125" style="667" customWidth="1"/>
    <col min="13055" max="13055" width="11.85546875" style="667" customWidth="1"/>
    <col min="13056" max="13056" width="8.42578125" style="667" bestFit="1" customWidth="1"/>
    <col min="13057" max="13059" width="0" style="667" hidden="1" customWidth="1"/>
    <col min="13060" max="13060" width="6" style="667" bestFit="1" customWidth="1"/>
    <col min="13061" max="13061" width="9.5703125" style="667" customWidth="1"/>
    <col min="13062" max="13062" width="9.85546875" style="667" customWidth="1"/>
    <col min="13063" max="13063" width="9.7109375" style="667" customWidth="1"/>
    <col min="13064" max="13064" width="9.5703125" style="667" customWidth="1"/>
    <col min="13065" max="13065" width="9.85546875" style="667" customWidth="1"/>
    <col min="13066" max="13066" width="6.5703125" style="667" customWidth="1"/>
    <col min="13067" max="13067" width="6" style="667" bestFit="1" customWidth="1"/>
    <col min="13068" max="13068" width="6.28515625" style="667" customWidth="1"/>
    <col min="13069" max="13069" width="11.7109375" style="667" customWidth="1"/>
    <col min="13070" max="13070" width="0" style="667" hidden="1" customWidth="1"/>
    <col min="13071" max="13071" width="14.5703125" style="667" customWidth="1"/>
    <col min="13072" max="13072" width="11.85546875" style="667" customWidth="1"/>
    <col min="13073" max="13307" width="9.140625" style="667"/>
    <col min="13308" max="13308" width="2.85546875" style="667" customWidth="1"/>
    <col min="13309" max="13309" width="50.7109375" style="667" customWidth="1"/>
    <col min="13310" max="13310" width="9.42578125" style="667" customWidth="1"/>
    <col min="13311" max="13311" width="11.85546875" style="667" customWidth="1"/>
    <col min="13312" max="13312" width="8.42578125" style="667" bestFit="1" customWidth="1"/>
    <col min="13313" max="13315" width="0" style="667" hidden="1" customWidth="1"/>
    <col min="13316" max="13316" width="6" style="667" bestFit="1" customWidth="1"/>
    <col min="13317" max="13317" width="9.5703125" style="667" customWidth="1"/>
    <col min="13318" max="13318" width="9.85546875" style="667" customWidth="1"/>
    <col min="13319" max="13319" width="9.7109375" style="667" customWidth="1"/>
    <col min="13320" max="13320" width="9.5703125" style="667" customWidth="1"/>
    <col min="13321" max="13321" width="9.85546875" style="667" customWidth="1"/>
    <col min="13322" max="13322" width="6.5703125" style="667" customWidth="1"/>
    <col min="13323" max="13323" width="6" style="667" bestFit="1" customWidth="1"/>
    <col min="13324" max="13324" width="6.28515625" style="667" customWidth="1"/>
    <col min="13325" max="13325" width="11.7109375" style="667" customWidth="1"/>
    <col min="13326" max="13326" width="0" style="667" hidden="1" customWidth="1"/>
    <col min="13327" max="13327" width="14.5703125" style="667" customWidth="1"/>
    <col min="13328" max="13328" width="11.85546875" style="667" customWidth="1"/>
    <col min="13329" max="13563" width="9.140625" style="667"/>
    <col min="13564" max="13564" width="2.85546875" style="667" customWidth="1"/>
    <col min="13565" max="13565" width="50.7109375" style="667" customWidth="1"/>
    <col min="13566" max="13566" width="9.42578125" style="667" customWidth="1"/>
    <col min="13567" max="13567" width="11.85546875" style="667" customWidth="1"/>
    <col min="13568" max="13568" width="8.42578125" style="667" bestFit="1" customWidth="1"/>
    <col min="13569" max="13571" width="0" style="667" hidden="1" customWidth="1"/>
    <col min="13572" max="13572" width="6" style="667" bestFit="1" customWidth="1"/>
    <col min="13573" max="13573" width="9.5703125" style="667" customWidth="1"/>
    <col min="13574" max="13574" width="9.85546875" style="667" customWidth="1"/>
    <col min="13575" max="13575" width="9.7109375" style="667" customWidth="1"/>
    <col min="13576" max="13576" width="9.5703125" style="667" customWidth="1"/>
    <col min="13577" max="13577" width="9.85546875" style="667" customWidth="1"/>
    <col min="13578" max="13578" width="6.5703125" style="667" customWidth="1"/>
    <col min="13579" max="13579" width="6" style="667" bestFit="1" customWidth="1"/>
    <col min="13580" max="13580" width="6.28515625" style="667" customWidth="1"/>
    <col min="13581" max="13581" width="11.7109375" style="667" customWidth="1"/>
    <col min="13582" max="13582" width="0" style="667" hidden="1" customWidth="1"/>
    <col min="13583" max="13583" width="14.5703125" style="667" customWidth="1"/>
    <col min="13584" max="13584" width="11.85546875" style="667" customWidth="1"/>
    <col min="13585" max="13819" width="9.140625" style="667"/>
    <col min="13820" max="13820" width="2.85546875" style="667" customWidth="1"/>
    <col min="13821" max="13821" width="50.7109375" style="667" customWidth="1"/>
    <col min="13822" max="13822" width="9.42578125" style="667" customWidth="1"/>
    <col min="13823" max="13823" width="11.85546875" style="667" customWidth="1"/>
    <col min="13824" max="13824" width="8.42578125" style="667" bestFit="1" customWidth="1"/>
    <col min="13825" max="13827" width="0" style="667" hidden="1" customWidth="1"/>
    <col min="13828" max="13828" width="6" style="667" bestFit="1" customWidth="1"/>
    <col min="13829" max="13829" width="9.5703125" style="667" customWidth="1"/>
    <col min="13830" max="13830" width="9.85546875" style="667" customWidth="1"/>
    <col min="13831" max="13831" width="9.7109375" style="667" customWidth="1"/>
    <col min="13832" max="13832" width="9.5703125" style="667" customWidth="1"/>
    <col min="13833" max="13833" width="9.85546875" style="667" customWidth="1"/>
    <col min="13834" max="13834" width="6.5703125" style="667" customWidth="1"/>
    <col min="13835" max="13835" width="6" style="667" bestFit="1" customWidth="1"/>
    <col min="13836" max="13836" width="6.28515625" style="667" customWidth="1"/>
    <col min="13837" max="13837" width="11.7109375" style="667" customWidth="1"/>
    <col min="13838" max="13838" width="0" style="667" hidden="1" customWidth="1"/>
    <col min="13839" max="13839" width="14.5703125" style="667" customWidth="1"/>
    <col min="13840" max="13840" width="11.85546875" style="667" customWidth="1"/>
    <col min="13841" max="14075" width="9.140625" style="667"/>
    <col min="14076" max="14076" width="2.85546875" style="667" customWidth="1"/>
    <col min="14077" max="14077" width="50.7109375" style="667" customWidth="1"/>
    <col min="14078" max="14078" width="9.42578125" style="667" customWidth="1"/>
    <col min="14079" max="14079" width="11.85546875" style="667" customWidth="1"/>
    <col min="14080" max="14080" width="8.42578125" style="667" bestFit="1" customWidth="1"/>
    <col min="14081" max="14083" width="0" style="667" hidden="1" customWidth="1"/>
    <col min="14084" max="14084" width="6" style="667" bestFit="1" customWidth="1"/>
    <col min="14085" max="14085" width="9.5703125" style="667" customWidth="1"/>
    <col min="14086" max="14086" width="9.85546875" style="667" customWidth="1"/>
    <col min="14087" max="14087" width="9.7109375" style="667" customWidth="1"/>
    <col min="14088" max="14088" width="9.5703125" style="667" customWidth="1"/>
    <col min="14089" max="14089" width="9.85546875" style="667" customWidth="1"/>
    <col min="14090" max="14090" width="6.5703125" style="667" customWidth="1"/>
    <col min="14091" max="14091" width="6" style="667" bestFit="1" customWidth="1"/>
    <col min="14092" max="14092" width="6.28515625" style="667" customWidth="1"/>
    <col min="14093" max="14093" width="11.7109375" style="667" customWidth="1"/>
    <col min="14094" max="14094" width="0" style="667" hidden="1" customWidth="1"/>
    <col min="14095" max="14095" width="14.5703125" style="667" customWidth="1"/>
    <col min="14096" max="14096" width="11.85546875" style="667" customWidth="1"/>
    <col min="14097" max="14331" width="9.140625" style="667"/>
    <col min="14332" max="14332" width="2.85546875" style="667" customWidth="1"/>
    <col min="14333" max="14333" width="50.7109375" style="667" customWidth="1"/>
    <col min="14334" max="14334" width="9.42578125" style="667" customWidth="1"/>
    <col min="14335" max="14335" width="11.85546875" style="667" customWidth="1"/>
    <col min="14336" max="14336" width="8.42578125" style="667" bestFit="1" customWidth="1"/>
    <col min="14337" max="14339" width="0" style="667" hidden="1" customWidth="1"/>
    <col min="14340" max="14340" width="6" style="667" bestFit="1" customWidth="1"/>
    <col min="14341" max="14341" width="9.5703125" style="667" customWidth="1"/>
    <col min="14342" max="14342" width="9.85546875" style="667" customWidth="1"/>
    <col min="14343" max="14343" width="9.7109375" style="667" customWidth="1"/>
    <col min="14344" max="14344" width="9.5703125" style="667" customWidth="1"/>
    <col min="14345" max="14345" width="9.85546875" style="667" customWidth="1"/>
    <col min="14346" max="14346" width="6.5703125" style="667" customWidth="1"/>
    <col min="14347" max="14347" width="6" style="667" bestFit="1" customWidth="1"/>
    <col min="14348" max="14348" width="6.28515625" style="667" customWidth="1"/>
    <col min="14349" max="14349" width="11.7109375" style="667" customWidth="1"/>
    <col min="14350" max="14350" width="0" style="667" hidden="1" customWidth="1"/>
    <col min="14351" max="14351" width="14.5703125" style="667" customWidth="1"/>
    <col min="14352" max="14352" width="11.85546875" style="667" customWidth="1"/>
    <col min="14353" max="14587" width="9.140625" style="667"/>
    <col min="14588" max="14588" width="2.85546875" style="667" customWidth="1"/>
    <col min="14589" max="14589" width="50.7109375" style="667" customWidth="1"/>
    <col min="14590" max="14590" width="9.42578125" style="667" customWidth="1"/>
    <col min="14591" max="14591" width="11.85546875" style="667" customWidth="1"/>
    <col min="14592" max="14592" width="8.42578125" style="667" bestFit="1" customWidth="1"/>
    <col min="14593" max="14595" width="0" style="667" hidden="1" customWidth="1"/>
    <col min="14596" max="14596" width="6" style="667" bestFit="1" customWidth="1"/>
    <col min="14597" max="14597" width="9.5703125" style="667" customWidth="1"/>
    <col min="14598" max="14598" width="9.85546875" style="667" customWidth="1"/>
    <col min="14599" max="14599" width="9.7109375" style="667" customWidth="1"/>
    <col min="14600" max="14600" width="9.5703125" style="667" customWidth="1"/>
    <col min="14601" max="14601" width="9.85546875" style="667" customWidth="1"/>
    <col min="14602" max="14602" width="6.5703125" style="667" customWidth="1"/>
    <col min="14603" max="14603" width="6" style="667" bestFit="1" customWidth="1"/>
    <col min="14604" max="14604" width="6.28515625" style="667" customWidth="1"/>
    <col min="14605" max="14605" width="11.7109375" style="667" customWidth="1"/>
    <col min="14606" max="14606" width="0" style="667" hidden="1" customWidth="1"/>
    <col min="14607" max="14607" width="14.5703125" style="667" customWidth="1"/>
    <col min="14608" max="14608" width="11.85546875" style="667" customWidth="1"/>
    <col min="14609" max="14843" width="9.140625" style="667"/>
    <col min="14844" max="14844" width="2.85546875" style="667" customWidth="1"/>
    <col min="14845" max="14845" width="50.7109375" style="667" customWidth="1"/>
    <col min="14846" max="14846" width="9.42578125" style="667" customWidth="1"/>
    <col min="14847" max="14847" width="11.85546875" style="667" customWidth="1"/>
    <col min="14848" max="14848" width="8.42578125" style="667" bestFit="1" customWidth="1"/>
    <col min="14849" max="14851" width="0" style="667" hidden="1" customWidth="1"/>
    <col min="14852" max="14852" width="6" style="667" bestFit="1" customWidth="1"/>
    <col min="14853" max="14853" width="9.5703125" style="667" customWidth="1"/>
    <col min="14854" max="14854" width="9.85546875" style="667" customWidth="1"/>
    <col min="14855" max="14855" width="9.7109375" style="667" customWidth="1"/>
    <col min="14856" max="14856" width="9.5703125" style="667" customWidth="1"/>
    <col min="14857" max="14857" width="9.85546875" style="667" customWidth="1"/>
    <col min="14858" max="14858" width="6.5703125" style="667" customWidth="1"/>
    <col min="14859" max="14859" width="6" style="667" bestFit="1" customWidth="1"/>
    <col min="14860" max="14860" width="6.28515625" style="667" customWidth="1"/>
    <col min="14861" max="14861" width="11.7109375" style="667" customWidth="1"/>
    <col min="14862" max="14862" width="0" style="667" hidden="1" customWidth="1"/>
    <col min="14863" max="14863" width="14.5703125" style="667" customWidth="1"/>
    <col min="14864" max="14864" width="11.85546875" style="667" customWidth="1"/>
    <col min="14865" max="15099" width="9.140625" style="667"/>
    <col min="15100" max="15100" width="2.85546875" style="667" customWidth="1"/>
    <col min="15101" max="15101" width="50.7109375" style="667" customWidth="1"/>
    <col min="15102" max="15102" width="9.42578125" style="667" customWidth="1"/>
    <col min="15103" max="15103" width="11.85546875" style="667" customWidth="1"/>
    <col min="15104" max="15104" width="8.42578125" style="667" bestFit="1" customWidth="1"/>
    <col min="15105" max="15107" width="0" style="667" hidden="1" customWidth="1"/>
    <col min="15108" max="15108" width="6" style="667" bestFit="1" customWidth="1"/>
    <col min="15109" max="15109" width="9.5703125" style="667" customWidth="1"/>
    <col min="15110" max="15110" width="9.85546875" style="667" customWidth="1"/>
    <col min="15111" max="15111" width="9.7109375" style="667" customWidth="1"/>
    <col min="15112" max="15112" width="9.5703125" style="667" customWidth="1"/>
    <col min="15113" max="15113" width="9.85546875" style="667" customWidth="1"/>
    <col min="15114" max="15114" width="6.5703125" style="667" customWidth="1"/>
    <col min="15115" max="15115" width="6" style="667" bestFit="1" customWidth="1"/>
    <col min="15116" max="15116" width="6.28515625" style="667" customWidth="1"/>
    <col min="15117" max="15117" width="11.7109375" style="667" customWidth="1"/>
    <col min="15118" max="15118" width="0" style="667" hidden="1" customWidth="1"/>
    <col min="15119" max="15119" width="14.5703125" style="667" customWidth="1"/>
    <col min="15120" max="15120" width="11.85546875" style="667" customWidth="1"/>
    <col min="15121" max="15355" width="9.140625" style="667"/>
    <col min="15356" max="15356" width="2.85546875" style="667" customWidth="1"/>
    <col min="15357" max="15357" width="50.7109375" style="667" customWidth="1"/>
    <col min="15358" max="15358" width="9.42578125" style="667" customWidth="1"/>
    <col min="15359" max="15359" width="11.85546875" style="667" customWidth="1"/>
    <col min="15360" max="15360" width="8.42578125" style="667" bestFit="1" customWidth="1"/>
    <col min="15361" max="15363" width="0" style="667" hidden="1" customWidth="1"/>
    <col min="15364" max="15364" width="6" style="667" bestFit="1" customWidth="1"/>
    <col min="15365" max="15365" width="9.5703125" style="667" customWidth="1"/>
    <col min="15366" max="15366" width="9.85546875" style="667" customWidth="1"/>
    <col min="15367" max="15367" width="9.7109375" style="667" customWidth="1"/>
    <col min="15368" max="15368" width="9.5703125" style="667" customWidth="1"/>
    <col min="15369" max="15369" width="9.85546875" style="667" customWidth="1"/>
    <col min="15370" max="15370" width="6.5703125" style="667" customWidth="1"/>
    <col min="15371" max="15371" width="6" style="667" bestFit="1" customWidth="1"/>
    <col min="15372" max="15372" width="6.28515625" style="667" customWidth="1"/>
    <col min="15373" max="15373" width="11.7109375" style="667" customWidth="1"/>
    <col min="15374" max="15374" width="0" style="667" hidden="1" customWidth="1"/>
    <col min="15375" max="15375" width="14.5703125" style="667" customWidth="1"/>
    <col min="15376" max="15376" width="11.85546875" style="667" customWidth="1"/>
    <col min="15377" max="15611" width="9.140625" style="667"/>
    <col min="15612" max="15612" width="2.85546875" style="667" customWidth="1"/>
    <col min="15613" max="15613" width="50.7109375" style="667" customWidth="1"/>
    <col min="15614" max="15614" width="9.42578125" style="667" customWidth="1"/>
    <col min="15615" max="15615" width="11.85546875" style="667" customWidth="1"/>
    <col min="15616" max="15616" width="8.42578125" style="667" bestFit="1" customWidth="1"/>
    <col min="15617" max="15619" width="0" style="667" hidden="1" customWidth="1"/>
    <col min="15620" max="15620" width="6" style="667" bestFit="1" customWidth="1"/>
    <col min="15621" max="15621" width="9.5703125" style="667" customWidth="1"/>
    <col min="15622" max="15622" width="9.85546875" style="667" customWidth="1"/>
    <col min="15623" max="15623" width="9.7109375" style="667" customWidth="1"/>
    <col min="15624" max="15624" width="9.5703125" style="667" customWidth="1"/>
    <col min="15625" max="15625" width="9.85546875" style="667" customWidth="1"/>
    <col min="15626" max="15626" width="6.5703125" style="667" customWidth="1"/>
    <col min="15627" max="15627" width="6" style="667" bestFit="1" customWidth="1"/>
    <col min="15628" max="15628" width="6.28515625" style="667" customWidth="1"/>
    <col min="15629" max="15629" width="11.7109375" style="667" customWidth="1"/>
    <col min="15630" max="15630" width="0" style="667" hidden="1" customWidth="1"/>
    <col min="15631" max="15631" width="14.5703125" style="667" customWidth="1"/>
    <col min="15632" max="15632" width="11.85546875" style="667" customWidth="1"/>
    <col min="15633" max="15867" width="9.140625" style="667"/>
    <col min="15868" max="15868" width="2.85546875" style="667" customWidth="1"/>
    <col min="15869" max="15869" width="50.7109375" style="667" customWidth="1"/>
    <col min="15870" max="15870" width="9.42578125" style="667" customWidth="1"/>
    <col min="15871" max="15871" width="11.85546875" style="667" customWidth="1"/>
    <col min="15872" max="15872" width="8.42578125" style="667" bestFit="1" customWidth="1"/>
    <col min="15873" max="15875" width="0" style="667" hidden="1" customWidth="1"/>
    <col min="15876" max="15876" width="6" style="667" bestFit="1" customWidth="1"/>
    <col min="15877" max="15877" width="9.5703125" style="667" customWidth="1"/>
    <col min="15878" max="15878" width="9.85546875" style="667" customWidth="1"/>
    <col min="15879" max="15879" width="9.7109375" style="667" customWidth="1"/>
    <col min="15880" max="15880" width="9.5703125" style="667" customWidth="1"/>
    <col min="15881" max="15881" width="9.85546875" style="667" customWidth="1"/>
    <col min="15882" max="15882" width="6.5703125" style="667" customWidth="1"/>
    <col min="15883" max="15883" width="6" style="667" bestFit="1" customWidth="1"/>
    <col min="15884" max="15884" width="6.28515625" style="667" customWidth="1"/>
    <col min="15885" max="15885" width="11.7109375" style="667" customWidth="1"/>
    <col min="15886" max="15886" width="0" style="667" hidden="1" customWidth="1"/>
    <col min="15887" max="15887" width="14.5703125" style="667" customWidth="1"/>
    <col min="15888" max="15888" width="11.85546875" style="667" customWidth="1"/>
    <col min="15889" max="16123" width="9.140625" style="667"/>
    <col min="16124" max="16124" width="2.85546875" style="667" customWidth="1"/>
    <col min="16125" max="16125" width="50.7109375" style="667" customWidth="1"/>
    <col min="16126" max="16126" width="9.42578125" style="667" customWidth="1"/>
    <col min="16127" max="16127" width="11.85546875" style="667" customWidth="1"/>
    <col min="16128" max="16128" width="8.42578125" style="667" bestFit="1" customWidth="1"/>
    <col min="16129" max="16131" width="0" style="667" hidden="1" customWidth="1"/>
    <col min="16132" max="16132" width="6" style="667" bestFit="1" customWidth="1"/>
    <col min="16133" max="16133" width="9.5703125" style="667" customWidth="1"/>
    <col min="16134" max="16134" width="9.85546875" style="667" customWidth="1"/>
    <col min="16135" max="16135" width="9.7109375" style="667" customWidth="1"/>
    <col min="16136" max="16136" width="9.5703125" style="667" customWidth="1"/>
    <col min="16137" max="16137" width="9.85546875" style="667" customWidth="1"/>
    <col min="16138" max="16138" width="6.5703125" style="667" customWidth="1"/>
    <col min="16139" max="16139" width="6" style="667" bestFit="1" customWidth="1"/>
    <col min="16140" max="16140" width="6.28515625" style="667" customWidth="1"/>
    <col min="16141" max="16141" width="11.7109375" style="667" customWidth="1"/>
    <col min="16142" max="16142" width="0" style="667" hidden="1" customWidth="1"/>
    <col min="16143" max="16143" width="14.5703125" style="667" customWidth="1"/>
    <col min="16144" max="16144" width="11.85546875" style="667" customWidth="1"/>
    <col min="16145" max="16384" width="9.140625" style="667"/>
  </cols>
  <sheetData>
    <row r="1" spans="1:16" ht="15" customHeight="1">
      <c r="H1" s="867" t="s">
        <v>478</v>
      </c>
      <c r="M1" s="653"/>
      <c r="N1" s="653"/>
      <c r="O1" s="654"/>
    </row>
    <row r="2" spans="1:16" ht="2.25" customHeight="1">
      <c r="M2" s="653"/>
      <c r="N2" s="653"/>
      <c r="O2" s="654"/>
    </row>
    <row r="3" spans="1:16" ht="6.75" customHeight="1">
      <c r="M3" s="653"/>
      <c r="N3" s="653"/>
      <c r="O3" s="654"/>
    </row>
    <row r="4" spans="1:16" ht="36" customHeight="1" thickBot="1">
      <c r="A4" s="3465" t="s">
        <v>179</v>
      </c>
      <c r="B4" s="3465"/>
      <c r="C4" s="3465"/>
      <c r="D4" s="3465"/>
      <c r="E4" s="3465"/>
      <c r="F4" s="3465"/>
      <c r="G4" s="3465"/>
      <c r="H4" s="3465"/>
      <c r="I4" s="3465"/>
      <c r="J4" s="3465"/>
      <c r="K4" s="3465"/>
      <c r="L4" s="3465"/>
      <c r="M4" s="3465"/>
      <c r="N4" s="3465"/>
      <c r="O4" s="3465"/>
    </row>
    <row r="5" spans="1:16" ht="62.25" customHeight="1">
      <c r="A5" s="868"/>
      <c r="B5" s="3466" t="s">
        <v>75</v>
      </c>
      <c r="C5" s="2976" t="s">
        <v>71</v>
      </c>
      <c r="D5" s="3162" t="s">
        <v>118</v>
      </c>
      <c r="E5" s="1914" t="s">
        <v>240</v>
      </c>
      <c r="F5" s="2861" t="s">
        <v>461</v>
      </c>
      <c r="G5" s="2993" t="s">
        <v>456</v>
      </c>
      <c r="H5" s="2994"/>
      <c r="I5" s="2994"/>
      <c r="J5" s="2994"/>
      <c r="K5" s="2994"/>
      <c r="L5" s="2995"/>
      <c r="M5" s="3364" t="s">
        <v>481</v>
      </c>
      <c r="N5" s="3364" t="s">
        <v>462</v>
      </c>
      <c r="O5" s="3170" t="s">
        <v>73</v>
      </c>
    </row>
    <row r="6" spans="1:16" ht="18.75" customHeight="1" thickBot="1">
      <c r="A6" s="869"/>
      <c r="B6" s="3467"/>
      <c r="C6" s="3468"/>
      <c r="D6" s="3446"/>
      <c r="E6" s="1031" t="s">
        <v>434</v>
      </c>
      <c r="F6" s="2863"/>
      <c r="G6" s="2525" t="s">
        <v>6</v>
      </c>
      <c r="H6" s="333" t="s">
        <v>184</v>
      </c>
      <c r="I6" s="333" t="s">
        <v>185</v>
      </c>
      <c r="J6" s="333" t="s">
        <v>232</v>
      </c>
      <c r="K6" s="333" t="s">
        <v>233</v>
      </c>
      <c r="L6" s="333" t="s">
        <v>234</v>
      </c>
      <c r="M6" s="3462"/>
      <c r="N6" s="3462"/>
      <c r="O6" s="3172"/>
    </row>
    <row r="7" spans="1:16" ht="15" customHeight="1" thickBot="1">
      <c r="A7" s="1137">
        <v>1</v>
      </c>
      <c r="B7" s="1138">
        <v>2</v>
      </c>
      <c r="C7" s="1139" t="s">
        <v>119</v>
      </c>
      <c r="D7" s="1139" t="s">
        <v>120</v>
      </c>
      <c r="E7" s="1139">
        <v>5</v>
      </c>
      <c r="F7" s="1139">
        <v>6</v>
      </c>
      <c r="G7" s="1139">
        <v>7</v>
      </c>
      <c r="H7" s="1139">
        <v>8</v>
      </c>
      <c r="I7" s="1139">
        <v>9</v>
      </c>
      <c r="J7" s="1139">
        <v>10</v>
      </c>
      <c r="K7" s="1139">
        <v>11</v>
      </c>
      <c r="L7" s="1139">
        <v>12</v>
      </c>
      <c r="M7" s="1140">
        <v>13</v>
      </c>
      <c r="N7" s="1140">
        <v>13</v>
      </c>
      <c r="O7" s="1141">
        <v>14</v>
      </c>
    </row>
    <row r="8" spans="1:16" s="871" customFormat="1" ht="15.75" customHeight="1">
      <c r="A8" s="662"/>
      <c r="B8" s="240" t="s">
        <v>76</v>
      </c>
      <c r="C8" s="214"/>
      <c r="D8" s="1032">
        <f>+D9+D10</f>
        <v>2254391</v>
      </c>
      <c r="E8" s="215">
        <f t="shared" ref="E8" si="0">+E9+E10</f>
        <v>438262</v>
      </c>
      <c r="F8" s="215">
        <f t="shared" ref="F8" si="1">+F9+F10</f>
        <v>760062</v>
      </c>
      <c r="G8" s="215">
        <f t="shared" ref="G8:N8" si="2">+G9+G10</f>
        <v>783977</v>
      </c>
      <c r="H8" s="215">
        <f t="shared" si="2"/>
        <v>145187</v>
      </c>
      <c r="I8" s="215">
        <f t="shared" si="2"/>
        <v>126903</v>
      </c>
      <c r="J8" s="215">
        <f t="shared" si="2"/>
        <v>0</v>
      </c>
      <c r="K8" s="215">
        <f t="shared" si="2"/>
        <v>0</v>
      </c>
      <c r="L8" s="215">
        <f t="shared" si="2"/>
        <v>0</v>
      </c>
      <c r="M8" s="153">
        <f t="shared" ref="M8" si="3">+M9+M10</f>
        <v>2254391</v>
      </c>
      <c r="N8" s="153">
        <f t="shared" si="2"/>
        <v>1816129</v>
      </c>
      <c r="O8" s="834"/>
      <c r="P8" s="870"/>
    </row>
    <row r="9" spans="1:16" s="871" customFormat="1" ht="13.5" customHeight="1">
      <c r="A9" s="662"/>
      <c r="B9" s="229" t="s">
        <v>77</v>
      </c>
      <c r="C9" s="217"/>
      <c r="D9" s="1025">
        <f>+D25+D34+D54</f>
        <v>2246830</v>
      </c>
      <c r="E9" s="218">
        <f t="shared" ref="E9" si="4">+E25+E34+E54</f>
        <v>438262</v>
      </c>
      <c r="F9" s="218">
        <f t="shared" ref="F9:I9" si="5">+F25+F34+F54</f>
        <v>752501</v>
      </c>
      <c r="G9" s="218">
        <f t="shared" si="5"/>
        <v>783977</v>
      </c>
      <c r="H9" s="218">
        <f t="shared" si="5"/>
        <v>145187</v>
      </c>
      <c r="I9" s="218">
        <f t="shared" si="5"/>
        <v>126903</v>
      </c>
      <c r="J9" s="218">
        <f>+J25+J34+J55</f>
        <v>0</v>
      </c>
      <c r="K9" s="218">
        <f>+K25+K34+K55</f>
        <v>0</v>
      </c>
      <c r="L9" s="218">
        <f>+L25+L34+L55</f>
        <v>0</v>
      </c>
      <c r="M9" s="655">
        <f>SUM(E9:K9)</f>
        <v>2246830</v>
      </c>
      <c r="N9" s="655">
        <f>SUM(F9:L9)</f>
        <v>1808568</v>
      </c>
      <c r="O9" s="834"/>
    </row>
    <row r="10" spans="1:16" s="871" customFormat="1" ht="13.5" customHeight="1" thickBot="1">
      <c r="A10" s="662"/>
      <c r="B10" s="872" t="s">
        <v>9</v>
      </c>
      <c r="C10" s="873"/>
      <c r="D10" s="1033">
        <f>D43+D72</f>
        <v>7561</v>
      </c>
      <c r="E10" s="874">
        <f>E43+E72</f>
        <v>0</v>
      </c>
      <c r="F10" s="874">
        <f>F43+F72</f>
        <v>7561</v>
      </c>
      <c r="G10" s="874">
        <f t="shared" ref="G10:L10" si="6">G43+G72</f>
        <v>0</v>
      </c>
      <c r="H10" s="874">
        <f t="shared" si="6"/>
        <v>0</v>
      </c>
      <c r="I10" s="874">
        <f t="shared" si="6"/>
        <v>0</v>
      </c>
      <c r="J10" s="874">
        <f t="shared" si="6"/>
        <v>0</v>
      </c>
      <c r="K10" s="874">
        <f t="shared" si="6"/>
        <v>0</v>
      </c>
      <c r="L10" s="874">
        <f t="shared" si="6"/>
        <v>0</v>
      </c>
      <c r="M10" s="155">
        <f>SUM(E10:K10)</f>
        <v>7561</v>
      </c>
      <c r="N10" s="155">
        <f>SUM(F10:L10)</f>
        <v>7561</v>
      </c>
      <c r="O10" s="834"/>
    </row>
    <row r="11" spans="1:16" ht="14.25" customHeight="1">
      <c r="A11" s="662"/>
      <c r="B11" s="95" t="s">
        <v>10</v>
      </c>
      <c r="C11" s="92"/>
      <c r="D11" s="121">
        <f>D12+D15</f>
        <v>2254391</v>
      </c>
      <c r="E11" s="121">
        <f t="shared" ref="E11" si="7">E12+E15</f>
        <v>438262</v>
      </c>
      <c r="F11" s="121">
        <f t="shared" ref="F11:L11" si="8">F12+F15</f>
        <v>760062</v>
      </c>
      <c r="G11" s="121">
        <f t="shared" si="8"/>
        <v>783977</v>
      </c>
      <c r="H11" s="121">
        <f t="shared" si="8"/>
        <v>145187</v>
      </c>
      <c r="I11" s="121">
        <f t="shared" si="8"/>
        <v>126903</v>
      </c>
      <c r="J11" s="121">
        <f t="shared" si="8"/>
        <v>0</v>
      </c>
      <c r="K11" s="121">
        <f t="shared" si="8"/>
        <v>0</v>
      </c>
      <c r="L11" s="121">
        <f t="shared" si="8"/>
        <v>0</v>
      </c>
      <c r="M11" s="559">
        <f>+M12+M15</f>
        <v>2254391</v>
      </c>
      <c r="N11" s="559">
        <f>+N12+N15</f>
        <v>1816129</v>
      </c>
      <c r="O11" s="836"/>
    </row>
    <row r="12" spans="1:16" ht="13.5" customHeight="1">
      <c r="A12" s="662"/>
      <c r="B12" s="875" t="s">
        <v>24</v>
      </c>
      <c r="C12" s="876"/>
      <c r="D12" s="877">
        <f>+D13+D14</f>
        <v>378022</v>
      </c>
      <c r="E12" s="877">
        <f t="shared" ref="E12" si="9">+E13+E14</f>
        <v>73925</v>
      </c>
      <c r="F12" s="877">
        <f t="shared" ref="F12:L12" si="10">+F13+F14</f>
        <v>124262</v>
      </c>
      <c r="G12" s="877">
        <f t="shared" si="10"/>
        <v>124824</v>
      </c>
      <c r="H12" s="877">
        <f t="shared" si="10"/>
        <v>28877</v>
      </c>
      <c r="I12" s="877">
        <f t="shared" si="10"/>
        <v>26134</v>
      </c>
      <c r="J12" s="877">
        <f t="shared" si="10"/>
        <v>0</v>
      </c>
      <c r="K12" s="877">
        <f t="shared" si="10"/>
        <v>0</v>
      </c>
      <c r="L12" s="877">
        <f t="shared" si="10"/>
        <v>0</v>
      </c>
      <c r="M12" s="878">
        <f>+M13+M14</f>
        <v>378022</v>
      </c>
      <c r="N12" s="878">
        <f>+N13+N14</f>
        <v>304097</v>
      </c>
      <c r="O12" s="838"/>
    </row>
    <row r="13" spans="1:16" ht="12">
      <c r="A13" s="662"/>
      <c r="B13" s="879" t="s">
        <v>12</v>
      </c>
      <c r="C13" s="880"/>
      <c r="D13" s="664">
        <f>D27+D36+D60</f>
        <v>278625</v>
      </c>
      <c r="E13" s="664">
        <f t="shared" ref="E13" si="11">E27+E36+E60</f>
        <v>51859</v>
      </c>
      <c r="F13" s="664">
        <f t="shared" ref="F13:L13" si="12">F27+F36+F60</f>
        <v>98890</v>
      </c>
      <c r="G13" s="664">
        <f t="shared" si="12"/>
        <v>107505</v>
      </c>
      <c r="H13" s="664">
        <f t="shared" si="12"/>
        <v>11557</v>
      </c>
      <c r="I13" s="664">
        <f t="shared" si="12"/>
        <v>8814</v>
      </c>
      <c r="J13" s="664">
        <f t="shared" si="12"/>
        <v>0</v>
      </c>
      <c r="K13" s="664">
        <f t="shared" si="12"/>
        <v>0</v>
      </c>
      <c r="L13" s="664">
        <f t="shared" si="12"/>
        <v>0</v>
      </c>
      <c r="M13" s="648">
        <f>SUM(E13:K13)</f>
        <v>278625</v>
      </c>
      <c r="N13" s="648">
        <f>SUM(F13:L13)</f>
        <v>226766</v>
      </c>
      <c r="O13" s="838"/>
    </row>
    <row r="14" spans="1:16" ht="12">
      <c r="A14" s="662"/>
      <c r="B14" s="879" t="s">
        <v>13</v>
      </c>
      <c r="C14" s="880"/>
      <c r="D14" s="881">
        <f>+D56+D74</f>
        <v>99397</v>
      </c>
      <c r="E14" s="881">
        <f>+E56+E74</f>
        <v>22066</v>
      </c>
      <c r="F14" s="881">
        <f>+F56+F74</f>
        <v>25372</v>
      </c>
      <c r="G14" s="881">
        <f t="shared" ref="G14:I14" si="13">+G56+G74</f>
        <v>17319</v>
      </c>
      <c r="H14" s="881">
        <f t="shared" si="13"/>
        <v>17320</v>
      </c>
      <c r="I14" s="881">
        <f t="shared" si="13"/>
        <v>17320</v>
      </c>
      <c r="J14" s="881">
        <f t="shared" ref="J14:L14" si="14">+J56</f>
        <v>0</v>
      </c>
      <c r="K14" s="881">
        <f t="shared" si="14"/>
        <v>0</v>
      </c>
      <c r="L14" s="881">
        <f t="shared" si="14"/>
        <v>0</v>
      </c>
      <c r="M14" s="648">
        <f>SUM(E14:K14)</f>
        <v>99397</v>
      </c>
      <c r="N14" s="648">
        <f>SUM(F14:L14)</f>
        <v>77331</v>
      </c>
      <c r="O14" s="838"/>
    </row>
    <row r="15" spans="1:16" ht="13.5" customHeight="1">
      <c r="A15" s="662"/>
      <c r="B15" s="882" t="s">
        <v>18</v>
      </c>
      <c r="C15" s="883"/>
      <c r="D15" s="877">
        <f>+D16+D17</f>
        <v>1876369</v>
      </c>
      <c r="E15" s="877">
        <f t="shared" ref="E15" si="15">+E16+E17</f>
        <v>364337</v>
      </c>
      <c r="F15" s="877">
        <f t="shared" ref="F15:L15" si="16">+F16+F17</f>
        <v>635800</v>
      </c>
      <c r="G15" s="877">
        <f t="shared" si="16"/>
        <v>659153</v>
      </c>
      <c r="H15" s="877">
        <f t="shared" si="16"/>
        <v>116310</v>
      </c>
      <c r="I15" s="877">
        <f t="shared" si="16"/>
        <v>100769</v>
      </c>
      <c r="J15" s="877">
        <f t="shared" si="16"/>
        <v>0</v>
      </c>
      <c r="K15" s="877">
        <f t="shared" si="16"/>
        <v>0</v>
      </c>
      <c r="L15" s="877">
        <f t="shared" si="16"/>
        <v>0</v>
      </c>
      <c r="M15" s="647">
        <f>+M16+M17</f>
        <v>1876369</v>
      </c>
      <c r="N15" s="647">
        <f>+N16+N17</f>
        <v>1512032</v>
      </c>
      <c r="O15" s="838"/>
    </row>
    <row r="16" spans="1:16" ht="13.5" hidden="1" customHeight="1">
      <c r="A16" s="662"/>
      <c r="B16" s="879" t="s">
        <v>21</v>
      </c>
      <c r="C16" s="884"/>
      <c r="D16" s="656"/>
      <c r="E16" s="656"/>
      <c r="F16" s="656"/>
      <c r="G16" s="656"/>
      <c r="H16" s="656"/>
      <c r="I16" s="656"/>
      <c r="J16" s="656"/>
      <c r="K16" s="656"/>
      <c r="L16" s="656"/>
      <c r="M16" s="648">
        <f>SUM(E16:K16)</f>
        <v>0</v>
      </c>
      <c r="N16" s="648">
        <f>SUM(F16:L16)</f>
        <v>0</v>
      </c>
      <c r="O16" s="838"/>
    </row>
    <row r="17" spans="1:17" ht="12.75" customHeight="1">
      <c r="A17" s="662"/>
      <c r="B17" s="657" t="s">
        <v>20</v>
      </c>
      <c r="C17" s="884"/>
      <c r="D17" s="656">
        <f>+D29+D38+D62+D76</f>
        <v>1876369</v>
      </c>
      <c r="E17" s="656">
        <f>+E29+E38+E62+E76</f>
        <v>364337</v>
      </c>
      <c r="F17" s="656">
        <f>+F29+F38+F62+F76</f>
        <v>635800</v>
      </c>
      <c r="G17" s="656">
        <f t="shared" ref="G17:I17" si="17">+G29+G38+G62+G76</f>
        <v>659153</v>
      </c>
      <c r="H17" s="656">
        <f t="shared" si="17"/>
        <v>116310</v>
      </c>
      <c r="I17" s="656">
        <f t="shared" si="17"/>
        <v>100769</v>
      </c>
      <c r="J17" s="656">
        <f t="shared" ref="J17:L17" si="18">+J29+J38+J62</f>
        <v>0</v>
      </c>
      <c r="K17" s="656">
        <f t="shared" si="18"/>
        <v>0</v>
      </c>
      <c r="L17" s="656">
        <f t="shared" si="18"/>
        <v>0</v>
      </c>
      <c r="M17" s="648">
        <f>SUM(E17:K17)</f>
        <v>1876369</v>
      </c>
      <c r="N17" s="648">
        <f>SUM(F17:L17)</f>
        <v>1512032</v>
      </c>
      <c r="O17" s="838"/>
    </row>
    <row r="18" spans="1:17" ht="15" customHeight="1">
      <c r="A18" s="662"/>
      <c r="B18" s="83" t="s">
        <v>22</v>
      </c>
      <c r="C18" s="574"/>
      <c r="D18" s="658">
        <f>D21+D19</f>
        <v>1975766</v>
      </c>
      <c r="E18" s="658">
        <f>E21+E20</f>
        <v>0</v>
      </c>
      <c r="F18" s="658">
        <f>F21+F20</f>
        <v>406577</v>
      </c>
      <c r="G18" s="658">
        <f t="shared" ref="G18:L18" si="19">G21+G20</f>
        <v>719266</v>
      </c>
      <c r="H18" s="658">
        <f t="shared" si="19"/>
        <v>619162</v>
      </c>
      <c r="I18" s="658">
        <f t="shared" si="19"/>
        <v>131451</v>
      </c>
      <c r="J18" s="658">
        <f t="shared" si="19"/>
        <v>99310</v>
      </c>
      <c r="K18" s="658">
        <f t="shared" si="19"/>
        <v>0</v>
      </c>
      <c r="L18" s="658">
        <f t="shared" si="19"/>
        <v>0</v>
      </c>
      <c r="M18" s="3463" t="s">
        <v>61</v>
      </c>
      <c r="N18" s="3463" t="s">
        <v>61</v>
      </c>
      <c r="O18" s="665"/>
      <c r="P18" s="666"/>
    </row>
    <row r="19" spans="1:17" ht="12">
      <c r="A19" s="662"/>
      <c r="B19" s="659" t="s">
        <v>12</v>
      </c>
      <c r="C19" s="660"/>
      <c r="D19" s="661">
        <f>+D20</f>
        <v>99397</v>
      </c>
      <c r="E19" s="661">
        <f t="shared" ref="E19:L19" si="20">+E20</f>
        <v>0</v>
      </c>
      <c r="F19" s="661">
        <f t="shared" si="20"/>
        <v>28409</v>
      </c>
      <c r="G19" s="661">
        <f t="shared" si="20"/>
        <v>23359</v>
      </c>
      <c r="H19" s="661">
        <f t="shared" si="20"/>
        <v>17319</v>
      </c>
      <c r="I19" s="661">
        <f t="shared" si="20"/>
        <v>17320</v>
      </c>
      <c r="J19" s="661">
        <f t="shared" si="20"/>
        <v>12990</v>
      </c>
      <c r="K19" s="661">
        <f t="shared" si="20"/>
        <v>0</v>
      </c>
      <c r="L19" s="661">
        <f t="shared" si="20"/>
        <v>0</v>
      </c>
      <c r="M19" s="2874"/>
      <c r="N19" s="2874"/>
      <c r="O19" s="665"/>
      <c r="P19" s="666"/>
    </row>
    <row r="20" spans="1:17" ht="12">
      <c r="A20" s="662"/>
      <c r="B20" s="663" t="s">
        <v>13</v>
      </c>
      <c r="C20" s="660"/>
      <c r="D20" s="664">
        <f>+D68+D79</f>
        <v>99397</v>
      </c>
      <c r="E20" s="664">
        <f>+E68+E79</f>
        <v>0</v>
      </c>
      <c r="F20" s="664">
        <f>+F68+F79</f>
        <v>28409</v>
      </c>
      <c r="G20" s="664">
        <f>+G68+G79</f>
        <v>23359</v>
      </c>
      <c r="H20" s="664">
        <f t="shared" ref="H20:J20" si="21">+H68+H79</f>
        <v>17319</v>
      </c>
      <c r="I20" s="664">
        <f t="shared" si="21"/>
        <v>17320</v>
      </c>
      <c r="J20" s="664">
        <f t="shared" si="21"/>
        <v>12990</v>
      </c>
      <c r="K20" s="664">
        <f t="shared" ref="K20:L20" si="22">+K68</f>
        <v>0</v>
      </c>
      <c r="L20" s="664">
        <f t="shared" si="22"/>
        <v>0</v>
      </c>
      <c r="M20" s="2874"/>
      <c r="N20" s="2874"/>
      <c r="O20" s="665"/>
      <c r="P20" s="666">
        <f>D14-D20</f>
        <v>0</v>
      </c>
    </row>
    <row r="21" spans="1:17" ht="12">
      <c r="A21" s="668"/>
      <c r="B21" s="186" t="s">
        <v>18</v>
      </c>
      <c r="C21" s="669"/>
      <c r="D21" s="670">
        <f>+D22+D23</f>
        <v>1876369</v>
      </c>
      <c r="E21" s="670">
        <f t="shared" ref="E21" si="23">+E22+E23</f>
        <v>0</v>
      </c>
      <c r="F21" s="670">
        <f t="shared" ref="F21:L21" si="24">+F22+F23</f>
        <v>378168</v>
      </c>
      <c r="G21" s="670">
        <f t="shared" si="24"/>
        <v>695907</v>
      </c>
      <c r="H21" s="670">
        <f t="shared" si="24"/>
        <v>601843</v>
      </c>
      <c r="I21" s="670">
        <f t="shared" si="24"/>
        <v>114131</v>
      </c>
      <c r="J21" s="670">
        <f t="shared" si="24"/>
        <v>86320</v>
      </c>
      <c r="K21" s="670">
        <f t="shared" si="24"/>
        <v>0</v>
      </c>
      <c r="L21" s="670">
        <f t="shared" si="24"/>
        <v>0</v>
      </c>
      <c r="M21" s="2874"/>
      <c r="N21" s="2874"/>
      <c r="O21" s="665"/>
    </row>
    <row r="22" spans="1:17" ht="15" hidden="1" customHeight="1">
      <c r="A22" s="668"/>
      <c r="B22" s="663" t="s">
        <v>21</v>
      </c>
      <c r="C22" s="660"/>
      <c r="D22" s="664"/>
      <c r="E22" s="664"/>
      <c r="F22" s="664"/>
      <c r="G22" s="664"/>
      <c r="H22" s="664"/>
      <c r="I22" s="664"/>
      <c r="J22" s="664"/>
      <c r="K22" s="664"/>
      <c r="L22" s="664"/>
      <c r="M22" s="2874"/>
      <c r="N22" s="2874"/>
      <c r="O22" s="665"/>
      <c r="P22" s="666"/>
    </row>
    <row r="23" spans="1:17" ht="12.75" thickBot="1">
      <c r="A23" s="671"/>
      <c r="B23" s="672" t="s">
        <v>20</v>
      </c>
      <c r="C23" s="885"/>
      <c r="D23" s="664">
        <f>+D32+D41+D70+D81</f>
        <v>1876369</v>
      </c>
      <c r="E23" s="664">
        <f t="shared" ref="E23" si="25">+E32+E41+E70+E81</f>
        <v>0</v>
      </c>
      <c r="F23" s="664">
        <f t="shared" ref="F23:J23" si="26">+F32+F41+F70+F81</f>
        <v>378168</v>
      </c>
      <c r="G23" s="664">
        <f t="shared" si="26"/>
        <v>695907</v>
      </c>
      <c r="H23" s="664">
        <f t="shared" si="26"/>
        <v>601843</v>
      </c>
      <c r="I23" s="664">
        <f t="shared" si="26"/>
        <v>114131</v>
      </c>
      <c r="J23" s="664">
        <f t="shared" si="26"/>
        <v>86320</v>
      </c>
      <c r="K23" s="664">
        <f t="shared" ref="K23:L23" si="27">+K32+K41+K70</f>
        <v>0</v>
      </c>
      <c r="L23" s="664">
        <f t="shared" si="27"/>
        <v>0</v>
      </c>
      <c r="M23" s="2875"/>
      <c r="N23" s="2875"/>
      <c r="O23" s="886"/>
      <c r="P23" s="666">
        <f>D17-D23</f>
        <v>0</v>
      </c>
    </row>
    <row r="24" spans="1:17" ht="25.5" customHeight="1">
      <c r="A24" s="3469" t="s">
        <v>63</v>
      </c>
      <c r="B24" s="673" t="s">
        <v>520</v>
      </c>
      <c r="C24" s="674" t="s">
        <v>109</v>
      </c>
      <c r="D24" s="887"/>
      <c r="E24" s="888"/>
      <c r="F24" s="889"/>
      <c r="G24" s="889"/>
      <c r="H24" s="889"/>
      <c r="I24" s="889"/>
      <c r="J24" s="889"/>
      <c r="K24" s="889"/>
      <c r="L24" s="889"/>
      <c r="M24" s="890"/>
      <c r="N24" s="890"/>
      <c r="O24" s="3472" t="s">
        <v>307</v>
      </c>
    </row>
    <row r="25" spans="1:17" ht="12">
      <c r="A25" s="3470"/>
      <c r="B25" s="541" t="s">
        <v>10</v>
      </c>
      <c r="C25" s="574"/>
      <c r="D25" s="564">
        <f t="shared" ref="D25" si="28">+D26+D28</f>
        <v>960682</v>
      </c>
      <c r="E25" s="564">
        <f t="shared" ref="E25" si="29">+E26+E28</f>
        <v>184963</v>
      </c>
      <c r="F25" s="564">
        <f t="shared" ref="F25:H25" si="30">+F26+F28</f>
        <v>332877</v>
      </c>
      <c r="G25" s="564">
        <f t="shared" si="30"/>
        <v>408671</v>
      </c>
      <c r="H25" s="564">
        <f t="shared" si="30"/>
        <v>34171</v>
      </c>
      <c r="I25" s="564"/>
      <c r="J25" s="564"/>
      <c r="K25" s="564"/>
      <c r="L25" s="564"/>
      <c r="M25" s="559">
        <f>+M26+M28</f>
        <v>775719</v>
      </c>
      <c r="N25" s="559">
        <f>+N26+N28</f>
        <v>442842</v>
      </c>
      <c r="O25" s="3473"/>
      <c r="P25" s="666"/>
      <c r="Q25" s="666"/>
    </row>
    <row r="26" spans="1:17" ht="13.5" customHeight="1">
      <c r="A26" s="3470"/>
      <c r="B26" s="891" t="s">
        <v>24</v>
      </c>
      <c r="C26" s="2887" t="s">
        <v>245</v>
      </c>
      <c r="D26" s="675">
        <f>+D27</f>
        <v>144099</v>
      </c>
      <c r="E26" s="677">
        <f t="shared" ref="E26:H26" si="31">+E27</f>
        <v>27744</v>
      </c>
      <c r="F26" s="560">
        <f t="shared" si="31"/>
        <v>49931</v>
      </c>
      <c r="G26" s="560">
        <f t="shared" si="31"/>
        <v>61298</v>
      </c>
      <c r="H26" s="560">
        <f t="shared" si="31"/>
        <v>5126</v>
      </c>
      <c r="I26" s="560"/>
      <c r="J26" s="560"/>
      <c r="K26" s="560"/>
      <c r="L26" s="560"/>
      <c r="M26" s="571">
        <f>+M27</f>
        <v>116355</v>
      </c>
      <c r="N26" s="571">
        <f>+N27</f>
        <v>66424</v>
      </c>
      <c r="O26" s="3474"/>
    </row>
    <row r="27" spans="1:17" ht="13.5" customHeight="1">
      <c r="A27" s="3470"/>
      <c r="B27" s="892" t="s">
        <v>12</v>
      </c>
      <c r="C27" s="3476"/>
      <c r="D27" s="251">
        <f>E27+F27+G27+H27+I27+J27+K27+L27</f>
        <v>144099</v>
      </c>
      <c r="E27" s="289">
        <v>27744</v>
      </c>
      <c r="F27" s="547">
        <f>58031-8100</f>
        <v>49931</v>
      </c>
      <c r="G27" s="547">
        <f>53201+8098-1</f>
        <v>61298</v>
      </c>
      <c r="H27" s="547">
        <v>5126</v>
      </c>
      <c r="I27" s="547"/>
      <c r="J27" s="547"/>
      <c r="K27" s="547"/>
      <c r="L27" s="547"/>
      <c r="M27" s="648">
        <f>SUM(F27:K27)</f>
        <v>116355</v>
      </c>
      <c r="N27" s="648">
        <f>SUM(G27:L27)</f>
        <v>66424</v>
      </c>
      <c r="O27" s="3474"/>
    </row>
    <row r="28" spans="1:17" ht="13.5" customHeight="1">
      <c r="A28" s="3470"/>
      <c r="B28" s="893" t="s">
        <v>18</v>
      </c>
      <c r="C28" s="3476"/>
      <c r="D28" s="678">
        <f t="shared" ref="D28:N28" si="32">+D29</f>
        <v>816583</v>
      </c>
      <c r="E28" s="675">
        <f t="shared" si="32"/>
        <v>157219</v>
      </c>
      <c r="F28" s="679">
        <f>+F29</f>
        <v>282946</v>
      </c>
      <c r="G28" s="679">
        <f>+G29</f>
        <v>347373</v>
      </c>
      <c r="H28" s="679">
        <f>+H29</f>
        <v>29045</v>
      </c>
      <c r="I28" s="679"/>
      <c r="J28" s="679"/>
      <c r="K28" s="679"/>
      <c r="L28" s="679"/>
      <c r="M28" s="647">
        <f t="shared" si="32"/>
        <v>659364</v>
      </c>
      <c r="N28" s="647">
        <f t="shared" si="32"/>
        <v>376418</v>
      </c>
      <c r="O28" s="3474"/>
    </row>
    <row r="29" spans="1:17" ht="13.5" customHeight="1">
      <c r="A29" s="3470"/>
      <c r="B29" s="744" t="s">
        <v>20</v>
      </c>
      <c r="C29" s="3476"/>
      <c r="D29" s="251">
        <f>E29+F29+G29+H29+I29+J29+K29+L29</f>
        <v>816583</v>
      </c>
      <c r="E29" s="289">
        <v>157219</v>
      </c>
      <c r="F29" s="2826">
        <f>328844-45898</f>
        <v>282946</v>
      </c>
      <c r="G29" s="2826">
        <f>301472+45901</f>
        <v>347373</v>
      </c>
      <c r="H29" s="649">
        <v>29045</v>
      </c>
      <c r="I29" s="649"/>
      <c r="J29" s="649"/>
      <c r="K29" s="649"/>
      <c r="L29" s="649"/>
      <c r="M29" s="648">
        <f>SUM(F29:K29)</f>
        <v>659364</v>
      </c>
      <c r="N29" s="648">
        <f>SUM(G29:L29)</f>
        <v>376418</v>
      </c>
      <c r="O29" s="3474"/>
    </row>
    <row r="30" spans="1:17" ht="12">
      <c r="A30" s="3470"/>
      <c r="B30" s="541" t="s">
        <v>22</v>
      </c>
      <c r="C30" s="574"/>
      <c r="D30" s="895">
        <f>+D31</f>
        <v>816583</v>
      </c>
      <c r="E30" s="895">
        <v>0</v>
      </c>
      <c r="F30" s="895">
        <f t="shared" ref="F30:I31" si="33">+F31</f>
        <v>159401</v>
      </c>
      <c r="G30" s="895">
        <f t="shared" si="33"/>
        <v>328844</v>
      </c>
      <c r="H30" s="895">
        <f t="shared" si="33"/>
        <v>301472</v>
      </c>
      <c r="I30" s="895">
        <f t="shared" si="33"/>
        <v>26866</v>
      </c>
      <c r="J30" s="564"/>
      <c r="K30" s="564"/>
      <c r="L30" s="564"/>
      <c r="M30" s="3463" t="s">
        <v>61</v>
      </c>
      <c r="N30" s="3463" t="s">
        <v>61</v>
      </c>
      <c r="O30" s="3474"/>
    </row>
    <row r="31" spans="1:17" ht="13.5" customHeight="1">
      <c r="A31" s="3470"/>
      <c r="B31" s="893" t="s">
        <v>18</v>
      </c>
      <c r="C31" s="2958" t="s">
        <v>245</v>
      </c>
      <c r="D31" s="678">
        <f>+D32</f>
        <v>816583</v>
      </c>
      <c r="E31" s="678">
        <v>0</v>
      </c>
      <c r="F31" s="678">
        <f t="shared" si="33"/>
        <v>159401</v>
      </c>
      <c r="G31" s="678">
        <f t="shared" si="33"/>
        <v>328844</v>
      </c>
      <c r="H31" s="678">
        <f t="shared" si="33"/>
        <v>301472</v>
      </c>
      <c r="I31" s="678">
        <f t="shared" si="33"/>
        <v>26866</v>
      </c>
      <c r="J31" s="678"/>
      <c r="K31" s="678"/>
      <c r="L31" s="678"/>
      <c r="M31" s="2874"/>
      <c r="N31" s="2874"/>
      <c r="O31" s="3474"/>
      <c r="P31" s="666">
        <f>+D32-D29</f>
        <v>0</v>
      </c>
    </row>
    <row r="32" spans="1:17" ht="12.75" thickBot="1">
      <c r="A32" s="3471"/>
      <c r="B32" s="744" t="s">
        <v>20</v>
      </c>
      <c r="C32" s="3477"/>
      <c r="D32" s="251">
        <f>E32+F32+G32+H32+I32+J32+K32+L32</f>
        <v>816583</v>
      </c>
      <c r="E32" s="289">
        <v>0</v>
      </c>
      <c r="F32" s="680">
        <v>159401</v>
      </c>
      <c r="G32" s="680">
        <v>328844</v>
      </c>
      <c r="H32" s="680">
        <v>301472</v>
      </c>
      <c r="I32" s="680">
        <f>29045-2182+3</f>
        <v>26866</v>
      </c>
      <c r="J32" s="680"/>
      <c r="K32" s="680"/>
      <c r="L32" s="680"/>
      <c r="M32" s="2875"/>
      <c r="N32" s="2875"/>
      <c r="O32" s="3475"/>
    </row>
    <row r="33" spans="1:19" ht="34.5" customHeight="1">
      <c r="A33" s="3469" t="s">
        <v>64</v>
      </c>
      <c r="B33" s="673" t="s">
        <v>521</v>
      </c>
      <c r="C33" s="674" t="s">
        <v>109</v>
      </c>
      <c r="D33" s="887"/>
      <c r="E33" s="888"/>
      <c r="F33" s="889"/>
      <c r="G33" s="889"/>
      <c r="H33" s="889"/>
      <c r="I33" s="889"/>
      <c r="J33" s="889"/>
      <c r="K33" s="889"/>
      <c r="L33" s="889"/>
      <c r="M33" s="896"/>
      <c r="N33" s="896"/>
      <c r="O33" s="3472" t="s">
        <v>307</v>
      </c>
    </row>
    <row r="34" spans="1:19" ht="12.75" customHeight="1">
      <c r="A34" s="3470"/>
      <c r="B34" s="541" t="s">
        <v>10</v>
      </c>
      <c r="C34" s="574"/>
      <c r="D34" s="895">
        <f t="shared" ref="D34:I34" si="34">+D35+D37</f>
        <v>895017</v>
      </c>
      <c r="E34" s="564">
        <f t="shared" ref="E34" si="35">+E35+E37</f>
        <v>164812</v>
      </c>
      <c r="F34" s="564">
        <f>+F35+F37</f>
        <v>325414</v>
      </c>
      <c r="G34" s="564">
        <f t="shared" si="34"/>
        <v>305828</v>
      </c>
      <c r="H34" s="564">
        <f t="shared" si="34"/>
        <v>41538</v>
      </c>
      <c r="I34" s="564">
        <f t="shared" si="34"/>
        <v>57425</v>
      </c>
      <c r="J34" s="564"/>
      <c r="K34" s="564"/>
      <c r="L34" s="564"/>
      <c r="M34" s="559">
        <f>+M35+M37</f>
        <v>730205</v>
      </c>
      <c r="N34" s="559">
        <f>+N35+N37</f>
        <v>404791</v>
      </c>
      <c r="O34" s="3473"/>
      <c r="P34" s="666"/>
      <c r="Q34" s="666"/>
      <c r="R34" s="666"/>
      <c r="S34" s="666"/>
    </row>
    <row r="35" spans="1:19" ht="12" customHeight="1">
      <c r="A35" s="3470"/>
      <c r="B35" s="891" t="s">
        <v>24</v>
      </c>
      <c r="C35" s="2887" t="s">
        <v>245</v>
      </c>
      <c r="D35" s="897">
        <f>+D36</f>
        <v>133424</v>
      </c>
      <c r="E35" s="682">
        <f t="shared" ref="E35:I35" si="36">+E36</f>
        <v>23893</v>
      </c>
      <c r="F35" s="681">
        <f t="shared" si="36"/>
        <v>48679</v>
      </c>
      <c r="G35" s="681">
        <f t="shared" si="36"/>
        <v>46007</v>
      </c>
      <c r="H35" s="681">
        <f t="shared" si="36"/>
        <v>6231</v>
      </c>
      <c r="I35" s="681">
        <f t="shared" si="36"/>
        <v>8614</v>
      </c>
      <c r="J35" s="570"/>
      <c r="K35" s="570"/>
      <c r="L35" s="570"/>
      <c r="M35" s="647">
        <f>+M36</f>
        <v>109531</v>
      </c>
      <c r="N35" s="647">
        <f>+N36</f>
        <v>60852</v>
      </c>
      <c r="O35" s="3474"/>
    </row>
    <row r="36" spans="1:19" ht="12">
      <c r="A36" s="3470"/>
      <c r="B36" s="892" t="s">
        <v>12</v>
      </c>
      <c r="C36" s="3476"/>
      <c r="D36" s="251">
        <f>E36+F36+G36+H36+I36+J36+K36+L36</f>
        <v>133424</v>
      </c>
      <c r="E36" s="289">
        <v>23893</v>
      </c>
      <c r="F36" s="547">
        <f>52409-1560-2170</f>
        <v>48679</v>
      </c>
      <c r="G36" s="547">
        <f>43837+2170</f>
        <v>46007</v>
      </c>
      <c r="H36" s="547">
        <v>6231</v>
      </c>
      <c r="I36" s="547">
        <v>8614</v>
      </c>
      <c r="J36" s="547"/>
      <c r="K36" s="547"/>
      <c r="L36" s="547"/>
      <c r="M36" s="648">
        <f>SUM(F36:K36)</f>
        <v>109531</v>
      </c>
      <c r="N36" s="648">
        <f>SUM(G36:L36)</f>
        <v>60852</v>
      </c>
      <c r="O36" s="3474"/>
    </row>
    <row r="37" spans="1:19" ht="12">
      <c r="A37" s="3470"/>
      <c r="B37" s="893" t="s">
        <v>18</v>
      </c>
      <c r="C37" s="3476"/>
      <c r="D37" s="683">
        <f t="shared" ref="D37:N37" si="37">+D38</f>
        <v>761593</v>
      </c>
      <c r="E37" s="675">
        <f t="shared" si="37"/>
        <v>140919</v>
      </c>
      <c r="F37" s="677">
        <f t="shared" si="37"/>
        <v>276735</v>
      </c>
      <c r="G37" s="677">
        <f t="shared" si="37"/>
        <v>259821</v>
      </c>
      <c r="H37" s="677">
        <f t="shared" si="37"/>
        <v>35307</v>
      </c>
      <c r="I37" s="677">
        <f t="shared" si="37"/>
        <v>48811</v>
      </c>
      <c r="J37" s="676"/>
      <c r="K37" s="676"/>
      <c r="L37" s="676"/>
      <c r="M37" s="647">
        <f t="shared" si="37"/>
        <v>620674</v>
      </c>
      <c r="N37" s="647">
        <f t="shared" si="37"/>
        <v>343939</v>
      </c>
      <c r="O37" s="3474"/>
    </row>
    <row r="38" spans="1:19" ht="12">
      <c r="A38" s="3470"/>
      <c r="B38" s="744" t="s">
        <v>20</v>
      </c>
      <c r="C38" s="3476"/>
      <c r="D38" s="251">
        <f>E38+F38+G38+H38+I38+J38+K38+L38</f>
        <v>761593</v>
      </c>
      <c r="E38" s="289">
        <v>140919</v>
      </c>
      <c r="F38" s="649">
        <f>296984-8840-11410+1</f>
        <v>276735</v>
      </c>
      <c r="G38" s="649">
        <f>248412+11409</f>
        <v>259821</v>
      </c>
      <c r="H38" s="649">
        <v>35307</v>
      </c>
      <c r="I38" s="649">
        <v>48811</v>
      </c>
      <c r="J38" s="649"/>
      <c r="K38" s="649"/>
      <c r="L38" s="649"/>
      <c r="M38" s="648">
        <f>SUM(F38:K38)</f>
        <v>620674</v>
      </c>
      <c r="N38" s="648">
        <f>SUM(G38:L38)</f>
        <v>343939</v>
      </c>
      <c r="O38" s="3474"/>
    </row>
    <row r="39" spans="1:19" ht="12">
      <c r="A39" s="3470"/>
      <c r="B39" s="538" t="s">
        <v>22</v>
      </c>
      <c r="C39" s="574"/>
      <c r="D39" s="895">
        <f>+D40</f>
        <v>761593</v>
      </c>
      <c r="E39" s="895">
        <v>0</v>
      </c>
      <c r="F39" s="895">
        <f t="shared" ref="F39:I39" si="38">+F40</f>
        <v>133538</v>
      </c>
      <c r="G39" s="895">
        <f t="shared" si="38"/>
        <v>296984</v>
      </c>
      <c r="H39" s="895">
        <f t="shared" si="38"/>
        <v>248412</v>
      </c>
      <c r="I39" s="895">
        <f t="shared" si="38"/>
        <v>35307</v>
      </c>
      <c r="J39" s="895">
        <f t="shared" ref="F39:J40" si="39">+J40</f>
        <v>47352</v>
      </c>
      <c r="K39" s="564"/>
      <c r="L39" s="564"/>
      <c r="M39" s="3463" t="s">
        <v>61</v>
      </c>
      <c r="N39" s="3463" t="s">
        <v>61</v>
      </c>
      <c r="O39" s="3474"/>
    </row>
    <row r="40" spans="1:19" ht="12" customHeight="1">
      <c r="A40" s="3470"/>
      <c r="B40" s="893" t="s">
        <v>18</v>
      </c>
      <c r="C40" s="2958" t="s">
        <v>245</v>
      </c>
      <c r="D40" s="683">
        <f>+D41</f>
        <v>761593</v>
      </c>
      <c r="E40" s="678">
        <v>0</v>
      </c>
      <c r="F40" s="678">
        <f t="shared" si="39"/>
        <v>133538</v>
      </c>
      <c r="G40" s="678">
        <f t="shared" si="39"/>
        <v>296984</v>
      </c>
      <c r="H40" s="678">
        <f t="shared" si="39"/>
        <v>248412</v>
      </c>
      <c r="I40" s="678">
        <f t="shared" si="39"/>
        <v>35307</v>
      </c>
      <c r="J40" s="678">
        <f t="shared" si="39"/>
        <v>47352</v>
      </c>
      <c r="K40" s="678"/>
      <c r="L40" s="678"/>
      <c r="M40" s="2874"/>
      <c r="N40" s="2874"/>
      <c r="O40" s="3474"/>
    </row>
    <row r="41" spans="1:19" ht="13.5" thickBot="1">
      <c r="A41" s="3471"/>
      <c r="B41" s="744" t="s">
        <v>20</v>
      </c>
      <c r="C41" s="3477"/>
      <c r="D41" s="251">
        <f>E41+F41+G41+H41+I41+J41+K41+L41</f>
        <v>761593</v>
      </c>
      <c r="E41" s="289">
        <v>0</v>
      </c>
      <c r="F41" s="533">
        <v>133538</v>
      </c>
      <c r="G41" s="533">
        <v>296984</v>
      </c>
      <c r="H41" s="533">
        <v>248412</v>
      </c>
      <c r="I41" s="533">
        <f>35307</f>
        <v>35307</v>
      </c>
      <c r="J41" s="533">
        <f>48811-1459</f>
        <v>47352</v>
      </c>
      <c r="K41" s="898"/>
      <c r="L41" s="898"/>
      <c r="M41" s="2875"/>
      <c r="N41" s="2875"/>
      <c r="O41" s="3475"/>
      <c r="P41" s="666">
        <f>+D41-D38</f>
        <v>0</v>
      </c>
    </row>
    <row r="42" spans="1:19" ht="12" hidden="1">
      <c r="A42" s="3469" t="s">
        <v>64</v>
      </c>
      <c r="B42" s="673"/>
      <c r="C42" s="674" t="s">
        <v>81</v>
      </c>
      <c r="D42" s="887"/>
      <c r="E42" s="888"/>
      <c r="F42" s="889"/>
      <c r="G42" s="889"/>
      <c r="H42" s="889"/>
      <c r="I42" s="889"/>
      <c r="J42" s="889"/>
      <c r="K42" s="889"/>
      <c r="L42" s="889"/>
      <c r="M42" s="890"/>
      <c r="N42" s="890"/>
      <c r="O42" s="3472"/>
    </row>
    <row r="43" spans="1:19" ht="15.75" hidden="1" customHeight="1">
      <c r="A43" s="3486"/>
      <c r="B43" s="541" t="s">
        <v>10</v>
      </c>
      <c r="C43" s="574"/>
      <c r="D43" s="895"/>
      <c r="E43" s="564">
        <v>0</v>
      </c>
      <c r="F43" s="564"/>
      <c r="G43" s="564"/>
      <c r="H43" s="564"/>
      <c r="I43" s="564"/>
      <c r="J43" s="564"/>
      <c r="K43" s="564"/>
      <c r="L43" s="564"/>
      <c r="M43" s="559">
        <f>+M44+M46</f>
        <v>0</v>
      </c>
      <c r="N43" s="559">
        <f>+N44+N46</f>
        <v>0</v>
      </c>
      <c r="O43" s="3473"/>
      <c r="Q43" s="666"/>
    </row>
    <row r="44" spans="1:19" ht="12.75" hidden="1" customHeight="1">
      <c r="A44" s="3486"/>
      <c r="B44" s="891" t="s">
        <v>24</v>
      </c>
      <c r="C44" s="2887" t="s">
        <v>180</v>
      </c>
      <c r="D44" s="897"/>
      <c r="E44" s="682">
        <v>0</v>
      </c>
      <c r="F44" s="871"/>
      <c r="G44" s="871"/>
      <c r="H44" s="871"/>
      <c r="I44" s="871"/>
      <c r="J44" s="871"/>
      <c r="K44" s="871"/>
      <c r="L44" s="871"/>
      <c r="M44" s="647">
        <f>+M45</f>
        <v>0</v>
      </c>
      <c r="N44" s="647">
        <f>+N45</f>
        <v>0</v>
      </c>
      <c r="O44" s="3474"/>
    </row>
    <row r="45" spans="1:19" ht="12.75" hidden="1" customHeight="1">
      <c r="A45" s="3486"/>
      <c r="B45" s="892" t="s">
        <v>12</v>
      </c>
      <c r="C45" s="3476"/>
      <c r="D45" s="685"/>
      <c r="E45" s="561">
        <v>0</v>
      </c>
      <c r="F45" s="547"/>
      <c r="G45" s="547"/>
      <c r="H45" s="547"/>
      <c r="I45" s="547"/>
      <c r="J45" s="206"/>
      <c r="K45" s="206"/>
      <c r="L45" s="206"/>
      <c r="M45" s="899"/>
      <c r="N45" s="899"/>
      <c r="O45" s="3474"/>
    </row>
    <row r="46" spans="1:19" ht="12" hidden="1" customHeight="1">
      <c r="A46" s="3486"/>
      <c r="B46" s="893" t="s">
        <v>18</v>
      </c>
      <c r="C46" s="3476"/>
      <c r="D46" s="686"/>
      <c r="E46" s="675">
        <v>0</v>
      </c>
      <c r="F46" s="679"/>
      <c r="G46" s="679"/>
      <c r="H46" s="679"/>
      <c r="I46" s="679"/>
      <c r="J46" s="679"/>
      <c r="K46" s="679"/>
      <c r="L46" s="679"/>
      <c r="M46" s="647">
        <f t="shared" ref="M46:N46" si="40">+M47</f>
        <v>0</v>
      </c>
      <c r="N46" s="647">
        <f t="shared" si="40"/>
        <v>0</v>
      </c>
      <c r="O46" s="3474"/>
    </row>
    <row r="47" spans="1:19" ht="13.5" hidden="1" thickBot="1">
      <c r="A47" s="3486"/>
      <c r="B47" s="900" t="s">
        <v>21</v>
      </c>
      <c r="C47" s="3476"/>
      <c r="D47" s="561"/>
      <c r="E47" s="561"/>
      <c r="F47" s="649"/>
      <c r="G47" s="649"/>
      <c r="H47" s="649"/>
      <c r="I47" s="649"/>
      <c r="J47" s="649"/>
      <c r="K47" s="649"/>
      <c r="L47" s="649"/>
      <c r="M47" s="648">
        <f>SUM(E47:H47)</f>
        <v>0</v>
      </c>
      <c r="N47" s="648">
        <f>SUM(F47:I47)</f>
        <v>0</v>
      </c>
      <c r="O47" s="3474"/>
    </row>
    <row r="48" spans="1:19" ht="15.75" hidden="1" customHeight="1">
      <c r="A48" s="3486"/>
      <c r="B48" s="538" t="s">
        <v>22</v>
      </c>
      <c r="C48" s="574"/>
      <c r="D48" s="104"/>
      <c r="E48" s="895">
        <v>0</v>
      </c>
      <c r="F48" s="895"/>
      <c r="G48" s="564"/>
      <c r="H48" s="564"/>
      <c r="I48" s="564"/>
      <c r="J48" s="564"/>
      <c r="K48" s="564"/>
      <c r="L48" s="564"/>
      <c r="M48" s="3463" t="s">
        <v>61</v>
      </c>
      <c r="N48" s="3463" t="s">
        <v>61</v>
      </c>
      <c r="O48" s="3474"/>
    </row>
    <row r="49" spans="1:16" ht="15.75" hidden="1" customHeight="1">
      <c r="A49" s="3486"/>
      <c r="B49" s="687"/>
      <c r="C49" s="688"/>
      <c r="D49" s="901"/>
      <c r="E49" s="902"/>
      <c r="F49" s="902"/>
      <c r="G49" s="903"/>
      <c r="H49" s="903"/>
      <c r="I49" s="903"/>
      <c r="J49" s="903"/>
      <c r="K49" s="903"/>
      <c r="L49" s="903"/>
      <c r="M49" s="2874"/>
      <c r="N49" s="2874"/>
      <c r="O49" s="3474"/>
    </row>
    <row r="50" spans="1:16" ht="15.75" hidden="1" customHeight="1">
      <c r="A50" s="3486"/>
      <c r="B50" s="687"/>
      <c r="C50" s="688"/>
      <c r="D50" s="901"/>
      <c r="E50" s="902"/>
      <c r="F50" s="902"/>
      <c r="G50" s="903"/>
      <c r="H50" s="903"/>
      <c r="I50" s="903"/>
      <c r="J50" s="903"/>
      <c r="K50" s="903"/>
      <c r="L50" s="903"/>
      <c r="M50" s="2874"/>
      <c r="N50" s="2874"/>
      <c r="O50" s="3474"/>
    </row>
    <row r="51" spans="1:16" ht="12" hidden="1" customHeight="1">
      <c r="A51" s="3486"/>
      <c r="B51" s="893" t="s">
        <v>18</v>
      </c>
      <c r="C51" s="2958" t="s">
        <v>181</v>
      </c>
      <c r="D51" s="683"/>
      <c r="E51" s="678">
        <v>0</v>
      </c>
      <c r="F51" s="678"/>
      <c r="G51" s="678"/>
      <c r="H51" s="678"/>
      <c r="I51" s="678"/>
      <c r="J51" s="678"/>
      <c r="K51" s="678"/>
      <c r="L51" s="678"/>
      <c r="M51" s="2874"/>
      <c r="N51" s="2874"/>
      <c r="O51" s="3474"/>
    </row>
    <row r="52" spans="1:16" ht="13.5" hidden="1" thickBot="1">
      <c r="A52" s="3487"/>
      <c r="B52" s="900" t="s">
        <v>21</v>
      </c>
      <c r="C52" s="3477"/>
      <c r="D52" s="533"/>
      <c r="E52" s="533"/>
      <c r="F52" s="684"/>
      <c r="G52" s="684"/>
      <c r="H52" s="684"/>
      <c r="I52" s="684"/>
      <c r="J52" s="684"/>
      <c r="K52" s="684"/>
      <c r="L52" s="684"/>
      <c r="M52" s="2875"/>
      <c r="N52" s="2875"/>
      <c r="O52" s="3475"/>
    </row>
    <row r="53" spans="1:16" s="2564" customFormat="1" ht="24" customHeight="1">
      <c r="A53" s="3481" t="s">
        <v>65</v>
      </c>
      <c r="B53" s="75" t="s">
        <v>431</v>
      </c>
      <c r="C53" s="59" t="s">
        <v>109</v>
      </c>
      <c r="D53" s="90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2942" t="s">
        <v>288</v>
      </c>
    </row>
    <row r="54" spans="1:16" s="2564" customFormat="1" ht="12.75">
      <c r="A54" s="3485"/>
      <c r="B54" s="2175" t="s">
        <v>10</v>
      </c>
      <c r="C54" s="2017"/>
      <c r="D54" s="2124">
        <f>+D55+D61</f>
        <v>391131</v>
      </c>
      <c r="E54" s="2124">
        <f t="shared" ref="E54" si="41">+E55+E61</f>
        <v>88487</v>
      </c>
      <c r="F54" s="2129">
        <f t="shared" ref="F54:I54" si="42">+F55+F61</f>
        <v>94210</v>
      </c>
      <c r="G54" s="2129">
        <f t="shared" si="42"/>
        <v>69478</v>
      </c>
      <c r="H54" s="2129">
        <f t="shared" si="42"/>
        <v>69478</v>
      </c>
      <c r="I54" s="2129">
        <f t="shared" si="42"/>
        <v>69478</v>
      </c>
      <c r="J54" s="2129"/>
      <c r="K54" s="2129"/>
      <c r="L54" s="2129"/>
      <c r="M54" s="2168">
        <f>+M55+M61</f>
        <v>302644</v>
      </c>
      <c r="N54" s="2168">
        <f>+N55+N61</f>
        <v>208434</v>
      </c>
      <c r="O54" s="2949"/>
      <c r="P54" s="905"/>
    </row>
    <row r="55" spans="1:16" s="2564" customFormat="1" ht="12.75">
      <c r="A55" s="3485"/>
      <c r="B55" s="2025" t="s">
        <v>12</v>
      </c>
      <c r="C55" s="2920" t="s">
        <v>149</v>
      </c>
      <c r="D55" s="2176">
        <f>+D56+D60</f>
        <v>98610</v>
      </c>
      <c r="E55" s="2176">
        <f t="shared" ref="E55" si="43">+E56+E60</f>
        <v>22288</v>
      </c>
      <c r="F55" s="2177">
        <f t="shared" ref="F55:I55" si="44">+F56+F60</f>
        <v>23763</v>
      </c>
      <c r="G55" s="2177">
        <f t="shared" si="44"/>
        <v>17519</v>
      </c>
      <c r="H55" s="2177">
        <f t="shared" si="44"/>
        <v>17520</v>
      </c>
      <c r="I55" s="2177">
        <f t="shared" si="44"/>
        <v>17520</v>
      </c>
      <c r="J55" s="2176"/>
      <c r="K55" s="2176"/>
      <c r="L55" s="2176"/>
      <c r="M55" s="2178">
        <f>+M56+M60</f>
        <v>76322</v>
      </c>
      <c r="N55" s="2178">
        <f>+N56+N60</f>
        <v>52559</v>
      </c>
      <c r="O55" s="2949"/>
    </row>
    <row r="56" spans="1:16" s="2564" customFormat="1" ht="10.5" customHeight="1">
      <c r="A56" s="3485"/>
      <c r="B56" s="232" t="s">
        <v>13</v>
      </c>
      <c r="C56" s="2947"/>
      <c r="D56" s="1926">
        <f>E56+F56+G56+H56+I56+J56+K56+L56</f>
        <v>97508</v>
      </c>
      <c r="E56" s="1990">
        <v>22066</v>
      </c>
      <c r="F56" s="2179">
        <f>+F58+F59-1889</f>
        <v>23483</v>
      </c>
      <c r="G56" s="2179">
        <f t="shared" ref="G56:I56" si="45">+G58+G59</f>
        <v>17319</v>
      </c>
      <c r="H56" s="2179">
        <f t="shared" si="45"/>
        <v>17320</v>
      </c>
      <c r="I56" s="2179">
        <f t="shared" si="45"/>
        <v>17320</v>
      </c>
      <c r="J56" s="1990"/>
      <c r="K56" s="1990"/>
      <c r="L56" s="1990"/>
      <c r="M56" s="2047">
        <f>SUM(F56:K56)</f>
        <v>75442</v>
      </c>
      <c r="N56" s="2047">
        <f>SUM(G56:L56)</f>
        <v>51959</v>
      </c>
      <c r="O56" s="2949"/>
      <c r="P56" s="905">
        <f>D56-D68</f>
        <v>0</v>
      </c>
    </row>
    <row r="57" spans="1:16" s="2564" customFormat="1" ht="12.75" hidden="1">
      <c r="A57" s="3485"/>
      <c r="B57" s="2180" t="s">
        <v>150</v>
      </c>
      <c r="C57" s="2947"/>
      <c r="D57" s="1926">
        <f>E57+F57+G57+H57+I57+J57+K57+L57</f>
        <v>0</v>
      </c>
      <c r="E57" s="1990"/>
      <c r="F57" s="2046"/>
      <c r="G57" s="2046"/>
      <c r="H57" s="2046"/>
      <c r="I57" s="2046"/>
      <c r="J57" s="2046"/>
      <c r="K57" s="2046"/>
      <c r="L57" s="2046"/>
      <c r="M57" s="2047"/>
      <c r="N57" s="2047"/>
      <c r="O57" s="2949"/>
      <c r="P57" s="905"/>
    </row>
    <row r="58" spans="1:16" s="2564" customFormat="1" ht="12.75" hidden="1">
      <c r="A58" s="3485"/>
      <c r="B58" s="2180" t="s">
        <v>270</v>
      </c>
      <c r="C58" s="2947"/>
      <c r="D58" s="1926">
        <f>E58+F58+G58+H58+I58+J58+K58+L58</f>
        <v>44222</v>
      </c>
      <c r="E58" s="1990"/>
      <c r="F58" s="2181">
        <f>8056+671+1501+214+2452</f>
        <v>12894</v>
      </c>
      <c r="G58" s="2181">
        <f>8056+671+1501+214</f>
        <v>10442</v>
      </c>
      <c r="H58" s="2181">
        <f>8057+671+1501+214</f>
        <v>10443</v>
      </c>
      <c r="I58" s="2181">
        <f>8057+671+1501+214</f>
        <v>10443</v>
      </c>
      <c r="J58" s="2046"/>
      <c r="K58" s="2046"/>
      <c r="L58" s="2046"/>
      <c r="M58" s="2182">
        <f>SUM(E58:H58)</f>
        <v>33779</v>
      </c>
      <c r="N58" s="2182">
        <f>SUM(F58:I58)</f>
        <v>44222</v>
      </c>
      <c r="O58" s="2949"/>
      <c r="P58" s="905"/>
    </row>
    <row r="59" spans="1:16" s="2564" customFormat="1" ht="12.75" hidden="1">
      <c r="A59" s="3485"/>
      <c r="B59" s="2180" t="s">
        <v>110</v>
      </c>
      <c r="C59" s="2947"/>
      <c r="D59" s="1926">
        <f>E59+F59+G59+H59+I59+J59+K59+L59</f>
        <v>33109</v>
      </c>
      <c r="E59" s="1990"/>
      <c r="F59" s="2183">
        <f>512+979+979+1250+2157+750+250+5601</f>
        <v>12478</v>
      </c>
      <c r="G59" s="2181">
        <f>512+979+979+1250+2407+750</f>
        <v>6877</v>
      </c>
      <c r="H59" s="2181">
        <f>512+979+979+1250+2407+750</f>
        <v>6877</v>
      </c>
      <c r="I59" s="2181">
        <f>512+979+979+1250+2407+750</f>
        <v>6877</v>
      </c>
      <c r="J59" s="2046"/>
      <c r="K59" s="2046"/>
      <c r="L59" s="2046"/>
      <c r="M59" s="2182">
        <f>SUM(E59:H59)</f>
        <v>26232</v>
      </c>
      <c r="N59" s="2182">
        <f>SUM(F59:I59)</f>
        <v>33109</v>
      </c>
      <c r="O59" s="2949"/>
      <c r="P59" s="905"/>
    </row>
    <row r="60" spans="1:16" s="2564" customFormat="1" ht="12.75">
      <c r="A60" s="3485"/>
      <c r="B60" s="2184" t="s">
        <v>12</v>
      </c>
      <c r="C60" s="2947"/>
      <c r="D60" s="1926">
        <f>E60+F60+G60+H60+I60+J60+K60+L60</f>
        <v>1102</v>
      </c>
      <c r="E60" s="1990">
        <v>222</v>
      </c>
      <c r="F60" s="2046">
        <v>280</v>
      </c>
      <c r="G60" s="2046">
        <v>200</v>
      </c>
      <c r="H60" s="2046">
        <v>200</v>
      </c>
      <c r="I60" s="2046">
        <v>200</v>
      </c>
      <c r="J60" s="2046"/>
      <c r="K60" s="2046"/>
      <c r="L60" s="2046"/>
      <c r="M60" s="2047">
        <f>SUM(F60:K60)</f>
        <v>880</v>
      </c>
      <c r="N60" s="2047">
        <f>SUM(G60:L60)</f>
        <v>600</v>
      </c>
      <c r="O60" s="2949"/>
    </row>
    <row r="61" spans="1:16" s="2564" customFormat="1" ht="13.5" customHeight="1">
      <c r="A61" s="3485"/>
      <c r="B61" s="2185" t="s">
        <v>18</v>
      </c>
      <c r="C61" s="2947"/>
      <c r="D61" s="2021">
        <f>+D62</f>
        <v>292521</v>
      </c>
      <c r="E61" s="2021">
        <f t="shared" ref="E61" si="46">+E62</f>
        <v>66199</v>
      </c>
      <c r="F61" s="2027">
        <f t="shared" ref="F61:I61" si="47">+F62</f>
        <v>70447</v>
      </c>
      <c r="G61" s="2027">
        <f t="shared" si="47"/>
        <v>51959</v>
      </c>
      <c r="H61" s="2027">
        <f t="shared" si="47"/>
        <v>51958</v>
      </c>
      <c r="I61" s="2027">
        <f t="shared" si="47"/>
        <v>51958</v>
      </c>
      <c r="J61" s="2027"/>
      <c r="K61" s="2027"/>
      <c r="L61" s="2027"/>
      <c r="M61" s="2186">
        <f>+M62</f>
        <v>226322</v>
      </c>
      <c r="N61" s="2186">
        <f>+N62</f>
        <v>155875</v>
      </c>
      <c r="O61" s="2949"/>
    </row>
    <row r="62" spans="1:16" s="2564" customFormat="1" ht="12.75">
      <c r="A62" s="3485"/>
      <c r="B62" s="2057" t="s">
        <v>20</v>
      </c>
      <c r="C62" s="2922"/>
      <c r="D62" s="1926">
        <f>E62+F62+G62+H62+I62+J62+K62+L62</f>
        <v>292521</v>
      </c>
      <c r="E62" s="1990">
        <v>66199</v>
      </c>
      <c r="F62" s="2187">
        <f>SUM(F64:F65)-5672</f>
        <v>70447</v>
      </c>
      <c r="G62" s="2187">
        <f>SUM(G64:G65)</f>
        <v>51959</v>
      </c>
      <c r="H62" s="2187">
        <f>SUM(H64:H65)</f>
        <v>51958</v>
      </c>
      <c r="I62" s="2187">
        <f>SUM(I64:I65)</f>
        <v>51958</v>
      </c>
      <c r="J62" s="2024"/>
      <c r="K62" s="2024"/>
      <c r="L62" s="2024"/>
      <c r="M62" s="2047">
        <f>SUM(F62:K62)</f>
        <v>226322</v>
      </c>
      <c r="N62" s="2047">
        <f>SUM(G62:L62)</f>
        <v>155875</v>
      </c>
      <c r="O62" s="2949"/>
      <c r="P62" s="905">
        <f>D62-D70</f>
        <v>0</v>
      </c>
    </row>
    <row r="63" spans="1:16" s="907" customFormat="1" ht="13.5" hidden="1" customHeight="1">
      <c r="A63" s="3485"/>
      <c r="B63" s="2180" t="s">
        <v>150</v>
      </c>
      <c r="C63" s="1793"/>
      <c r="D63" s="2188"/>
      <c r="E63" s="2189"/>
      <c r="F63" s="2189"/>
      <c r="G63" s="2189"/>
      <c r="H63" s="2189"/>
      <c r="I63" s="2189"/>
      <c r="J63" s="2189"/>
      <c r="K63" s="2189"/>
      <c r="L63" s="2189"/>
      <c r="M63" s="2190"/>
      <c r="N63" s="2190"/>
      <c r="O63" s="2949"/>
      <c r="P63" s="906"/>
    </row>
    <row r="64" spans="1:16" s="907" customFormat="1" ht="13.5" hidden="1" customHeight="1">
      <c r="A64" s="3485"/>
      <c r="B64" s="2180" t="s">
        <v>270</v>
      </c>
      <c r="C64" s="1793"/>
      <c r="D64" s="2188"/>
      <c r="E64" s="2189"/>
      <c r="F64" s="2189">
        <f>24173+2014+4502+642+7355</f>
        <v>38686</v>
      </c>
      <c r="G64" s="2189">
        <f>24173+2014+4502+642</f>
        <v>31331</v>
      </c>
      <c r="H64" s="2189">
        <f>24172+2014+4502+642</f>
        <v>31330</v>
      </c>
      <c r="I64" s="2189">
        <f>24172+2014+4502+642</f>
        <v>31330</v>
      </c>
      <c r="J64" s="2189"/>
      <c r="K64" s="2189"/>
      <c r="L64" s="2189"/>
      <c r="M64" s="2182">
        <f>SUM(E64:H64)</f>
        <v>101347</v>
      </c>
      <c r="N64" s="2182">
        <f>SUM(F64:I64)</f>
        <v>132677</v>
      </c>
      <c r="O64" s="2949"/>
      <c r="P64" s="906"/>
    </row>
    <row r="65" spans="1:17" s="907" customFormat="1" ht="13.5" hidden="1" customHeight="1">
      <c r="A65" s="3485"/>
      <c r="B65" s="2180" t="s">
        <v>110</v>
      </c>
      <c r="C65" s="1793"/>
      <c r="D65" s="2188"/>
      <c r="E65" s="2189"/>
      <c r="F65" s="2189">
        <f>1537+2936+2936+3750+6469+2250+750+16805</f>
        <v>37433</v>
      </c>
      <c r="G65" s="2189">
        <f>1537+2936+2936+3750+7219+2250</f>
        <v>20628</v>
      </c>
      <c r="H65" s="2189">
        <f>1537+2936+2936+3750+7219+2250</f>
        <v>20628</v>
      </c>
      <c r="I65" s="2189">
        <f>1537+2936+2936+3750+7219+2250</f>
        <v>20628</v>
      </c>
      <c r="J65" s="2189"/>
      <c r="K65" s="2189"/>
      <c r="L65" s="2189"/>
      <c r="M65" s="2182">
        <f>SUM(E65:H65)</f>
        <v>78689</v>
      </c>
      <c r="N65" s="2182">
        <f>SUM(F65:I65)</f>
        <v>99317</v>
      </c>
      <c r="O65" s="2949"/>
      <c r="P65" s="906"/>
    </row>
    <row r="66" spans="1:17" s="2564" customFormat="1" ht="12.75">
      <c r="A66" s="3485"/>
      <c r="B66" s="538" t="s">
        <v>22</v>
      </c>
      <c r="C66" s="2017"/>
      <c r="D66" s="2018">
        <f>+D67+D69</f>
        <v>390029</v>
      </c>
      <c r="E66" s="2018">
        <f t="shared" ref="E66" si="48">+E67+E69</f>
        <v>0</v>
      </c>
      <c r="F66" s="2018">
        <f t="shared" ref="F66:J66" si="49">+F67+F69</f>
        <v>113638</v>
      </c>
      <c r="G66" s="2018">
        <f t="shared" si="49"/>
        <v>85877</v>
      </c>
      <c r="H66" s="2018">
        <f t="shared" si="49"/>
        <v>69278</v>
      </c>
      <c r="I66" s="2018">
        <f t="shared" si="49"/>
        <v>69278</v>
      </c>
      <c r="J66" s="2018">
        <f t="shared" si="49"/>
        <v>51958</v>
      </c>
      <c r="K66" s="2129"/>
      <c r="L66" s="2129"/>
      <c r="M66" s="2901" t="s">
        <v>61</v>
      </c>
      <c r="N66" s="2901" t="s">
        <v>61</v>
      </c>
      <c r="O66" s="2949"/>
    </row>
    <row r="67" spans="1:17" s="2564" customFormat="1" ht="13.5" customHeight="1">
      <c r="A67" s="3485"/>
      <c r="B67" s="738" t="s">
        <v>24</v>
      </c>
      <c r="C67" s="2974" t="s">
        <v>149</v>
      </c>
      <c r="D67" s="2191">
        <f>+D68</f>
        <v>97508</v>
      </c>
      <c r="E67" s="2191">
        <f t="shared" ref="E67" si="50">+E68</f>
        <v>0</v>
      </c>
      <c r="F67" s="2192">
        <f t="shared" ref="F67:J67" si="51">+F68</f>
        <v>28409</v>
      </c>
      <c r="G67" s="2192">
        <f t="shared" si="51"/>
        <v>21470</v>
      </c>
      <c r="H67" s="2192">
        <f t="shared" si="51"/>
        <v>17319</v>
      </c>
      <c r="I67" s="2192">
        <f t="shared" si="51"/>
        <v>17320</v>
      </c>
      <c r="J67" s="2192">
        <f t="shared" si="51"/>
        <v>12990</v>
      </c>
      <c r="K67" s="2192"/>
      <c r="L67" s="2192"/>
      <c r="M67" s="2874"/>
      <c r="N67" s="2874"/>
      <c r="O67" s="2949"/>
    </row>
    <row r="68" spans="1:17" s="2564" customFormat="1" ht="12.75">
      <c r="A68" s="3485"/>
      <c r="B68" s="232" t="s">
        <v>13</v>
      </c>
      <c r="C68" s="3018"/>
      <c r="D68" s="1997">
        <f>E68+F68+G68+H68+I68+J68+K68+L68</f>
        <v>97508</v>
      </c>
      <c r="E68" s="1990">
        <v>0</v>
      </c>
      <c r="F68" s="1990">
        <v>28409</v>
      </c>
      <c r="G68" s="1990">
        <f>17319+6040-1889</f>
        <v>21470</v>
      </c>
      <c r="H68" s="1990">
        <v>17319</v>
      </c>
      <c r="I68" s="1990">
        <v>17320</v>
      </c>
      <c r="J68" s="1990">
        <v>12990</v>
      </c>
      <c r="K68" s="2193"/>
      <c r="L68" s="2193"/>
      <c r="M68" s="2874"/>
      <c r="N68" s="2874"/>
      <c r="O68" s="2949"/>
    </row>
    <row r="69" spans="1:17" s="2564" customFormat="1" ht="12.75">
      <c r="A69" s="3485"/>
      <c r="B69" s="1794" t="s">
        <v>18</v>
      </c>
      <c r="C69" s="3018"/>
      <c r="D69" s="1795">
        <f>+D70</f>
        <v>292521</v>
      </c>
      <c r="E69" s="1795">
        <f t="shared" ref="E69" si="52">+E70</f>
        <v>0</v>
      </c>
      <c r="F69" s="1795">
        <f>+F70</f>
        <v>85229</v>
      </c>
      <c r="G69" s="1795">
        <f>+G70</f>
        <v>64407</v>
      </c>
      <c r="H69" s="1795">
        <f>+H70</f>
        <v>51959</v>
      </c>
      <c r="I69" s="1795">
        <f>+I70</f>
        <v>51958</v>
      </c>
      <c r="J69" s="1795">
        <f>+J70</f>
        <v>38968</v>
      </c>
      <c r="K69" s="1796"/>
      <c r="L69" s="1796"/>
      <c r="M69" s="2874"/>
      <c r="N69" s="2874"/>
      <c r="O69" s="2949"/>
    </row>
    <row r="70" spans="1:17" s="2564" customFormat="1" ht="13.5" thickBot="1">
      <c r="A70" s="3482"/>
      <c r="B70" s="908" t="s">
        <v>20</v>
      </c>
      <c r="C70" s="3379"/>
      <c r="D70" s="1026">
        <f>E70+F70+G70+H70+I70+J70+K70+L70</f>
        <v>292521</v>
      </c>
      <c r="E70" s="1027">
        <v>0</v>
      </c>
      <c r="F70" s="533">
        <v>85229</v>
      </c>
      <c r="G70" s="533">
        <f>51959+18120-5672</f>
        <v>64407</v>
      </c>
      <c r="H70" s="533">
        <v>51959</v>
      </c>
      <c r="I70" s="533">
        <v>51958</v>
      </c>
      <c r="J70" s="533">
        <v>38968</v>
      </c>
      <c r="K70" s="898"/>
      <c r="L70" s="898"/>
      <c r="M70" s="2875"/>
      <c r="N70" s="2875"/>
      <c r="O70" s="3005"/>
    </row>
    <row r="71" spans="1:17" s="2564" customFormat="1" ht="27.75" customHeight="1">
      <c r="A71" s="3481" t="s">
        <v>66</v>
      </c>
      <c r="B71" s="75" t="s">
        <v>404</v>
      </c>
      <c r="C71" s="59" t="s">
        <v>81</v>
      </c>
      <c r="D71" s="904"/>
      <c r="E71" s="44"/>
      <c r="F71" s="44"/>
      <c r="G71" s="44"/>
      <c r="H71" s="44"/>
      <c r="I71" s="44"/>
      <c r="J71" s="44"/>
      <c r="K71" s="44"/>
      <c r="L71" s="44"/>
      <c r="M71" s="45"/>
      <c r="N71" s="45"/>
      <c r="O71" s="2942" t="s">
        <v>110</v>
      </c>
    </row>
    <row r="72" spans="1:17" s="2564" customFormat="1" ht="14.25" customHeight="1" thickBot="1">
      <c r="A72" s="3482"/>
      <c r="B72" s="732" t="s">
        <v>10</v>
      </c>
      <c r="C72" s="829"/>
      <c r="D72" s="781">
        <f>+D73+D75</f>
        <v>7561</v>
      </c>
      <c r="E72" s="781">
        <f>+E73+E75</f>
        <v>0</v>
      </c>
      <c r="F72" s="781">
        <f>+F73+F75</f>
        <v>7561</v>
      </c>
      <c r="G72" s="799">
        <v>0</v>
      </c>
      <c r="H72" s="1797">
        <v>0</v>
      </c>
      <c r="I72" s="1797">
        <v>0</v>
      </c>
      <c r="J72" s="1797">
        <v>0</v>
      </c>
      <c r="K72" s="1797">
        <v>0</v>
      </c>
      <c r="L72" s="1797">
        <v>0</v>
      </c>
      <c r="M72" s="782">
        <f>+M73+M75</f>
        <v>7561</v>
      </c>
      <c r="N72" s="782">
        <f>+N73+N75</f>
        <v>0</v>
      </c>
      <c r="O72" s="3388"/>
      <c r="P72" s="905" t="s">
        <v>414</v>
      </c>
    </row>
    <row r="73" spans="1:17" s="2564" customFormat="1" ht="13.5" customHeight="1" thickBot="1">
      <c r="A73" s="3482"/>
      <c r="B73" s="1071" t="s">
        <v>12</v>
      </c>
      <c r="C73" s="2887" t="s">
        <v>149</v>
      </c>
      <c r="D73" s="1791">
        <f>+D74</f>
        <v>1889</v>
      </c>
      <c r="E73" s="1791">
        <f>+E74</f>
        <v>0</v>
      </c>
      <c r="F73" s="1791">
        <f>+F74</f>
        <v>1889</v>
      </c>
      <c r="G73" s="1799">
        <v>0</v>
      </c>
      <c r="H73" s="1798">
        <v>0</v>
      </c>
      <c r="I73" s="1798">
        <v>0</v>
      </c>
      <c r="J73" s="1798">
        <v>0</v>
      </c>
      <c r="K73" s="1798">
        <v>0</v>
      </c>
      <c r="L73" s="1798">
        <v>0</v>
      </c>
      <c r="M73" s="1792">
        <f>+M74</f>
        <v>1889</v>
      </c>
      <c r="N73" s="1792">
        <f>+N74</f>
        <v>0</v>
      </c>
      <c r="O73" s="3388"/>
      <c r="P73" s="2564" t="s">
        <v>415</v>
      </c>
      <c r="Q73" s="905"/>
    </row>
    <row r="74" spans="1:17" s="2564" customFormat="1" ht="13.5" customHeight="1" thickBot="1">
      <c r="A74" s="3482"/>
      <c r="B74" s="232" t="s">
        <v>13</v>
      </c>
      <c r="C74" s="2947"/>
      <c r="D74" s="1671">
        <f>E74+F74+G74+H74+I74+J74+K74+L74</f>
        <v>1889</v>
      </c>
      <c r="E74" s="289">
        <v>0</v>
      </c>
      <c r="F74" s="792">
        <v>1889</v>
      </c>
      <c r="G74" s="1799">
        <v>0</v>
      </c>
      <c r="H74" s="1798">
        <v>0</v>
      </c>
      <c r="I74" s="1798">
        <v>0</v>
      </c>
      <c r="J74" s="1798">
        <v>0</v>
      </c>
      <c r="K74" s="1798">
        <v>0</v>
      </c>
      <c r="L74" s="1798">
        <v>0</v>
      </c>
      <c r="M74" s="648">
        <f>SUM(F74:K74)</f>
        <v>1889</v>
      </c>
      <c r="N74" s="648">
        <f>SUM(G74:L74)</f>
        <v>0</v>
      </c>
      <c r="O74" s="3388"/>
    </row>
    <row r="75" spans="1:17" s="1656" customFormat="1" ht="13.5" thickBot="1">
      <c r="A75" s="3483"/>
      <c r="B75" s="743" t="s">
        <v>18</v>
      </c>
      <c r="C75" s="2947"/>
      <c r="D75" s="784">
        <f>+D76</f>
        <v>5672</v>
      </c>
      <c r="E75" s="784">
        <f>+E76</f>
        <v>0</v>
      </c>
      <c r="F75" s="784">
        <f>+F76</f>
        <v>5672</v>
      </c>
      <c r="G75" s="800">
        <v>0</v>
      </c>
      <c r="H75" s="1798">
        <v>0</v>
      </c>
      <c r="I75" s="1798">
        <v>0</v>
      </c>
      <c r="J75" s="1798">
        <v>0</v>
      </c>
      <c r="K75" s="1798">
        <v>0</v>
      </c>
      <c r="L75" s="1798">
        <v>0</v>
      </c>
      <c r="M75" s="707">
        <f>+M76</f>
        <v>5672</v>
      </c>
      <c r="N75" s="707">
        <f>+N76</f>
        <v>0</v>
      </c>
      <c r="O75" s="3484"/>
      <c r="P75" s="1655"/>
    </row>
    <row r="76" spans="1:17" s="2564" customFormat="1" ht="13.5" thickBot="1">
      <c r="A76" s="3482"/>
      <c r="B76" s="894" t="s">
        <v>20</v>
      </c>
      <c r="C76" s="2922"/>
      <c r="D76" s="1671">
        <f>E76+F76+G76+H76+I76+J76+K76+L76</f>
        <v>5672</v>
      </c>
      <c r="E76" s="289">
        <v>0</v>
      </c>
      <c r="F76" s="1696">
        <v>5672</v>
      </c>
      <c r="G76" s="1800">
        <v>0</v>
      </c>
      <c r="H76" s="742">
        <v>0</v>
      </c>
      <c r="I76" s="742">
        <v>0</v>
      </c>
      <c r="J76" s="742">
        <v>0</v>
      </c>
      <c r="K76" s="742">
        <v>0</v>
      </c>
      <c r="L76" s="742">
        <v>0</v>
      </c>
      <c r="M76" s="648">
        <f>SUM(F76:K76)</f>
        <v>5672</v>
      </c>
      <c r="N76" s="648">
        <f>SUM(G76:L76)</f>
        <v>0</v>
      </c>
      <c r="O76" s="3388"/>
      <c r="P76" s="905"/>
    </row>
    <row r="77" spans="1:17" s="2564" customFormat="1" ht="13.5" thickBot="1">
      <c r="A77" s="3482"/>
      <c r="B77" s="538" t="s">
        <v>22</v>
      </c>
      <c r="C77" s="829"/>
      <c r="D77" s="780">
        <f>+D78+D80</f>
        <v>7561</v>
      </c>
      <c r="E77" s="780">
        <f>+E78+E80</f>
        <v>0</v>
      </c>
      <c r="F77" s="830">
        <v>0</v>
      </c>
      <c r="G77" s="780">
        <f>+G78+G80</f>
        <v>7561</v>
      </c>
      <c r="H77" s="830">
        <v>0</v>
      </c>
      <c r="I77" s="830">
        <v>0</v>
      </c>
      <c r="J77" s="830">
        <v>0</v>
      </c>
      <c r="K77" s="830">
        <v>0</v>
      </c>
      <c r="L77" s="830">
        <v>0</v>
      </c>
      <c r="M77" s="2864" t="s">
        <v>61</v>
      </c>
      <c r="N77" s="2864" t="s">
        <v>61</v>
      </c>
      <c r="O77" s="3388"/>
      <c r="P77" s="905"/>
    </row>
    <row r="78" spans="1:17" s="1656" customFormat="1" ht="12.75" customHeight="1" thickBot="1">
      <c r="A78" s="3483"/>
      <c r="B78" s="738" t="s">
        <v>24</v>
      </c>
      <c r="C78" s="2887" t="s">
        <v>149</v>
      </c>
      <c r="D78" s="814">
        <f>+D79</f>
        <v>1889</v>
      </c>
      <c r="E78" s="814">
        <f>+E79</f>
        <v>0</v>
      </c>
      <c r="F78" s="1067">
        <v>0</v>
      </c>
      <c r="G78" s="814">
        <f>+G79</f>
        <v>1889</v>
      </c>
      <c r="H78" s="1798">
        <v>0</v>
      </c>
      <c r="I78" s="1798">
        <v>0</v>
      </c>
      <c r="J78" s="1798">
        <v>0</v>
      </c>
      <c r="K78" s="1798">
        <v>0</v>
      </c>
      <c r="L78" s="1798">
        <v>0</v>
      </c>
      <c r="M78" s="2865"/>
      <c r="N78" s="2865"/>
      <c r="O78" s="3484"/>
      <c r="P78" s="1655"/>
    </row>
    <row r="79" spans="1:17" s="2564" customFormat="1" ht="13.5" customHeight="1" thickBot="1">
      <c r="A79" s="3482"/>
      <c r="B79" s="232" t="s">
        <v>13</v>
      </c>
      <c r="C79" s="2947"/>
      <c r="D79" s="1671">
        <f>E79+F79+G79+H79+I79+J79+K79+L79</f>
        <v>1889</v>
      </c>
      <c r="E79" s="289">
        <v>0</v>
      </c>
      <c r="F79" s="1068">
        <v>0</v>
      </c>
      <c r="G79" s="792">
        <v>1889</v>
      </c>
      <c r="H79" s="742">
        <v>0</v>
      </c>
      <c r="I79" s="742">
        <v>0</v>
      </c>
      <c r="J79" s="742">
        <v>0</v>
      </c>
      <c r="K79" s="742">
        <v>0</v>
      </c>
      <c r="L79" s="742">
        <v>0</v>
      </c>
      <c r="M79" s="2865"/>
      <c r="N79" s="2865"/>
      <c r="O79" s="3388"/>
    </row>
    <row r="80" spans="1:17" s="2564" customFormat="1" ht="13.5" customHeight="1" thickBot="1">
      <c r="A80" s="3482"/>
      <c r="B80" s="1794" t="s">
        <v>18</v>
      </c>
      <c r="C80" s="2947"/>
      <c r="D80" s="1048">
        <f>+D81</f>
        <v>5672</v>
      </c>
      <c r="E80" s="1048">
        <f>+E81</f>
        <v>0</v>
      </c>
      <c r="F80" s="1075">
        <v>0</v>
      </c>
      <c r="G80" s="1048">
        <f>+G81</f>
        <v>5672</v>
      </c>
      <c r="H80" s="1070">
        <v>0</v>
      </c>
      <c r="I80" s="1070">
        <v>0</v>
      </c>
      <c r="J80" s="1070">
        <v>0</v>
      </c>
      <c r="K80" s="1070">
        <v>0</v>
      </c>
      <c r="L80" s="1070">
        <v>0</v>
      </c>
      <c r="M80" s="2865"/>
      <c r="N80" s="2865"/>
      <c r="O80" s="3388"/>
    </row>
    <row r="81" spans="1:16" s="2564" customFormat="1" ht="13.5" customHeight="1" thickBot="1">
      <c r="A81" s="3482"/>
      <c r="B81" s="908" t="s">
        <v>20</v>
      </c>
      <c r="C81" s="2935"/>
      <c r="D81" s="1671">
        <f>E81+F81+G81+H81+I81+J81+K81+L81</f>
        <v>5672</v>
      </c>
      <c r="E81" s="289">
        <v>0</v>
      </c>
      <c r="F81" s="1801">
        <v>0</v>
      </c>
      <c r="G81" s="1696">
        <v>5672</v>
      </c>
      <c r="H81" s="742">
        <v>0</v>
      </c>
      <c r="I81" s="742">
        <v>0</v>
      </c>
      <c r="J81" s="742">
        <v>0</v>
      </c>
      <c r="K81" s="742">
        <v>0</v>
      </c>
      <c r="L81" s="742">
        <v>0</v>
      </c>
      <c r="M81" s="2866"/>
      <c r="N81" s="2866"/>
      <c r="O81" s="3388"/>
      <c r="P81" s="905"/>
    </row>
    <row r="82" spans="1:16" ht="28.5" customHeight="1" thickBot="1">
      <c r="A82" s="194" t="s">
        <v>244</v>
      </c>
      <c r="B82" s="853"/>
      <c r="C82" s="853"/>
      <c r="D82" s="853"/>
      <c r="E82" s="853"/>
      <c r="F82" s="853"/>
      <c r="G82" s="853"/>
      <c r="H82" s="853"/>
      <c r="I82" s="853"/>
      <c r="J82" s="853"/>
      <c r="K82" s="853"/>
      <c r="L82" s="853"/>
      <c r="M82" s="854"/>
      <c r="N82" s="854"/>
      <c r="O82" s="855"/>
    </row>
    <row r="83" spans="1:16" ht="15.75" customHeight="1">
      <c r="A83" s="727"/>
      <c r="B83" s="224" t="s">
        <v>76</v>
      </c>
      <c r="C83" s="225"/>
      <c r="D83" s="226">
        <f>+D84+D85</f>
        <v>312355</v>
      </c>
      <c r="E83" s="226">
        <v>24302</v>
      </c>
      <c r="F83" s="226">
        <f t="shared" ref="F83" si="53">+F84+F85</f>
        <v>54161</v>
      </c>
      <c r="G83" s="226">
        <f t="shared" ref="G83:N83" si="54">+G84+G85</f>
        <v>208325</v>
      </c>
      <c r="H83" s="226">
        <f t="shared" si="54"/>
        <v>25567</v>
      </c>
      <c r="I83" s="226">
        <f t="shared" si="54"/>
        <v>0</v>
      </c>
      <c r="J83" s="226">
        <f t="shared" si="54"/>
        <v>0</v>
      </c>
      <c r="K83" s="226">
        <f t="shared" si="54"/>
        <v>0</v>
      </c>
      <c r="L83" s="226">
        <f t="shared" si="54"/>
        <v>0</v>
      </c>
      <c r="M83" s="153">
        <f t="shared" ref="M83" si="55">+M84+M85</f>
        <v>288053</v>
      </c>
      <c r="N83" s="153">
        <f t="shared" si="54"/>
        <v>233892</v>
      </c>
      <c r="O83" s="3299" t="s">
        <v>61</v>
      </c>
    </row>
    <row r="84" spans="1:16" ht="16.5" customHeight="1">
      <c r="A84" s="727"/>
      <c r="B84" s="216" t="s">
        <v>77</v>
      </c>
      <c r="C84" s="217"/>
      <c r="D84" s="218">
        <f>+D94+D98</f>
        <v>312355</v>
      </c>
      <c r="E84" s="218">
        <v>24302</v>
      </c>
      <c r="F84" s="218">
        <f t="shared" ref="F84:L84" si="56">+F94+F98</f>
        <v>54161</v>
      </c>
      <c r="G84" s="218">
        <f t="shared" si="56"/>
        <v>208325</v>
      </c>
      <c r="H84" s="218">
        <f t="shared" si="56"/>
        <v>25567</v>
      </c>
      <c r="I84" s="218">
        <f t="shared" si="56"/>
        <v>0</v>
      </c>
      <c r="J84" s="218">
        <f t="shared" si="56"/>
        <v>0</v>
      </c>
      <c r="K84" s="218">
        <f t="shared" si="56"/>
        <v>0</v>
      </c>
      <c r="L84" s="218">
        <f t="shared" si="56"/>
        <v>0</v>
      </c>
      <c r="M84" s="1107">
        <f>SUM(F84:K84)</f>
        <v>288053</v>
      </c>
      <c r="N84" s="1107">
        <f>SUM(G84:L84)</f>
        <v>233892</v>
      </c>
      <c r="O84" s="3300"/>
    </row>
    <row r="85" spans="1:16" ht="12.75" thickBot="1">
      <c r="A85" s="727"/>
      <c r="B85" s="909" t="s">
        <v>9</v>
      </c>
      <c r="C85" s="217"/>
      <c r="D85" s="218"/>
      <c r="E85" s="218"/>
      <c r="F85" s="218"/>
      <c r="G85" s="380"/>
      <c r="H85" s="380"/>
      <c r="I85" s="380"/>
      <c r="J85" s="380"/>
      <c r="K85" s="380"/>
      <c r="L85" s="380"/>
      <c r="M85" s="155">
        <f>SUM(F85:H85)</f>
        <v>0</v>
      </c>
      <c r="N85" s="155">
        <f>SUM(G85:I85)</f>
        <v>0</v>
      </c>
      <c r="O85" s="3300"/>
    </row>
    <row r="86" spans="1:16" ht="15.75" customHeight="1">
      <c r="A86" s="381"/>
      <c r="B86" s="184" t="s">
        <v>10</v>
      </c>
      <c r="C86" s="185"/>
      <c r="D86" s="159">
        <f>+D87</f>
        <v>312355</v>
      </c>
      <c r="E86" s="159">
        <v>24302</v>
      </c>
      <c r="F86" s="159">
        <f t="shared" ref="F86:L87" si="57">+F87</f>
        <v>54161</v>
      </c>
      <c r="G86" s="159">
        <f t="shared" si="57"/>
        <v>208325</v>
      </c>
      <c r="H86" s="159">
        <f t="shared" si="57"/>
        <v>25567</v>
      </c>
      <c r="I86" s="159">
        <f t="shared" si="57"/>
        <v>0</v>
      </c>
      <c r="J86" s="159">
        <f t="shared" si="57"/>
        <v>0</v>
      </c>
      <c r="K86" s="159">
        <f t="shared" si="57"/>
        <v>0</v>
      </c>
      <c r="L86" s="159">
        <f t="shared" si="57"/>
        <v>0</v>
      </c>
      <c r="M86" s="382">
        <f>+M87</f>
        <v>288053</v>
      </c>
      <c r="N86" s="382">
        <f>+N87</f>
        <v>233892</v>
      </c>
      <c r="O86" s="3300"/>
    </row>
    <row r="87" spans="1:16" ht="15" customHeight="1">
      <c r="A87" s="198"/>
      <c r="B87" s="160" t="s">
        <v>11</v>
      </c>
      <c r="C87" s="3302" t="s">
        <v>61</v>
      </c>
      <c r="D87" s="689">
        <f>+D88+D89</f>
        <v>312355</v>
      </c>
      <c r="E87" s="689">
        <v>24302</v>
      </c>
      <c r="F87" s="689">
        <f t="shared" si="57"/>
        <v>54161</v>
      </c>
      <c r="G87" s="689">
        <f t="shared" si="57"/>
        <v>208325</v>
      </c>
      <c r="H87" s="689">
        <f t="shared" si="57"/>
        <v>25567</v>
      </c>
      <c r="I87" s="689">
        <f t="shared" si="57"/>
        <v>0</v>
      </c>
      <c r="J87" s="689">
        <f t="shared" si="57"/>
        <v>0</v>
      </c>
      <c r="K87" s="689">
        <f t="shared" si="57"/>
        <v>0</v>
      </c>
      <c r="L87" s="689">
        <f t="shared" si="57"/>
        <v>0</v>
      </c>
      <c r="M87" s="690">
        <f>+M88+M89</f>
        <v>288053</v>
      </c>
      <c r="N87" s="690">
        <f>+N88+N89</f>
        <v>233892</v>
      </c>
      <c r="O87" s="3300"/>
    </row>
    <row r="88" spans="1:16" ht="15" customHeight="1" thickBot="1">
      <c r="A88" s="858"/>
      <c r="B88" s="163" t="s">
        <v>12</v>
      </c>
      <c r="C88" s="3303"/>
      <c r="D88" s="691">
        <f>+D96+D103+D107+D100</f>
        <v>312355</v>
      </c>
      <c r="E88" s="691">
        <v>24302</v>
      </c>
      <c r="F88" s="691">
        <f t="shared" ref="F88:L88" si="58">+F96+F103+F107+F100</f>
        <v>54161</v>
      </c>
      <c r="G88" s="691">
        <f t="shared" si="58"/>
        <v>208325</v>
      </c>
      <c r="H88" s="691">
        <f t="shared" si="58"/>
        <v>25567</v>
      </c>
      <c r="I88" s="691">
        <f t="shared" si="58"/>
        <v>0</v>
      </c>
      <c r="J88" s="691">
        <f t="shared" si="58"/>
        <v>0</v>
      </c>
      <c r="K88" s="691">
        <f t="shared" si="58"/>
        <v>0</v>
      </c>
      <c r="L88" s="691">
        <f t="shared" si="58"/>
        <v>0</v>
      </c>
      <c r="M88" s="648">
        <f>SUM(F88:K88)</f>
        <v>288053</v>
      </c>
      <c r="N88" s="648">
        <f>SUM(G88:L88)</f>
        <v>233892</v>
      </c>
      <c r="O88" s="3300"/>
    </row>
    <row r="89" spans="1:16" ht="12.75" hidden="1" thickBot="1">
      <c r="A89" s="858"/>
      <c r="B89" s="163" t="s">
        <v>14</v>
      </c>
      <c r="C89" s="3480"/>
      <c r="D89" s="691">
        <f>+D108</f>
        <v>0</v>
      </c>
      <c r="E89" s="1551">
        <v>0</v>
      </c>
      <c r="F89" s="691">
        <f t="shared" ref="F89:I89" si="59">+F108</f>
        <v>0</v>
      </c>
      <c r="G89" s="691">
        <f t="shared" si="59"/>
        <v>0</v>
      </c>
      <c r="H89" s="691">
        <f t="shared" si="59"/>
        <v>0</v>
      </c>
      <c r="I89" s="691">
        <f t="shared" si="59"/>
        <v>0</v>
      </c>
      <c r="J89" s="691"/>
      <c r="K89" s="691"/>
      <c r="L89" s="691"/>
      <c r="M89" s="563">
        <f>SUM(E89:K89)</f>
        <v>0</v>
      </c>
      <c r="N89" s="563">
        <f>SUM(F89:L89)</f>
        <v>0</v>
      </c>
      <c r="O89" s="3300"/>
    </row>
    <row r="90" spans="1:16" ht="12" hidden="1" customHeight="1">
      <c r="A90" s="381"/>
      <c r="B90" s="83" t="s">
        <v>22</v>
      </c>
      <c r="C90" s="92"/>
      <c r="D90" s="197">
        <f>+D91</f>
        <v>0</v>
      </c>
      <c r="E90" s="1552">
        <v>0</v>
      </c>
      <c r="F90" s="197">
        <f t="shared" ref="F90:I91" si="60">+F91</f>
        <v>0</v>
      </c>
      <c r="G90" s="197">
        <f t="shared" si="60"/>
        <v>0</v>
      </c>
      <c r="H90" s="197">
        <f t="shared" si="60"/>
        <v>0</v>
      </c>
      <c r="I90" s="197">
        <f t="shared" si="60"/>
        <v>0</v>
      </c>
      <c r="J90" s="197"/>
      <c r="K90" s="197"/>
      <c r="L90" s="197"/>
      <c r="M90" s="3258" t="s">
        <v>61</v>
      </c>
      <c r="N90" s="3258" t="s">
        <v>61</v>
      </c>
      <c r="O90" s="3300"/>
    </row>
    <row r="91" spans="1:16" ht="12" hidden="1" customHeight="1">
      <c r="A91" s="381"/>
      <c r="B91" s="160" t="s">
        <v>11</v>
      </c>
      <c r="C91" s="3302" t="s">
        <v>61</v>
      </c>
      <c r="D91" s="689">
        <f>+D92</f>
        <v>0</v>
      </c>
      <c r="E91" s="1550">
        <v>0</v>
      </c>
      <c r="F91" s="689">
        <f t="shared" si="60"/>
        <v>0</v>
      </c>
      <c r="G91" s="689">
        <f t="shared" si="60"/>
        <v>0</v>
      </c>
      <c r="H91" s="689">
        <f t="shared" si="60"/>
        <v>0</v>
      </c>
      <c r="I91" s="689">
        <f t="shared" si="60"/>
        <v>0</v>
      </c>
      <c r="J91" s="689"/>
      <c r="K91" s="689"/>
      <c r="L91" s="689"/>
      <c r="M91" s="3177"/>
      <c r="N91" s="3177"/>
      <c r="O91" s="3300"/>
    </row>
    <row r="92" spans="1:16" ht="12.75" hidden="1" customHeight="1" thickBot="1">
      <c r="A92" s="858"/>
      <c r="B92" s="163" t="s">
        <v>14</v>
      </c>
      <c r="C92" s="3303"/>
      <c r="D92" s="691">
        <f>+D111</f>
        <v>0</v>
      </c>
      <c r="E92" s="1551">
        <v>0</v>
      </c>
      <c r="F92" s="691">
        <f t="shared" ref="F92:I92" si="61">+F111</f>
        <v>0</v>
      </c>
      <c r="G92" s="691">
        <f t="shared" si="61"/>
        <v>0</v>
      </c>
      <c r="H92" s="691">
        <f t="shared" si="61"/>
        <v>0</v>
      </c>
      <c r="I92" s="691">
        <f t="shared" si="61"/>
        <v>0</v>
      </c>
      <c r="J92" s="388"/>
      <c r="K92" s="388"/>
      <c r="L92" s="388"/>
      <c r="M92" s="3178"/>
      <c r="N92" s="3178"/>
      <c r="O92" s="3301"/>
    </row>
    <row r="93" spans="1:16" ht="18" customHeight="1">
      <c r="A93" s="3264" t="s">
        <v>63</v>
      </c>
      <c r="B93" s="389" t="s">
        <v>271</v>
      </c>
      <c r="C93" s="674" t="s">
        <v>109</v>
      </c>
      <c r="D93" s="910"/>
      <c r="E93" s="1553"/>
      <c r="F93" s="911"/>
      <c r="G93" s="911"/>
      <c r="H93" s="911"/>
      <c r="I93" s="911"/>
      <c r="J93" s="911"/>
      <c r="K93" s="911"/>
      <c r="L93" s="911"/>
      <c r="M93" s="359"/>
      <c r="N93" s="359"/>
      <c r="O93" s="3283" t="s">
        <v>307</v>
      </c>
    </row>
    <row r="94" spans="1:16" ht="17.25" customHeight="1">
      <c r="A94" s="3265"/>
      <c r="B94" s="83" t="s">
        <v>10</v>
      </c>
      <c r="C94" s="912"/>
      <c r="D94" s="546">
        <f>+D95</f>
        <v>103580</v>
      </c>
      <c r="E94" s="546">
        <f t="shared" ref="E94:N95" si="62">+E95</f>
        <v>24302</v>
      </c>
      <c r="F94" s="546">
        <f t="shared" si="62"/>
        <v>26855</v>
      </c>
      <c r="G94" s="546">
        <f t="shared" si="62"/>
        <v>26856</v>
      </c>
      <c r="H94" s="546">
        <f t="shared" si="62"/>
        <v>25567</v>
      </c>
      <c r="I94" s="692">
        <v>0</v>
      </c>
      <c r="J94" s="692">
        <v>0</v>
      </c>
      <c r="K94" s="692">
        <v>0</v>
      </c>
      <c r="L94" s="692">
        <v>0</v>
      </c>
      <c r="M94" s="693">
        <f t="shared" si="62"/>
        <v>79278</v>
      </c>
      <c r="N94" s="693">
        <f t="shared" si="62"/>
        <v>52423</v>
      </c>
      <c r="O94" s="3478"/>
    </row>
    <row r="95" spans="1:16" ht="15.75" customHeight="1">
      <c r="A95" s="3265"/>
      <c r="B95" s="694" t="s">
        <v>24</v>
      </c>
      <c r="C95" s="3309" t="s">
        <v>245</v>
      </c>
      <c r="D95" s="695">
        <f>+D96</f>
        <v>103580</v>
      </c>
      <c r="E95" s="695">
        <f t="shared" si="62"/>
        <v>24302</v>
      </c>
      <c r="F95" s="695">
        <f t="shared" si="62"/>
        <v>26855</v>
      </c>
      <c r="G95" s="695">
        <f t="shared" si="62"/>
        <v>26856</v>
      </c>
      <c r="H95" s="695">
        <f t="shared" si="62"/>
        <v>25567</v>
      </c>
      <c r="I95" s="696">
        <v>0</v>
      </c>
      <c r="J95" s="696">
        <v>0</v>
      </c>
      <c r="K95" s="696">
        <v>0</v>
      </c>
      <c r="L95" s="696">
        <v>0</v>
      </c>
      <c r="M95" s="697">
        <f t="shared" si="62"/>
        <v>79278</v>
      </c>
      <c r="N95" s="697">
        <f t="shared" si="62"/>
        <v>52423</v>
      </c>
      <c r="O95" s="3478"/>
    </row>
    <row r="96" spans="1:16" ht="15" customHeight="1" thickBot="1">
      <c r="A96" s="3266"/>
      <c r="B96" s="698" t="s">
        <v>12</v>
      </c>
      <c r="C96" s="3267"/>
      <c r="D96" s="1671">
        <f>E96+F96+G96+H96+I96+J96+K96+L96</f>
        <v>103580</v>
      </c>
      <c r="E96" s="289">
        <v>24302</v>
      </c>
      <c r="F96" s="612">
        <v>26855</v>
      </c>
      <c r="G96" s="612">
        <v>26856</v>
      </c>
      <c r="H96" s="612">
        <v>25567</v>
      </c>
      <c r="I96" s="699">
        <v>0</v>
      </c>
      <c r="J96" s="699">
        <v>0</v>
      </c>
      <c r="K96" s="699">
        <v>0</v>
      </c>
      <c r="L96" s="699">
        <v>0</v>
      </c>
      <c r="M96" s="648">
        <f>SUM(F96:K96)</f>
        <v>79278</v>
      </c>
      <c r="N96" s="648">
        <f>SUM(G96:L96)</f>
        <v>52423</v>
      </c>
      <c r="O96" s="3479"/>
    </row>
    <row r="97" spans="1:17" ht="25.5" customHeight="1">
      <c r="A97" s="3264" t="s">
        <v>64</v>
      </c>
      <c r="B97" s="389" t="s">
        <v>386</v>
      </c>
      <c r="C97" s="674" t="s">
        <v>109</v>
      </c>
      <c r="D97" s="910"/>
      <c r="E97" s="1553"/>
      <c r="F97" s="911"/>
      <c r="G97" s="911"/>
      <c r="H97" s="911"/>
      <c r="I97" s="911"/>
      <c r="J97" s="911"/>
      <c r="K97" s="911"/>
      <c r="L97" s="911"/>
      <c r="M97" s="359"/>
      <c r="N97" s="359"/>
      <c r="O97" s="3283" t="s">
        <v>301</v>
      </c>
      <c r="Q97" s="666">
        <f>+N98+N94</f>
        <v>233892</v>
      </c>
    </row>
    <row r="98" spans="1:17" ht="17.25" customHeight="1">
      <c r="A98" s="3265"/>
      <c r="B98" s="83" t="s">
        <v>10</v>
      </c>
      <c r="C98" s="912"/>
      <c r="D98" s="546">
        <f>+D99</f>
        <v>208775</v>
      </c>
      <c r="E98" s="692">
        <f t="shared" ref="E98:N99" si="63">+E99</f>
        <v>0</v>
      </c>
      <c r="F98" s="546">
        <f t="shared" si="63"/>
        <v>27306</v>
      </c>
      <c r="G98" s="546">
        <f t="shared" si="63"/>
        <v>181469</v>
      </c>
      <c r="H98" s="692">
        <f t="shared" si="63"/>
        <v>0</v>
      </c>
      <c r="I98" s="692">
        <v>0</v>
      </c>
      <c r="J98" s="692">
        <v>0</v>
      </c>
      <c r="K98" s="692">
        <v>0</v>
      </c>
      <c r="L98" s="1534">
        <v>0</v>
      </c>
      <c r="M98" s="2827">
        <f t="shared" si="63"/>
        <v>208775</v>
      </c>
      <c r="N98" s="2827">
        <f t="shared" si="63"/>
        <v>181469</v>
      </c>
      <c r="O98" s="3478"/>
    </row>
    <row r="99" spans="1:17" ht="15.75" customHeight="1">
      <c r="A99" s="3265"/>
      <c r="B99" s="694" t="s">
        <v>24</v>
      </c>
      <c r="C99" s="3309" t="s">
        <v>385</v>
      </c>
      <c r="D99" s="2828">
        <f>+D100</f>
        <v>208775</v>
      </c>
      <c r="E99" s="1798">
        <f t="shared" si="63"/>
        <v>0</v>
      </c>
      <c r="F99" s="2828">
        <f t="shared" si="63"/>
        <v>27306</v>
      </c>
      <c r="G99" s="2828">
        <f t="shared" si="63"/>
        <v>181469</v>
      </c>
      <c r="H99" s="1798">
        <f t="shared" si="63"/>
        <v>0</v>
      </c>
      <c r="I99" s="1798">
        <v>0</v>
      </c>
      <c r="J99" s="1798">
        <v>0</v>
      </c>
      <c r="K99" s="1798">
        <v>0</v>
      </c>
      <c r="L99" s="2829">
        <v>0</v>
      </c>
      <c r="M99" s="2830">
        <f t="shared" si="63"/>
        <v>208775</v>
      </c>
      <c r="N99" s="2830">
        <f t="shared" si="63"/>
        <v>181469</v>
      </c>
      <c r="O99" s="3478"/>
    </row>
    <row r="100" spans="1:17" ht="15" customHeight="1" thickBot="1">
      <c r="A100" s="3266"/>
      <c r="B100" s="698" t="s">
        <v>12</v>
      </c>
      <c r="C100" s="3267"/>
      <c r="D100" s="1026">
        <f>E100+F100+G100+H100+I100+J100+K100+L100</f>
        <v>208775</v>
      </c>
      <c r="E100" s="699">
        <v>0</v>
      </c>
      <c r="F100" s="612">
        <f>34000-6694</f>
        <v>27306</v>
      </c>
      <c r="G100" s="612">
        <f>166000+15469</f>
        <v>181469</v>
      </c>
      <c r="H100" s="699">
        <v>0</v>
      </c>
      <c r="I100" s="699">
        <v>0</v>
      </c>
      <c r="J100" s="699">
        <v>0</v>
      </c>
      <c r="K100" s="699">
        <v>0</v>
      </c>
      <c r="L100" s="699">
        <v>0</v>
      </c>
      <c r="M100" s="2831">
        <f>SUM(F100:K100)</f>
        <v>208775</v>
      </c>
      <c r="N100" s="648">
        <f>SUM(G100:L100)</f>
        <v>181469</v>
      </c>
      <c r="O100" s="3479"/>
    </row>
    <row r="101" spans="1:17" ht="30" customHeight="1">
      <c r="A101" s="3464"/>
      <c r="B101" s="3464"/>
      <c r="C101" s="3464"/>
      <c r="D101" s="3464"/>
      <c r="E101" s="3464"/>
      <c r="F101" s="3464"/>
      <c r="G101" s="3464"/>
      <c r="H101" s="3464"/>
      <c r="I101" s="3464"/>
      <c r="J101" s="3464"/>
      <c r="K101" s="3464"/>
      <c r="L101" s="3464"/>
      <c r="M101" s="2565"/>
      <c r="N101" s="3464"/>
      <c r="O101" s="3464"/>
    </row>
    <row r="103" spans="1:17" ht="12.75" hidden="1">
      <c r="B103" s="1573" t="s">
        <v>390</v>
      </c>
      <c r="C103" s="1652"/>
      <c r="D103" s="1652"/>
      <c r="E103" s="1652"/>
      <c r="F103" s="1652"/>
      <c r="G103" s="1652"/>
      <c r="H103" s="1652"/>
      <c r="I103" s="1652"/>
      <c r="J103" s="1652"/>
      <c r="K103" s="1652"/>
      <c r="L103" s="1652"/>
    </row>
    <row r="104" spans="1:17" ht="12.75" hidden="1">
      <c r="B104" s="1653" t="s">
        <v>391</v>
      </c>
      <c r="C104" s="1652"/>
      <c r="D104" s="1654">
        <f t="shared" ref="D104:L104" si="64">D30+D39+D66</f>
        <v>1968205</v>
      </c>
      <c r="E104" s="1654">
        <f t="shared" si="64"/>
        <v>0</v>
      </c>
      <c r="F104" s="1654">
        <f t="shared" si="64"/>
        <v>406577</v>
      </c>
      <c r="G104" s="1654">
        <f t="shared" si="64"/>
        <v>711705</v>
      </c>
      <c r="H104" s="1654">
        <f t="shared" si="64"/>
        <v>619162</v>
      </c>
      <c r="I104" s="1654">
        <f t="shared" si="64"/>
        <v>131451</v>
      </c>
      <c r="J104" s="1654">
        <f t="shared" si="64"/>
        <v>99310</v>
      </c>
      <c r="K104" s="1654">
        <f t="shared" si="64"/>
        <v>0</v>
      </c>
      <c r="L104" s="1654">
        <f t="shared" si="64"/>
        <v>0</v>
      </c>
    </row>
    <row r="105" spans="1:17" ht="12.75" hidden="1">
      <c r="B105" s="1653" t="s">
        <v>392</v>
      </c>
      <c r="C105" s="1652"/>
      <c r="D105" s="1654">
        <f>D77</f>
        <v>7561</v>
      </c>
      <c r="E105" s="1654">
        <v>0</v>
      </c>
      <c r="F105" s="1654">
        <f>F77</f>
        <v>0</v>
      </c>
      <c r="G105" s="1654">
        <f>G77</f>
        <v>7561</v>
      </c>
      <c r="H105" s="1654">
        <f t="shared" ref="H105:L105" si="65">H77</f>
        <v>0</v>
      </c>
      <c r="I105" s="1654">
        <f t="shared" si="65"/>
        <v>0</v>
      </c>
      <c r="J105" s="1654">
        <f t="shared" si="65"/>
        <v>0</v>
      </c>
      <c r="K105" s="1654">
        <f t="shared" si="65"/>
        <v>0</v>
      </c>
      <c r="L105" s="1654">
        <f t="shared" si="65"/>
        <v>0</v>
      </c>
    </row>
    <row r="106" spans="1:17" ht="12.75" hidden="1">
      <c r="B106" s="1653" t="s">
        <v>393</v>
      </c>
      <c r="C106" s="1652"/>
      <c r="D106" s="1571">
        <f>D104+D105</f>
        <v>1975766</v>
      </c>
      <c r="E106" s="1571">
        <f>E104+E105</f>
        <v>0</v>
      </c>
      <c r="F106" s="1571">
        <f t="shared" ref="F106:L106" si="66">F104+F105</f>
        <v>406577</v>
      </c>
      <c r="G106" s="1571">
        <f t="shared" si="66"/>
        <v>719266</v>
      </c>
      <c r="H106" s="1571">
        <f t="shared" si="66"/>
        <v>619162</v>
      </c>
      <c r="I106" s="1571">
        <f t="shared" si="66"/>
        <v>131451</v>
      </c>
      <c r="J106" s="1571">
        <f t="shared" si="66"/>
        <v>99310</v>
      </c>
      <c r="K106" s="1571">
        <f t="shared" si="66"/>
        <v>0</v>
      </c>
      <c r="L106" s="1571">
        <f t="shared" si="66"/>
        <v>0</v>
      </c>
    </row>
    <row r="107" spans="1:17" ht="12.75" hidden="1">
      <c r="B107" s="1567" t="s">
        <v>42</v>
      </c>
      <c r="C107" s="1569"/>
      <c r="D107" s="1572">
        <f t="shared" ref="D107:L107" si="67">D106-D18</f>
        <v>0</v>
      </c>
      <c r="E107" s="1572">
        <f t="shared" si="67"/>
        <v>0</v>
      </c>
      <c r="F107" s="1572">
        <f t="shared" si="67"/>
        <v>0</v>
      </c>
      <c r="G107" s="1572">
        <f t="shared" si="67"/>
        <v>0</v>
      </c>
      <c r="H107" s="1572">
        <f t="shared" si="67"/>
        <v>0</v>
      </c>
      <c r="I107" s="1572">
        <f t="shared" si="67"/>
        <v>0</v>
      </c>
      <c r="J107" s="1572">
        <f t="shared" si="67"/>
        <v>0</v>
      </c>
      <c r="K107" s="1572">
        <f t="shared" si="67"/>
        <v>0</v>
      </c>
      <c r="L107" s="1572">
        <f t="shared" si="67"/>
        <v>0</v>
      </c>
    </row>
    <row r="108" spans="1:17" hidden="1"/>
    <row r="109" spans="1:17" hidden="1"/>
    <row r="110" spans="1:17" hidden="1"/>
    <row r="111" spans="1:17" hidden="1"/>
  </sheetData>
  <mergeCells count="54">
    <mergeCell ref="F5:F6"/>
    <mergeCell ref="G5:L5"/>
    <mergeCell ref="A97:A100"/>
    <mergeCell ref="O97:O100"/>
    <mergeCell ref="C99:C100"/>
    <mergeCell ref="N18:N23"/>
    <mergeCell ref="A53:A70"/>
    <mergeCell ref="A42:A52"/>
    <mergeCell ref="O42:O52"/>
    <mergeCell ref="C44:C47"/>
    <mergeCell ref="C51:C52"/>
    <mergeCell ref="N48:N52"/>
    <mergeCell ref="N66:N70"/>
    <mergeCell ref="C55:C62"/>
    <mergeCell ref="C67:C70"/>
    <mergeCell ref="O53:O70"/>
    <mergeCell ref="O33:O41"/>
    <mergeCell ref="N39:N41"/>
    <mergeCell ref="A93:A96"/>
    <mergeCell ref="O93:O96"/>
    <mergeCell ref="C95:C96"/>
    <mergeCell ref="O83:O92"/>
    <mergeCell ref="C87:C89"/>
    <mergeCell ref="N90:N92"/>
    <mergeCell ref="C91:C92"/>
    <mergeCell ref="A71:A81"/>
    <mergeCell ref="O71:O81"/>
    <mergeCell ref="N77:N81"/>
    <mergeCell ref="C73:C76"/>
    <mergeCell ref="C78:C81"/>
    <mergeCell ref="M66:M70"/>
    <mergeCell ref="M77:M81"/>
    <mergeCell ref="A101:L101"/>
    <mergeCell ref="N101:O101"/>
    <mergeCell ref="A4:O4"/>
    <mergeCell ref="B5:B6"/>
    <mergeCell ref="C5:C6"/>
    <mergeCell ref="D5:D6"/>
    <mergeCell ref="O5:O6"/>
    <mergeCell ref="N5:N6"/>
    <mergeCell ref="A24:A32"/>
    <mergeCell ref="O24:O32"/>
    <mergeCell ref="C26:C29"/>
    <mergeCell ref="C31:C32"/>
    <mergeCell ref="N30:N32"/>
    <mergeCell ref="C35:C38"/>
    <mergeCell ref="C40:C41"/>
    <mergeCell ref="A33:A41"/>
    <mergeCell ref="M90:M92"/>
    <mergeCell ref="M5:M6"/>
    <mergeCell ref="M18:M23"/>
    <mergeCell ref="M30:M32"/>
    <mergeCell ref="M39:M41"/>
    <mergeCell ref="M48:M52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56" orientation="landscape" useFirstPageNumber="1" r:id="rId1"/>
  <headerFooter>
    <oddHeader>&amp;C&amp;"Arial,Kursywa"Wieloletnia prognoza finansowa Województwa Zachodniopomorskiego na lata 2017-2044&amp;"Arial,Normalny"
____________________________________________________________________________________________________________________</oddHeader>
    <oddFooter>&amp;C&amp;9&amp;P</oddFooter>
  </headerFooter>
  <rowBreaks count="1" manualBreakCount="1">
    <brk id="7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A654"/>
  <sheetViews>
    <sheetView showGridLines="0" view="pageBreakPreview" zoomScale="106" zoomScaleNormal="100" zoomScaleSheetLayoutView="106" workbookViewId="0"/>
  </sheetViews>
  <sheetFormatPr defaultColWidth="9.140625" defaultRowHeight="12.75"/>
  <cols>
    <col min="1" max="1" width="3.42578125" style="237" customWidth="1"/>
    <col min="2" max="2" width="61.42578125" style="237" customWidth="1"/>
    <col min="3" max="3" width="11" style="237" customWidth="1"/>
    <col min="4" max="5" width="13.28515625" style="237" customWidth="1"/>
    <col min="6" max="6" width="12" style="237" customWidth="1"/>
    <col min="7" max="7" width="11.42578125" style="237" customWidth="1"/>
    <col min="8" max="8" width="11.28515625" style="237" customWidth="1"/>
    <col min="9" max="9" width="11.5703125" style="237" customWidth="1"/>
    <col min="10" max="10" width="9.28515625" style="237" customWidth="1"/>
    <col min="11" max="11" width="7.85546875" style="237" customWidth="1"/>
    <col min="12" max="12" width="7" style="237" customWidth="1"/>
    <col min="13" max="13" width="12.7109375" style="237" customWidth="1"/>
    <col min="14" max="14" width="12.7109375" style="237" hidden="1" customWidth="1"/>
    <col min="15" max="15" width="12.7109375" style="237" customWidth="1"/>
    <col min="16" max="16" width="14.140625" style="237" hidden="1" customWidth="1"/>
    <col min="17" max="17" width="16" style="237" hidden="1" customWidth="1"/>
    <col min="18" max="18" width="10" style="237" hidden="1" customWidth="1"/>
    <col min="19" max="19" width="16.42578125" style="237" hidden="1" customWidth="1"/>
    <col min="20" max="30" width="0" style="237" hidden="1" customWidth="1"/>
    <col min="31" max="16384" width="9.140625" style="237"/>
  </cols>
  <sheetData>
    <row r="1" spans="1:19" ht="15.75" customHeight="1">
      <c r="F1" s="914"/>
      <c r="G1" s="914"/>
      <c r="H1" s="914"/>
      <c r="I1" s="258" t="s">
        <v>70</v>
      </c>
      <c r="J1" s="258"/>
      <c r="K1" s="258"/>
      <c r="L1" s="258"/>
      <c r="M1" s="6"/>
      <c r="N1" s="6"/>
      <c r="O1" s="7"/>
    </row>
    <row r="2" spans="1:19" ht="15" customHeight="1"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7"/>
    </row>
    <row r="3" spans="1:19" ht="43.5" customHeight="1">
      <c r="A3" s="2975" t="s">
        <v>204</v>
      </c>
      <c r="B3" s="2975"/>
      <c r="C3" s="2975"/>
      <c r="D3" s="2975"/>
      <c r="E3" s="2975"/>
      <c r="F3" s="2975"/>
      <c r="G3" s="2975"/>
      <c r="H3" s="2975"/>
      <c r="I3" s="2975"/>
      <c r="J3" s="2975"/>
      <c r="K3" s="2975"/>
      <c r="L3" s="2975"/>
      <c r="M3" s="2975"/>
      <c r="N3" s="2975"/>
      <c r="O3" s="2975"/>
    </row>
    <row r="4" spans="1:19" ht="9.75" customHeight="1" thickBot="1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</row>
    <row r="5" spans="1:19" ht="75.75" customHeight="1">
      <c r="A5" s="1105"/>
      <c r="B5" s="1106"/>
      <c r="C5" s="2976" t="s">
        <v>71</v>
      </c>
      <c r="D5" s="2978" t="s">
        <v>72</v>
      </c>
      <c r="E5" s="2547" t="s">
        <v>239</v>
      </c>
      <c r="F5" s="2996" t="s">
        <v>454</v>
      </c>
      <c r="G5" s="2993" t="s">
        <v>456</v>
      </c>
      <c r="H5" s="2994"/>
      <c r="I5" s="2994"/>
      <c r="J5" s="2994"/>
      <c r="K5" s="2994"/>
      <c r="L5" s="2995"/>
      <c r="M5" s="2985" t="s">
        <v>479</v>
      </c>
      <c r="N5" s="2985" t="s">
        <v>457</v>
      </c>
      <c r="O5" s="2980" t="s">
        <v>73</v>
      </c>
    </row>
    <row r="6" spans="1:19" ht="18" customHeight="1" thickBot="1">
      <c r="A6" s="2566"/>
      <c r="B6" s="915"/>
      <c r="C6" s="2977"/>
      <c r="D6" s="2979"/>
      <c r="E6" s="2102" t="s">
        <v>433</v>
      </c>
      <c r="F6" s="2997"/>
      <c r="G6" s="2538" t="s">
        <v>6</v>
      </c>
      <c r="H6" s="2538" t="s">
        <v>184</v>
      </c>
      <c r="I6" s="2538" t="s">
        <v>186</v>
      </c>
      <c r="J6" s="2538" t="s">
        <v>230</v>
      </c>
      <c r="K6" s="2538" t="s">
        <v>231</v>
      </c>
      <c r="L6" s="2538" t="s">
        <v>229</v>
      </c>
      <c r="M6" s="2986"/>
      <c r="N6" s="2986"/>
      <c r="O6" s="2981"/>
      <c r="P6" s="491"/>
      <c r="Q6" s="491"/>
    </row>
    <row r="7" spans="1:19" s="262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61"/>
      <c r="Q7" s="261"/>
    </row>
    <row r="8" spans="1:19" ht="14.25" customHeight="1">
      <c r="A8" s="2982" t="s">
        <v>68</v>
      </c>
      <c r="B8" s="213" t="s">
        <v>76</v>
      </c>
      <c r="C8" s="214"/>
      <c r="D8" s="215">
        <f>+D9+D10</f>
        <v>884341874</v>
      </c>
      <c r="E8" s="215">
        <f>+E9+E10</f>
        <v>194059570</v>
      </c>
      <c r="F8" s="215">
        <f t="shared" ref="F8:G8" si="0">+F9+F10</f>
        <v>244125310</v>
      </c>
      <c r="G8" s="215">
        <f t="shared" si="0"/>
        <v>401311027</v>
      </c>
      <c r="H8" s="215">
        <f t="shared" ref="H8:L8" si="1">+H9+H10</f>
        <v>44763795</v>
      </c>
      <c r="I8" s="215">
        <f t="shared" si="1"/>
        <v>82172</v>
      </c>
      <c r="J8" s="215">
        <f t="shared" si="1"/>
        <v>0</v>
      </c>
      <c r="K8" s="215">
        <f t="shared" si="1"/>
        <v>0</v>
      </c>
      <c r="L8" s="215">
        <f t="shared" si="1"/>
        <v>0</v>
      </c>
      <c r="M8" s="16">
        <f>+M9+M10</f>
        <v>690282304</v>
      </c>
      <c r="N8" s="16">
        <f>+N9+N10</f>
        <v>446156994</v>
      </c>
      <c r="O8" s="916"/>
      <c r="P8" s="491"/>
    </row>
    <row r="9" spans="1:19" ht="14.25" customHeight="1">
      <c r="A9" s="2983"/>
      <c r="B9" s="216" t="s">
        <v>77</v>
      </c>
      <c r="C9" s="217"/>
      <c r="D9" s="218">
        <f>+D458+D476+D394+D409</f>
        <v>944587</v>
      </c>
      <c r="E9" s="218">
        <f>+E458+E476+E394+E409</f>
        <v>48374</v>
      </c>
      <c r="F9" s="218">
        <f t="shared" ref="F9:J9" si="2">+F458+F476+F394+F409</f>
        <v>336730</v>
      </c>
      <c r="G9" s="218">
        <f t="shared" si="2"/>
        <v>281076</v>
      </c>
      <c r="H9" s="218">
        <f t="shared" si="2"/>
        <v>196235</v>
      </c>
      <c r="I9" s="218">
        <f t="shared" si="2"/>
        <v>82172</v>
      </c>
      <c r="J9" s="218">
        <f t="shared" si="2"/>
        <v>0</v>
      </c>
      <c r="K9" s="218">
        <f t="shared" ref="K9:L9" si="3">+K458+K476+K394</f>
        <v>0</v>
      </c>
      <c r="L9" s="218">
        <f t="shared" si="3"/>
        <v>0</v>
      </c>
      <c r="M9" s="1107">
        <f>SUM(F9:K9)</f>
        <v>896213</v>
      </c>
      <c r="N9" s="1107">
        <f>SUM(G9:L9)</f>
        <v>559483</v>
      </c>
      <c r="O9" s="917"/>
    </row>
    <row r="10" spans="1:19" ht="14.25" customHeight="1" thickBot="1">
      <c r="A10" s="2983"/>
      <c r="B10" s="918" t="s">
        <v>9</v>
      </c>
      <c r="C10" s="919"/>
      <c r="D10" s="920">
        <f>+D114+D129+D54+D68+D145+D301+D265+D277+D80+D92+D104+D327+D440+D289+D337+D157+D169+D181+D193+D346+D358+D367+D376+D385+D205+D217+D229+D241+D253</f>
        <v>883397287</v>
      </c>
      <c r="E10" s="920">
        <f t="shared" ref="E10:L10" si="4">+E114+E129+E54+E68+E145+E301+E265+E277+E80+E92+E104+E327+E440+E289+E337+E157+E169+E181+E193+E346+E358+E367+E376+E385+E205+E217+E229+E241+E253</f>
        <v>194011196</v>
      </c>
      <c r="F10" s="920">
        <f t="shared" si="4"/>
        <v>243788580</v>
      </c>
      <c r="G10" s="920">
        <f t="shared" si="4"/>
        <v>401029951</v>
      </c>
      <c r="H10" s="920">
        <f t="shared" si="4"/>
        <v>44567560</v>
      </c>
      <c r="I10" s="920">
        <f t="shared" si="4"/>
        <v>0</v>
      </c>
      <c r="J10" s="920">
        <f t="shared" si="4"/>
        <v>0</v>
      </c>
      <c r="K10" s="920">
        <f t="shared" si="4"/>
        <v>0</v>
      </c>
      <c r="L10" s="920">
        <f t="shared" si="4"/>
        <v>0</v>
      </c>
      <c r="M10" s="155">
        <f>SUM(F10:K10)</f>
        <v>689386091</v>
      </c>
      <c r="N10" s="155">
        <f>SUM(G10:L10)</f>
        <v>445597511</v>
      </c>
      <c r="O10" s="917"/>
    </row>
    <row r="11" spans="1:19" ht="13.5" customHeight="1">
      <c r="A11" s="2983"/>
      <c r="B11" s="19" t="s">
        <v>10</v>
      </c>
      <c r="C11" s="20"/>
      <c r="D11" s="921">
        <f>+D12+D18</f>
        <v>884341874</v>
      </c>
      <c r="E11" s="921">
        <f t="shared" ref="E11" si="5">+E12+E18</f>
        <v>194059570</v>
      </c>
      <c r="F11" s="921">
        <f t="shared" ref="F11:N11" si="6">+F12+F18</f>
        <v>244125310</v>
      </c>
      <c r="G11" s="921">
        <f t="shared" si="6"/>
        <v>401311027</v>
      </c>
      <c r="H11" s="921">
        <f t="shared" si="6"/>
        <v>44763795</v>
      </c>
      <c r="I11" s="921">
        <f t="shared" si="6"/>
        <v>82172</v>
      </c>
      <c r="J11" s="921">
        <f t="shared" si="6"/>
        <v>0</v>
      </c>
      <c r="K11" s="921">
        <f t="shared" si="6"/>
        <v>0</v>
      </c>
      <c r="L11" s="921">
        <f t="shared" si="6"/>
        <v>0</v>
      </c>
      <c r="M11" s="922">
        <f t="shared" ref="M11" si="7">+M12+M18</f>
        <v>690282304</v>
      </c>
      <c r="N11" s="922">
        <f t="shared" si="6"/>
        <v>446156994</v>
      </c>
      <c r="O11" s="834"/>
      <c r="P11" s="923"/>
      <c r="Q11" s="491"/>
      <c r="S11" s="491"/>
    </row>
    <row r="12" spans="1:19" s="926" customFormat="1">
      <c r="A12" s="2983"/>
      <c r="B12" s="160" t="s">
        <v>11</v>
      </c>
      <c r="C12" s="1108"/>
      <c r="D12" s="1109">
        <f>+D13+D14+D15+D16+D17</f>
        <v>157893558</v>
      </c>
      <c r="E12" s="1109">
        <f t="shared" ref="E12" si="8">+E13+E14+E15+E16+E17</f>
        <v>34348766</v>
      </c>
      <c r="F12" s="1109">
        <f t="shared" ref="F12:L12" si="9">+F13+F14+F15+F16+F17</f>
        <v>43232899</v>
      </c>
      <c r="G12" s="1109">
        <f t="shared" si="9"/>
        <v>73261595</v>
      </c>
      <c r="H12" s="1109">
        <f t="shared" si="9"/>
        <v>7037632</v>
      </c>
      <c r="I12" s="1109">
        <f t="shared" si="9"/>
        <v>12666</v>
      </c>
      <c r="J12" s="1109">
        <f t="shared" si="9"/>
        <v>0</v>
      </c>
      <c r="K12" s="1109">
        <f t="shared" si="9"/>
        <v>0</v>
      </c>
      <c r="L12" s="1109">
        <f t="shared" si="9"/>
        <v>0</v>
      </c>
      <c r="M12" s="1110">
        <f>SUM(M13:M17)</f>
        <v>123544792</v>
      </c>
      <c r="N12" s="1110">
        <f>SUM(N13:N17)</f>
        <v>80311893</v>
      </c>
      <c r="O12" s="924"/>
      <c r="P12" s="925"/>
      <c r="Q12" s="923"/>
    </row>
    <row r="13" spans="1:19">
      <c r="A13" s="2983"/>
      <c r="B13" s="163" t="s">
        <v>12</v>
      </c>
      <c r="C13" s="927"/>
      <c r="D13" s="1111">
        <f t="shared" ref="D13:L13" si="10">+D37+D317+D426+D469</f>
        <v>128736175</v>
      </c>
      <c r="E13" s="1111">
        <f t="shared" si="10"/>
        <v>12614390</v>
      </c>
      <c r="F13" s="1111">
        <f t="shared" si="10"/>
        <v>40886057</v>
      </c>
      <c r="G13" s="1111">
        <f t="shared" si="10"/>
        <v>68185430</v>
      </c>
      <c r="H13" s="1111">
        <f t="shared" si="10"/>
        <v>7037632</v>
      </c>
      <c r="I13" s="1111">
        <f t="shared" si="10"/>
        <v>12666</v>
      </c>
      <c r="J13" s="1111">
        <f t="shared" si="10"/>
        <v>0</v>
      </c>
      <c r="K13" s="1111">
        <f t="shared" si="10"/>
        <v>0</v>
      </c>
      <c r="L13" s="1111">
        <f t="shared" si="10"/>
        <v>0</v>
      </c>
      <c r="M13" s="1112">
        <f>SUM(F13:K13)</f>
        <v>116121785</v>
      </c>
      <c r="N13" s="1112">
        <f>SUM(G13:L13)</f>
        <v>75235728</v>
      </c>
      <c r="O13" s="834"/>
      <c r="P13" s="491"/>
      <c r="Q13" s="491"/>
      <c r="S13" s="491"/>
    </row>
    <row r="14" spans="1:19" ht="12" hidden="1" customHeight="1">
      <c r="A14" s="2983"/>
      <c r="B14" s="1113" t="s">
        <v>78</v>
      </c>
      <c r="C14" s="1114"/>
      <c r="D14" s="1111">
        <f>+D427</f>
        <v>0</v>
      </c>
      <c r="E14" s="1111">
        <f t="shared" ref="E14" si="11">+E427</f>
        <v>0</v>
      </c>
      <c r="F14" s="1111">
        <f t="shared" ref="F14:L14" si="12">+F427</f>
        <v>0</v>
      </c>
      <c r="G14" s="1111">
        <f t="shared" si="12"/>
        <v>0</v>
      </c>
      <c r="H14" s="1111">
        <f t="shared" si="12"/>
        <v>0</v>
      </c>
      <c r="I14" s="1111">
        <f t="shared" si="12"/>
        <v>0</v>
      </c>
      <c r="J14" s="1111">
        <f t="shared" si="12"/>
        <v>0</v>
      </c>
      <c r="K14" s="1111">
        <f t="shared" si="12"/>
        <v>0</v>
      </c>
      <c r="L14" s="1111">
        <f t="shared" si="12"/>
        <v>0</v>
      </c>
      <c r="M14" s="1112">
        <f>SUM(E14:K14)</f>
        <v>0</v>
      </c>
      <c r="N14" s="1112">
        <f>SUM(F14:L14)</f>
        <v>0</v>
      </c>
      <c r="O14" s="930"/>
      <c r="P14" s="491"/>
    </row>
    <row r="15" spans="1:19" ht="13.5" customHeight="1">
      <c r="A15" s="2983"/>
      <c r="B15" s="163" t="s">
        <v>15</v>
      </c>
      <c r="C15" s="927"/>
      <c r="D15" s="1111">
        <f t="shared" ref="D15:L15" si="13">+D38+D318</f>
        <v>17777702</v>
      </c>
      <c r="E15" s="1111">
        <f t="shared" si="13"/>
        <v>10354695</v>
      </c>
      <c r="F15" s="1111">
        <f t="shared" si="13"/>
        <v>2346842</v>
      </c>
      <c r="G15" s="1111">
        <f t="shared" si="13"/>
        <v>5076165</v>
      </c>
      <c r="H15" s="1111">
        <f t="shared" si="13"/>
        <v>0</v>
      </c>
      <c r="I15" s="1111">
        <f t="shared" si="13"/>
        <v>0</v>
      </c>
      <c r="J15" s="1111">
        <f t="shared" si="13"/>
        <v>0</v>
      </c>
      <c r="K15" s="1111">
        <f t="shared" si="13"/>
        <v>0</v>
      </c>
      <c r="L15" s="1111">
        <f t="shared" si="13"/>
        <v>0</v>
      </c>
      <c r="M15" s="1065">
        <f>SUM(F15:K15)</f>
        <v>7423007</v>
      </c>
      <c r="N15" s="1065">
        <f>SUM(G15:L15)</f>
        <v>5076165</v>
      </c>
      <c r="O15" s="930"/>
      <c r="P15" s="491"/>
    </row>
    <row r="16" spans="1:19" ht="13.5" hidden="1" customHeight="1">
      <c r="A16" s="2983"/>
      <c r="B16" s="163" t="s">
        <v>52</v>
      </c>
      <c r="C16" s="927"/>
      <c r="D16" s="1111">
        <f t="shared" ref="D16:L16" si="14">+D428+D40</f>
        <v>0</v>
      </c>
      <c r="E16" s="1111">
        <f t="shared" si="14"/>
        <v>0</v>
      </c>
      <c r="F16" s="1111">
        <f t="shared" si="14"/>
        <v>0</v>
      </c>
      <c r="G16" s="1111">
        <f t="shared" si="14"/>
        <v>0</v>
      </c>
      <c r="H16" s="1111">
        <f t="shared" si="14"/>
        <v>0</v>
      </c>
      <c r="I16" s="1111">
        <f t="shared" si="14"/>
        <v>0</v>
      </c>
      <c r="J16" s="1111">
        <f t="shared" si="14"/>
        <v>0</v>
      </c>
      <c r="K16" s="1111">
        <f t="shared" si="14"/>
        <v>0</v>
      </c>
      <c r="L16" s="1111">
        <f t="shared" si="14"/>
        <v>0</v>
      </c>
      <c r="M16" s="1112">
        <f>SUM(E16:K16)</f>
        <v>0</v>
      </c>
      <c r="N16" s="1112">
        <f>SUM(F16:L16)</f>
        <v>0</v>
      </c>
      <c r="O16" s="930"/>
      <c r="P16" s="491"/>
    </row>
    <row r="17" spans="1:19" ht="12" hidden="1" customHeight="1">
      <c r="A17" s="2983"/>
      <c r="B17" s="163" t="s">
        <v>17</v>
      </c>
      <c r="C17" s="927"/>
      <c r="D17" s="1111">
        <f>+D39</f>
        <v>11379681</v>
      </c>
      <c r="E17" s="1111">
        <f t="shared" ref="E17" si="15">+E39</f>
        <v>11379681</v>
      </c>
      <c r="F17" s="1111">
        <f t="shared" ref="F17:L17" si="16">+F39</f>
        <v>0</v>
      </c>
      <c r="G17" s="1111">
        <f t="shared" si="16"/>
        <v>0</v>
      </c>
      <c r="H17" s="1111">
        <f t="shared" si="16"/>
        <v>0</v>
      </c>
      <c r="I17" s="1111">
        <f t="shared" si="16"/>
        <v>0</v>
      </c>
      <c r="J17" s="1111">
        <f t="shared" si="16"/>
        <v>0</v>
      </c>
      <c r="K17" s="1111">
        <f t="shared" si="16"/>
        <v>0</v>
      </c>
      <c r="L17" s="1111">
        <f t="shared" si="16"/>
        <v>0</v>
      </c>
      <c r="M17" s="1065">
        <f>SUM(F17:K17)</f>
        <v>0</v>
      </c>
      <c r="N17" s="1065">
        <f>SUM(G17:L17)</f>
        <v>0</v>
      </c>
      <c r="O17" s="930"/>
      <c r="P17" s="491"/>
    </row>
    <row r="18" spans="1:19" s="926" customFormat="1" ht="13.5" customHeight="1">
      <c r="A18" s="2983"/>
      <c r="B18" s="160" t="s">
        <v>18</v>
      </c>
      <c r="C18" s="931"/>
      <c r="D18" s="1109">
        <f>+D19+D20+D21</f>
        <v>726448316</v>
      </c>
      <c r="E18" s="1109">
        <f t="shared" ref="E18" si="17">+E19+E20+E21</f>
        <v>159710804</v>
      </c>
      <c r="F18" s="1109">
        <f t="shared" ref="F18:I18" si="18">+F19+F20+F21</f>
        <v>200892411</v>
      </c>
      <c r="G18" s="1109">
        <f t="shared" si="18"/>
        <v>328049432</v>
      </c>
      <c r="H18" s="1109">
        <f t="shared" si="18"/>
        <v>37726163</v>
      </c>
      <c r="I18" s="1109">
        <f t="shared" si="18"/>
        <v>69506</v>
      </c>
      <c r="J18" s="1109">
        <f>+J19+J20+J21</f>
        <v>0</v>
      </c>
      <c r="K18" s="1109">
        <f>+K19+K20+K21</f>
        <v>0</v>
      </c>
      <c r="L18" s="1109">
        <f>+L19+L20+L21</f>
        <v>0</v>
      </c>
      <c r="M18" s="1115">
        <f>+M19+M20+M21</f>
        <v>566737512</v>
      </c>
      <c r="N18" s="1115">
        <f>+N19+N20+N21</f>
        <v>365845101</v>
      </c>
      <c r="O18" s="932"/>
      <c r="P18" s="925"/>
      <c r="Q18" s="923"/>
    </row>
    <row r="19" spans="1:19">
      <c r="A19" s="2983"/>
      <c r="B19" s="1116" t="s">
        <v>20</v>
      </c>
      <c r="C19" s="1117"/>
      <c r="D19" s="1111">
        <f t="shared" ref="D19:L19" si="19">+D320+D471</f>
        <v>33315836</v>
      </c>
      <c r="E19" s="1111">
        <f t="shared" ref="E19" si="20">+E320+E471</f>
        <v>333057</v>
      </c>
      <c r="F19" s="1111">
        <f t="shared" si="19"/>
        <v>6857135</v>
      </c>
      <c r="G19" s="1111">
        <f t="shared" si="19"/>
        <v>20024520</v>
      </c>
      <c r="H19" s="1111">
        <f t="shared" si="19"/>
        <v>6031618</v>
      </c>
      <c r="I19" s="1111">
        <f t="shared" si="19"/>
        <v>69506</v>
      </c>
      <c r="J19" s="1111">
        <f t="shared" si="19"/>
        <v>0</v>
      </c>
      <c r="K19" s="1111">
        <f t="shared" si="19"/>
        <v>0</v>
      </c>
      <c r="L19" s="1111">
        <f t="shared" si="19"/>
        <v>0</v>
      </c>
      <c r="M19" s="1065">
        <f>SUM(F19:K19)</f>
        <v>32982779</v>
      </c>
      <c r="N19" s="1065">
        <f>SUM(G19:L19)</f>
        <v>26125644</v>
      </c>
      <c r="O19" s="930"/>
      <c r="P19" s="491"/>
    </row>
    <row r="20" spans="1:19" ht="12.75" customHeight="1">
      <c r="A20" s="2983"/>
      <c r="B20" s="1118" t="s">
        <v>21</v>
      </c>
      <c r="C20" s="1117"/>
      <c r="D20" s="1111">
        <f t="shared" ref="D20:L20" si="21">+D42+D430</f>
        <v>693132480</v>
      </c>
      <c r="E20" s="1111">
        <f t="shared" si="21"/>
        <v>159377747</v>
      </c>
      <c r="F20" s="1111">
        <f t="shared" si="21"/>
        <v>194035276</v>
      </c>
      <c r="G20" s="1111">
        <f t="shared" si="21"/>
        <v>308024912</v>
      </c>
      <c r="H20" s="1111">
        <f t="shared" si="21"/>
        <v>31694545</v>
      </c>
      <c r="I20" s="1111">
        <f t="shared" si="21"/>
        <v>0</v>
      </c>
      <c r="J20" s="1111">
        <f t="shared" si="21"/>
        <v>0</v>
      </c>
      <c r="K20" s="1111">
        <f t="shared" si="21"/>
        <v>0</v>
      </c>
      <c r="L20" s="1111">
        <f t="shared" si="21"/>
        <v>0</v>
      </c>
      <c r="M20" s="1065">
        <f>SUM(F20:K20)</f>
        <v>533754733</v>
      </c>
      <c r="N20" s="1065">
        <f>SUM(G20:L20)</f>
        <v>339719457</v>
      </c>
      <c r="O20" s="834"/>
      <c r="P20" s="491"/>
      <c r="Q20" s="491"/>
    </row>
    <row r="21" spans="1:19" hidden="1">
      <c r="A21" s="2983"/>
      <c r="B21" s="1118" t="s">
        <v>79</v>
      </c>
      <c r="C21" s="1117"/>
      <c r="D21" s="1111">
        <f>+D431</f>
        <v>0</v>
      </c>
      <c r="E21" s="1111">
        <f t="shared" ref="E21" si="22">+E431</f>
        <v>0</v>
      </c>
      <c r="F21" s="1111">
        <f t="shared" ref="F21:L21" si="23">+F431</f>
        <v>0</v>
      </c>
      <c r="G21" s="1111">
        <f t="shared" si="23"/>
        <v>0</v>
      </c>
      <c r="H21" s="1111">
        <f t="shared" si="23"/>
        <v>0</v>
      </c>
      <c r="I21" s="1111">
        <f t="shared" si="23"/>
        <v>0</v>
      </c>
      <c r="J21" s="1111">
        <f t="shared" si="23"/>
        <v>0</v>
      </c>
      <c r="K21" s="1111">
        <f t="shared" si="23"/>
        <v>0</v>
      </c>
      <c r="L21" s="1111">
        <f t="shared" si="23"/>
        <v>0</v>
      </c>
      <c r="M21" s="1112">
        <f>SUM(E21:H21)</f>
        <v>0</v>
      </c>
      <c r="N21" s="1112">
        <f>SUM(F21:I21)</f>
        <v>0</v>
      </c>
      <c r="O21" s="834"/>
      <c r="P21" s="491"/>
      <c r="Q21" s="491"/>
    </row>
    <row r="22" spans="1:19" ht="13.5" customHeight="1">
      <c r="A22" s="2983"/>
      <c r="B22" s="728" t="s">
        <v>22</v>
      </c>
      <c r="C22" s="829"/>
      <c r="D22" s="807">
        <f>+D23+D29</f>
        <v>755605699</v>
      </c>
      <c r="E22" s="807">
        <f t="shared" ref="E22" si="24">+E23+E29</f>
        <v>172029251</v>
      </c>
      <c r="F22" s="807">
        <f>+F23+F29</f>
        <v>187659778</v>
      </c>
      <c r="G22" s="807">
        <f t="shared" ref="G22:L22" si="25">+G23+G29</f>
        <v>344860961</v>
      </c>
      <c r="H22" s="807">
        <f t="shared" si="25"/>
        <v>47921647</v>
      </c>
      <c r="I22" s="807">
        <f t="shared" si="25"/>
        <v>3134062</v>
      </c>
      <c r="J22" s="807">
        <f t="shared" si="25"/>
        <v>0</v>
      </c>
      <c r="K22" s="807">
        <f t="shared" si="25"/>
        <v>0</v>
      </c>
      <c r="L22" s="807">
        <f t="shared" si="25"/>
        <v>0</v>
      </c>
      <c r="M22" s="2987" t="s">
        <v>23</v>
      </c>
      <c r="N22" s="2987" t="s">
        <v>23</v>
      </c>
      <c r="O22" s="834"/>
      <c r="P22" s="491"/>
      <c r="S22" s="923"/>
    </row>
    <row r="23" spans="1:19" ht="12" customHeight="1">
      <c r="A23" s="2983"/>
      <c r="B23" s="1119" t="s">
        <v>24</v>
      </c>
      <c r="C23" s="1120"/>
      <c r="D23" s="1121">
        <f>+D24+D25+D26+D27+D28</f>
        <v>29157383</v>
      </c>
      <c r="E23" s="1121">
        <f t="shared" ref="E23" si="26">+E24+E25+E26+E27+E28</f>
        <v>21734376</v>
      </c>
      <c r="F23" s="1121">
        <f t="shared" ref="F23:L23" si="27">+F24+F25+F26+F27+F28</f>
        <v>2346842</v>
      </c>
      <c r="G23" s="1121">
        <f t="shared" si="27"/>
        <v>5076165</v>
      </c>
      <c r="H23" s="1121">
        <f t="shared" si="27"/>
        <v>0</v>
      </c>
      <c r="I23" s="1121">
        <f t="shared" si="27"/>
        <v>0</v>
      </c>
      <c r="J23" s="1121">
        <f t="shared" si="27"/>
        <v>0</v>
      </c>
      <c r="K23" s="1121">
        <f t="shared" si="27"/>
        <v>0</v>
      </c>
      <c r="L23" s="1121">
        <f t="shared" si="27"/>
        <v>0</v>
      </c>
      <c r="M23" s="2988"/>
      <c r="N23" s="2988"/>
      <c r="O23" s="834"/>
    </row>
    <row r="24" spans="1:19" hidden="1">
      <c r="A24" s="2983"/>
      <c r="B24" s="1113" t="s">
        <v>78</v>
      </c>
      <c r="C24" s="933"/>
      <c r="D24" s="1122">
        <f>+D434</f>
        <v>0</v>
      </c>
      <c r="E24" s="1122">
        <f t="shared" ref="E24" si="28">+E434</f>
        <v>0</v>
      </c>
      <c r="F24" s="1122">
        <f t="shared" ref="F24:L24" si="29">+F434</f>
        <v>0</v>
      </c>
      <c r="G24" s="1122">
        <f t="shared" si="29"/>
        <v>0</v>
      </c>
      <c r="H24" s="1122">
        <f t="shared" si="29"/>
        <v>0</v>
      </c>
      <c r="I24" s="1122">
        <f t="shared" si="29"/>
        <v>0</v>
      </c>
      <c r="J24" s="1122">
        <f t="shared" si="29"/>
        <v>0</v>
      </c>
      <c r="K24" s="1122">
        <f t="shared" si="29"/>
        <v>0</v>
      </c>
      <c r="L24" s="1122">
        <f t="shared" si="29"/>
        <v>0</v>
      </c>
      <c r="M24" s="2988"/>
      <c r="N24" s="2988"/>
      <c r="O24" s="930"/>
    </row>
    <row r="25" spans="1:19">
      <c r="A25" s="2983"/>
      <c r="B25" s="23" t="s">
        <v>15</v>
      </c>
      <c r="C25" s="24"/>
      <c r="D25" s="1111">
        <f t="shared" ref="D25:L25" si="30">+D45+D318</f>
        <v>17777702</v>
      </c>
      <c r="E25" s="1111">
        <f t="shared" si="30"/>
        <v>10354695</v>
      </c>
      <c r="F25" s="1111">
        <f t="shared" si="30"/>
        <v>2346842</v>
      </c>
      <c r="G25" s="1111">
        <f t="shared" si="30"/>
        <v>5076165</v>
      </c>
      <c r="H25" s="1111">
        <f t="shared" si="30"/>
        <v>0</v>
      </c>
      <c r="I25" s="1111">
        <f t="shared" si="30"/>
        <v>0</v>
      </c>
      <c r="J25" s="1111">
        <f t="shared" si="30"/>
        <v>0</v>
      </c>
      <c r="K25" s="1111">
        <f t="shared" si="30"/>
        <v>0</v>
      </c>
      <c r="L25" s="1111">
        <f t="shared" si="30"/>
        <v>0</v>
      </c>
      <c r="M25" s="2988"/>
      <c r="N25" s="2988"/>
      <c r="O25" s="930"/>
      <c r="P25" s="491">
        <f>D25-D15</f>
        <v>0</v>
      </c>
    </row>
    <row r="26" spans="1:19" ht="12" hidden="1" customHeight="1">
      <c r="A26" s="2983"/>
      <c r="B26" s="23" t="s">
        <v>52</v>
      </c>
      <c r="C26" s="24"/>
      <c r="D26" s="1111">
        <f t="shared" ref="D26:L26" si="31">+D435+D48</f>
        <v>0</v>
      </c>
      <c r="E26" s="1111">
        <f t="shared" si="31"/>
        <v>0</v>
      </c>
      <c r="F26" s="1111">
        <f t="shared" si="31"/>
        <v>0</v>
      </c>
      <c r="G26" s="1111">
        <f t="shared" si="31"/>
        <v>0</v>
      </c>
      <c r="H26" s="1111">
        <f t="shared" si="31"/>
        <v>0</v>
      </c>
      <c r="I26" s="1111">
        <f t="shared" si="31"/>
        <v>0</v>
      </c>
      <c r="J26" s="1111">
        <f t="shared" si="31"/>
        <v>0</v>
      </c>
      <c r="K26" s="1111">
        <f t="shared" si="31"/>
        <v>0</v>
      </c>
      <c r="L26" s="1111">
        <f t="shared" si="31"/>
        <v>0</v>
      </c>
      <c r="M26" s="2988"/>
      <c r="N26" s="2988"/>
      <c r="O26" s="930"/>
      <c r="P26" s="491">
        <f>D16-D26</f>
        <v>0</v>
      </c>
    </row>
    <row r="27" spans="1:19" ht="12" hidden="1" customHeight="1">
      <c r="A27" s="2983"/>
      <c r="B27" s="163" t="s">
        <v>17</v>
      </c>
      <c r="C27" s="25"/>
      <c r="D27" s="1111">
        <f>+D46</f>
        <v>11379681</v>
      </c>
      <c r="E27" s="1111">
        <f t="shared" ref="E27:E28" si="32">+E46</f>
        <v>11379681</v>
      </c>
      <c r="F27" s="1111">
        <f t="shared" ref="F27:L28" si="33">+F46</f>
        <v>0</v>
      </c>
      <c r="G27" s="1111">
        <f t="shared" si="33"/>
        <v>0</v>
      </c>
      <c r="H27" s="1111">
        <f t="shared" si="33"/>
        <v>0</v>
      </c>
      <c r="I27" s="1111">
        <f t="shared" si="33"/>
        <v>0</v>
      </c>
      <c r="J27" s="1111">
        <f t="shared" si="33"/>
        <v>0</v>
      </c>
      <c r="K27" s="1111">
        <f t="shared" si="33"/>
        <v>0</v>
      </c>
      <c r="L27" s="1111">
        <f t="shared" si="33"/>
        <v>0</v>
      </c>
      <c r="M27" s="2988"/>
      <c r="N27" s="2988"/>
      <c r="O27" s="930"/>
      <c r="P27" s="491">
        <f>D17-D27</f>
        <v>0</v>
      </c>
    </row>
    <row r="28" spans="1:19" ht="12" hidden="1" customHeight="1">
      <c r="A28" s="2983"/>
      <c r="B28" s="163" t="s">
        <v>80</v>
      </c>
      <c r="C28" s="25"/>
      <c r="D28" s="1111">
        <f>+D47</f>
        <v>0</v>
      </c>
      <c r="E28" s="1111">
        <f t="shared" si="32"/>
        <v>0</v>
      </c>
      <c r="F28" s="1111">
        <f t="shared" si="33"/>
        <v>0</v>
      </c>
      <c r="G28" s="1111">
        <f t="shared" si="33"/>
        <v>0</v>
      </c>
      <c r="H28" s="1111">
        <f t="shared" si="33"/>
        <v>0</v>
      </c>
      <c r="I28" s="1111">
        <f t="shared" si="33"/>
        <v>0</v>
      </c>
      <c r="J28" s="1111">
        <f t="shared" si="33"/>
        <v>0</v>
      </c>
      <c r="K28" s="1111">
        <f t="shared" si="33"/>
        <v>0</v>
      </c>
      <c r="L28" s="1111">
        <f t="shared" si="33"/>
        <v>0</v>
      </c>
      <c r="M28" s="2988"/>
      <c r="N28" s="2988"/>
      <c r="O28" s="930"/>
    </row>
    <row r="29" spans="1:19" ht="12.75" customHeight="1">
      <c r="A29" s="2983"/>
      <c r="B29" s="1123" t="s">
        <v>18</v>
      </c>
      <c r="C29" s="1124"/>
      <c r="D29" s="1121">
        <f>+D30+D31+D32+D33</f>
        <v>726448316</v>
      </c>
      <c r="E29" s="1121">
        <f t="shared" ref="E29" si="34">+E30+E31+E32+E33</f>
        <v>150294875</v>
      </c>
      <c r="F29" s="1121">
        <f>+F30+F31+F32+F33</f>
        <v>185312936</v>
      </c>
      <c r="G29" s="1121">
        <f t="shared" ref="G29:L29" si="35">+G30+G31+G32+G33</f>
        <v>339784796</v>
      </c>
      <c r="H29" s="1121">
        <f t="shared" si="35"/>
        <v>47921647</v>
      </c>
      <c r="I29" s="1121">
        <f t="shared" si="35"/>
        <v>3134062</v>
      </c>
      <c r="J29" s="1121">
        <f t="shared" si="35"/>
        <v>0</v>
      </c>
      <c r="K29" s="1121">
        <f t="shared" si="35"/>
        <v>0</v>
      </c>
      <c r="L29" s="1121">
        <f t="shared" si="35"/>
        <v>0</v>
      </c>
      <c r="M29" s="2988"/>
      <c r="N29" s="2988"/>
      <c r="O29" s="930"/>
      <c r="P29" s="491">
        <f>D31-D19</f>
        <v>0</v>
      </c>
    </row>
    <row r="30" spans="1:19" ht="14.25" hidden="1" customHeight="1">
      <c r="A30" s="2983"/>
      <c r="B30" s="1125" t="s">
        <v>17</v>
      </c>
      <c r="C30" s="1126"/>
      <c r="D30" s="1111">
        <f>+D50</f>
        <v>0</v>
      </c>
      <c r="E30" s="1111">
        <f t="shared" ref="E30" si="36">+E50</f>
        <v>0</v>
      </c>
      <c r="F30" s="1111">
        <f t="shared" ref="F30:G30" si="37">+F50</f>
        <v>0</v>
      </c>
      <c r="G30" s="1111">
        <f t="shared" si="37"/>
        <v>0</v>
      </c>
      <c r="H30" s="1111">
        <f>+H50</f>
        <v>0</v>
      </c>
      <c r="I30" s="1111">
        <f>+I50</f>
        <v>0</v>
      </c>
      <c r="J30" s="1111">
        <f>+J50</f>
        <v>0</v>
      </c>
      <c r="K30" s="1111">
        <f>+K50</f>
        <v>0</v>
      </c>
      <c r="L30" s="1111">
        <f>+L50</f>
        <v>0</v>
      </c>
      <c r="M30" s="2988"/>
      <c r="N30" s="2988"/>
      <c r="O30" s="930"/>
    </row>
    <row r="31" spans="1:19" ht="11.25" customHeight="1">
      <c r="A31" s="2983"/>
      <c r="B31" s="1116" t="s">
        <v>20</v>
      </c>
      <c r="C31" s="1114"/>
      <c r="D31" s="1127">
        <f t="shared" ref="D31:F31" si="38">+D325+D474</f>
        <v>33315836</v>
      </c>
      <c r="E31" s="1127">
        <f t="shared" ref="E31" si="39">+E325+E474</f>
        <v>0</v>
      </c>
      <c r="F31" s="1127">
        <f t="shared" si="38"/>
        <v>45897</v>
      </c>
      <c r="G31" s="1127">
        <f t="shared" ref="G31:L31" si="40">+G325</f>
        <v>17908775</v>
      </c>
      <c r="H31" s="1127">
        <f t="shared" si="40"/>
        <v>12227102</v>
      </c>
      <c r="I31" s="1127">
        <f t="shared" si="40"/>
        <v>3134062</v>
      </c>
      <c r="J31" s="1127">
        <f t="shared" si="40"/>
        <v>0</v>
      </c>
      <c r="K31" s="1127">
        <f t="shared" si="40"/>
        <v>0</v>
      </c>
      <c r="L31" s="1127">
        <f t="shared" si="40"/>
        <v>0</v>
      </c>
      <c r="M31" s="2988"/>
      <c r="N31" s="2988"/>
      <c r="O31" s="930"/>
      <c r="P31" s="491">
        <f>D32-D20</f>
        <v>0</v>
      </c>
    </row>
    <row r="32" spans="1:19">
      <c r="A32" s="2983"/>
      <c r="B32" s="1116" t="s">
        <v>21</v>
      </c>
      <c r="C32" s="1126"/>
      <c r="D32" s="1127">
        <f t="shared" ref="D32:L32" si="41">+D51+D437</f>
        <v>693132480</v>
      </c>
      <c r="E32" s="1127">
        <f t="shared" si="41"/>
        <v>150294875</v>
      </c>
      <c r="F32" s="1127">
        <f t="shared" si="41"/>
        <v>185267039</v>
      </c>
      <c r="G32" s="1127">
        <f t="shared" si="41"/>
        <v>321876021</v>
      </c>
      <c r="H32" s="1127">
        <f t="shared" si="41"/>
        <v>35694545</v>
      </c>
      <c r="I32" s="1127">
        <f t="shared" si="41"/>
        <v>0</v>
      </c>
      <c r="J32" s="1127">
        <f t="shared" si="41"/>
        <v>0</v>
      </c>
      <c r="K32" s="1127">
        <f t="shared" si="41"/>
        <v>0</v>
      </c>
      <c r="L32" s="1127">
        <f t="shared" si="41"/>
        <v>0</v>
      </c>
      <c r="M32" s="2988"/>
      <c r="N32" s="2988"/>
      <c r="O32" s="930"/>
    </row>
    <row r="33" spans="1:17" ht="13.5" hidden="1" thickBot="1">
      <c r="A33" s="2984"/>
      <c r="B33" s="26" t="s">
        <v>79</v>
      </c>
      <c r="C33" s="27"/>
      <c r="D33" s="935">
        <f>+D438</f>
        <v>0</v>
      </c>
      <c r="E33" s="935">
        <f t="shared" ref="E33" si="42">+E438</f>
        <v>0</v>
      </c>
      <c r="F33" s="935">
        <f t="shared" ref="F33:L33" si="43">+F438</f>
        <v>0</v>
      </c>
      <c r="G33" s="935">
        <f t="shared" si="43"/>
        <v>0</v>
      </c>
      <c r="H33" s="935">
        <f t="shared" si="43"/>
        <v>0</v>
      </c>
      <c r="I33" s="935">
        <f t="shared" si="43"/>
        <v>0</v>
      </c>
      <c r="J33" s="935">
        <f t="shared" si="43"/>
        <v>0</v>
      </c>
      <c r="K33" s="935">
        <f t="shared" si="43"/>
        <v>0</v>
      </c>
      <c r="L33" s="935">
        <f t="shared" si="43"/>
        <v>0</v>
      </c>
      <c r="M33" s="2989"/>
      <c r="N33" s="2989"/>
      <c r="O33" s="930"/>
    </row>
    <row r="34" spans="1:17" ht="25.5" customHeight="1">
      <c r="A34" s="936" t="s">
        <v>201</v>
      </c>
      <c r="B34" s="1478" t="s">
        <v>220</v>
      </c>
      <c r="C34" s="937"/>
      <c r="D34" s="28"/>
      <c r="E34" s="29"/>
      <c r="F34" s="29"/>
      <c r="G34" s="29"/>
      <c r="H34" s="29"/>
      <c r="I34" s="29"/>
      <c r="J34" s="29"/>
      <c r="K34" s="29"/>
      <c r="L34" s="29"/>
      <c r="M34" s="2418"/>
      <c r="N34" s="2419"/>
      <c r="O34" s="938"/>
    </row>
    <row r="35" spans="1:17" ht="13.5" customHeight="1">
      <c r="A35" s="936"/>
      <c r="B35" s="1090" t="s">
        <v>10</v>
      </c>
      <c r="C35" s="829"/>
      <c r="D35" s="1054">
        <f>+D36+D41</f>
        <v>837305569</v>
      </c>
      <c r="E35" s="1054">
        <f t="shared" ref="E35:L35" si="44">+E36+E41</f>
        <v>193216455</v>
      </c>
      <c r="F35" s="1054">
        <f t="shared" si="44"/>
        <v>235041910</v>
      </c>
      <c r="G35" s="1054">
        <f t="shared" si="44"/>
        <v>372179504</v>
      </c>
      <c r="H35" s="1054">
        <f t="shared" si="44"/>
        <v>36867700</v>
      </c>
      <c r="I35" s="1054">
        <f t="shared" si="44"/>
        <v>0</v>
      </c>
      <c r="J35" s="1054">
        <f t="shared" si="44"/>
        <v>0</v>
      </c>
      <c r="K35" s="1054">
        <f t="shared" si="44"/>
        <v>0</v>
      </c>
      <c r="L35" s="1054">
        <f t="shared" si="44"/>
        <v>0</v>
      </c>
      <c r="M35" s="1039">
        <f t="shared" ref="M35" si="45">+M36+M41</f>
        <v>644089114</v>
      </c>
      <c r="N35" s="1039">
        <f t="shared" ref="N35" si="46">+N36+N41</f>
        <v>409047204</v>
      </c>
      <c r="O35" s="938"/>
      <c r="P35" s="491"/>
    </row>
    <row r="36" spans="1:17" s="926" customFormat="1" ht="13.5" customHeight="1">
      <c r="A36" s="936"/>
      <c r="B36" s="1128" t="s">
        <v>24</v>
      </c>
      <c r="C36" s="1129"/>
      <c r="D36" s="1092">
        <f>+D37+D38+D39+D40</f>
        <v>144173089</v>
      </c>
      <c r="E36" s="1092">
        <f t="shared" ref="E36:L36" si="47">+E37+E38+E39+E40</f>
        <v>33838708</v>
      </c>
      <c r="F36" s="1092">
        <f t="shared" si="47"/>
        <v>41006634</v>
      </c>
      <c r="G36" s="1092">
        <f t="shared" si="47"/>
        <v>64154592</v>
      </c>
      <c r="H36" s="1092">
        <f t="shared" si="47"/>
        <v>5173155</v>
      </c>
      <c r="I36" s="1092">
        <f t="shared" si="47"/>
        <v>0</v>
      </c>
      <c r="J36" s="1092">
        <f t="shared" si="47"/>
        <v>0</v>
      </c>
      <c r="K36" s="1092">
        <f t="shared" si="47"/>
        <v>0</v>
      </c>
      <c r="L36" s="1092">
        <f t="shared" si="47"/>
        <v>0</v>
      </c>
      <c r="M36" s="1130">
        <f>+M37+M38+M39+M40</f>
        <v>110334381</v>
      </c>
      <c r="N36" s="1130">
        <f>+N37+N38+N39+N40</f>
        <v>69327747</v>
      </c>
      <c r="O36" s="938"/>
      <c r="Q36" s="923"/>
    </row>
    <row r="37" spans="1:17">
      <c r="A37" s="936"/>
      <c r="B37" s="1131" t="s">
        <v>12</v>
      </c>
      <c r="C37" s="1132"/>
      <c r="D37" s="1093">
        <f>+D291+D147+D303+D267+D279+D82+D131+D56+D94+D70+D106+D116+D159+D171+D183+D195+D207+D219+D231+D243+D255</f>
        <v>115072709</v>
      </c>
      <c r="E37" s="1093">
        <f t="shared" ref="E37:L37" si="48">+E291+E147+E303+E267+E279+E82+E131+E56+E94+E70+E106+E116+E159+E171+E183+E195+E207+E219+E231+E243+E255</f>
        <v>12161335</v>
      </c>
      <c r="F37" s="1093">
        <f t="shared" si="48"/>
        <v>38659792</v>
      </c>
      <c r="G37" s="1093">
        <f t="shared" si="48"/>
        <v>59078427</v>
      </c>
      <c r="H37" s="1093">
        <f t="shared" si="48"/>
        <v>5173155</v>
      </c>
      <c r="I37" s="1093">
        <f t="shared" si="48"/>
        <v>0</v>
      </c>
      <c r="J37" s="1093">
        <f t="shared" si="48"/>
        <v>0</v>
      </c>
      <c r="K37" s="1093">
        <f t="shared" si="48"/>
        <v>0</v>
      </c>
      <c r="L37" s="1093">
        <f t="shared" si="48"/>
        <v>0</v>
      </c>
      <c r="M37" s="1065">
        <f>SUM(F37:K37)</f>
        <v>102911374</v>
      </c>
      <c r="N37" s="1065">
        <f t="shared" ref="M37:N39" si="49">SUM(G37:L37)</f>
        <v>64251582</v>
      </c>
      <c r="O37" s="941"/>
      <c r="P37" s="491"/>
      <c r="Q37" s="923"/>
    </row>
    <row r="38" spans="1:17" ht="12" customHeight="1">
      <c r="A38" s="936"/>
      <c r="B38" s="1057" t="s">
        <v>15</v>
      </c>
      <c r="C38" s="1061"/>
      <c r="D38" s="1093">
        <f>+D148+D305+D268+D83+D118+D133+D95+D208+D220+D172+D232</f>
        <v>17720699</v>
      </c>
      <c r="E38" s="1093">
        <f t="shared" ref="E38:L38" si="50">+E148+E305+E268+E83+E118+E133+E95+E208+E220+E172+E232</f>
        <v>10297692</v>
      </c>
      <c r="F38" s="1093">
        <f t="shared" si="50"/>
        <v>2346842</v>
      </c>
      <c r="G38" s="1093">
        <f t="shared" si="50"/>
        <v>5076165</v>
      </c>
      <c r="H38" s="1093">
        <f t="shared" si="50"/>
        <v>0</v>
      </c>
      <c r="I38" s="1093">
        <f t="shared" si="50"/>
        <v>0</v>
      </c>
      <c r="J38" s="1093">
        <f t="shared" si="50"/>
        <v>0</v>
      </c>
      <c r="K38" s="1093">
        <f t="shared" si="50"/>
        <v>0</v>
      </c>
      <c r="L38" s="1093">
        <f t="shared" si="50"/>
        <v>0</v>
      </c>
      <c r="M38" s="1065">
        <f t="shared" si="49"/>
        <v>7423007</v>
      </c>
      <c r="N38" s="1065">
        <f t="shared" si="49"/>
        <v>5076165</v>
      </c>
      <c r="O38" s="941"/>
      <c r="P38" s="491">
        <f>D38-D45</f>
        <v>0</v>
      </c>
      <c r="Q38" s="923"/>
    </row>
    <row r="39" spans="1:17" ht="12" customHeight="1">
      <c r="A39" s="936"/>
      <c r="B39" s="1057" t="s">
        <v>17</v>
      </c>
      <c r="C39" s="1061"/>
      <c r="D39" s="1093">
        <f>+D117+D132+D57+D71</f>
        <v>11379681</v>
      </c>
      <c r="E39" s="1093">
        <f t="shared" ref="E39:L39" si="51">+E117+E132+E57+E71</f>
        <v>11379681</v>
      </c>
      <c r="F39" s="1093">
        <f t="shared" si="51"/>
        <v>0</v>
      </c>
      <c r="G39" s="1093">
        <f t="shared" si="51"/>
        <v>0</v>
      </c>
      <c r="H39" s="1093">
        <f t="shared" si="51"/>
        <v>0</v>
      </c>
      <c r="I39" s="1093">
        <f t="shared" si="51"/>
        <v>0</v>
      </c>
      <c r="J39" s="1093">
        <f t="shared" si="51"/>
        <v>0</v>
      </c>
      <c r="K39" s="1093">
        <f t="shared" si="51"/>
        <v>0</v>
      </c>
      <c r="L39" s="1093">
        <f t="shared" si="51"/>
        <v>0</v>
      </c>
      <c r="M39" s="1065">
        <f t="shared" si="49"/>
        <v>0</v>
      </c>
      <c r="N39" s="1065">
        <f t="shared" si="49"/>
        <v>0</v>
      </c>
      <c r="O39" s="941"/>
      <c r="P39" s="491">
        <f>D39-D46</f>
        <v>0</v>
      </c>
      <c r="Q39" s="923"/>
    </row>
    <row r="40" spans="1:17" ht="12" hidden="1" customHeight="1">
      <c r="A40" s="936"/>
      <c r="B40" s="1057" t="s">
        <v>52</v>
      </c>
      <c r="C40" s="1061"/>
      <c r="D40" s="1093">
        <f>D280+D292+D304</f>
        <v>0</v>
      </c>
      <c r="E40" s="1093">
        <f t="shared" ref="E40:L40" si="52">E280+E292+E304</f>
        <v>0</v>
      </c>
      <c r="F40" s="1093">
        <f t="shared" si="52"/>
        <v>0</v>
      </c>
      <c r="G40" s="1093">
        <f t="shared" si="52"/>
        <v>0</v>
      </c>
      <c r="H40" s="1093">
        <f t="shared" si="52"/>
        <v>0</v>
      </c>
      <c r="I40" s="1093">
        <f t="shared" si="52"/>
        <v>0</v>
      </c>
      <c r="J40" s="1093">
        <f t="shared" si="52"/>
        <v>0</v>
      </c>
      <c r="K40" s="1093">
        <f t="shared" si="52"/>
        <v>0</v>
      </c>
      <c r="L40" s="1093">
        <f t="shared" si="52"/>
        <v>0</v>
      </c>
      <c r="M40" s="1065">
        <f>SUM(E40:K40)</f>
        <v>0</v>
      </c>
      <c r="N40" s="1065">
        <f>SUM(F40:L40)</f>
        <v>0</v>
      </c>
      <c r="O40" s="941"/>
      <c r="P40" s="491"/>
      <c r="Q40" s="923"/>
    </row>
    <row r="41" spans="1:17" s="926" customFormat="1">
      <c r="A41" s="936"/>
      <c r="B41" s="1094" t="s">
        <v>18</v>
      </c>
      <c r="C41" s="1095"/>
      <c r="D41" s="1092">
        <f>+D42</f>
        <v>693132480</v>
      </c>
      <c r="E41" s="1092">
        <f t="shared" ref="E41:L41" si="53">+E42</f>
        <v>159377747</v>
      </c>
      <c r="F41" s="1092">
        <f t="shared" si="53"/>
        <v>194035276</v>
      </c>
      <c r="G41" s="1092">
        <f t="shared" si="53"/>
        <v>308024912</v>
      </c>
      <c r="H41" s="1092">
        <f t="shared" si="53"/>
        <v>31694545</v>
      </c>
      <c r="I41" s="1092">
        <f t="shared" si="53"/>
        <v>0</v>
      </c>
      <c r="J41" s="1092">
        <f t="shared" si="53"/>
        <v>0</v>
      </c>
      <c r="K41" s="1092">
        <f t="shared" si="53"/>
        <v>0</v>
      </c>
      <c r="L41" s="1092">
        <f t="shared" si="53"/>
        <v>0</v>
      </c>
      <c r="M41" s="1133">
        <f>+M42</f>
        <v>533754733</v>
      </c>
      <c r="N41" s="1133">
        <f>+N42</f>
        <v>339719457</v>
      </c>
      <c r="O41" s="941"/>
      <c r="Q41" s="923"/>
    </row>
    <row r="42" spans="1:17">
      <c r="A42" s="936"/>
      <c r="B42" s="1134" t="s">
        <v>21</v>
      </c>
      <c r="C42" s="1135"/>
      <c r="D42" s="1136">
        <f>+D294+D150+D120+D307+D270+D282+D85+D136+D60+D97+D73+D108+D162+D174+D186+D198+D210+D222+D234+D246+D258</f>
        <v>693132480</v>
      </c>
      <c r="E42" s="1136">
        <f t="shared" ref="E42:L42" si="54">+E294+E150+E120+E307+E270+E282+E85+E136+E60+E97+E73+E108+E162+E174+E186+E198+E210+E222+E234+E246+E258</f>
        <v>159377747</v>
      </c>
      <c r="F42" s="1136">
        <f t="shared" si="54"/>
        <v>194035276</v>
      </c>
      <c r="G42" s="1136">
        <f t="shared" si="54"/>
        <v>308024912</v>
      </c>
      <c r="H42" s="1136">
        <f>+H294+H150+H120+H307+H270+H282+H85+H136+H60+H97+H73+H108+H162+H174+H186+H198+H210+H222+H234+H246+H258</f>
        <v>31694545</v>
      </c>
      <c r="I42" s="1136">
        <f t="shared" si="54"/>
        <v>0</v>
      </c>
      <c r="J42" s="1136">
        <f t="shared" si="54"/>
        <v>0</v>
      </c>
      <c r="K42" s="1136">
        <f t="shared" si="54"/>
        <v>0</v>
      </c>
      <c r="L42" s="1136">
        <f t="shared" si="54"/>
        <v>0</v>
      </c>
      <c r="M42" s="1065">
        <f>SUM(F42:K42)</f>
        <v>533754733</v>
      </c>
      <c r="N42" s="1065">
        <f>SUM(G42:L42)</f>
        <v>339719457</v>
      </c>
      <c r="O42" s="938"/>
      <c r="P42" s="491">
        <f>D42-D51</f>
        <v>0</v>
      </c>
      <c r="Q42" s="923"/>
    </row>
    <row r="43" spans="1:17" ht="14.25" customHeight="1">
      <c r="A43" s="936"/>
      <c r="B43" s="728" t="s">
        <v>22</v>
      </c>
      <c r="C43" s="829"/>
      <c r="D43" s="1054">
        <f>+D44+D49</f>
        <v>722232860</v>
      </c>
      <c r="E43" s="1054">
        <f t="shared" ref="E43:L43" si="55">+E44+E49</f>
        <v>171972248</v>
      </c>
      <c r="F43" s="1054">
        <f t="shared" si="55"/>
        <v>187613881</v>
      </c>
      <c r="G43" s="1054">
        <f t="shared" si="55"/>
        <v>326952186</v>
      </c>
      <c r="H43" s="1054">
        <f t="shared" si="55"/>
        <v>35694545</v>
      </c>
      <c r="I43" s="1054">
        <f t="shared" si="55"/>
        <v>0</v>
      </c>
      <c r="J43" s="1054">
        <f t="shared" si="55"/>
        <v>0</v>
      </c>
      <c r="K43" s="1054">
        <f t="shared" si="55"/>
        <v>0</v>
      </c>
      <c r="L43" s="1054">
        <f t="shared" si="55"/>
        <v>0</v>
      </c>
      <c r="M43" s="2990" t="s">
        <v>23</v>
      </c>
      <c r="N43" s="2990" t="s">
        <v>23</v>
      </c>
      <c r="O43" s="941"/>
    </row>
    <row r="44" spans="1:17" ht="12.75" customHeight="1">
      <c r="A44" s="936"/>
      <c r="B44" s="1055" t="s">
        <v>24</v>
      </c>
      <c r="C44" s="944"/>
      <c r="D44" s="37">
        <f>+D45+D46+D47+D48</f>
        <v>29100380</v>
      </c>
      <c r="E44" s="37">
        <f t="shared" ref="E44:L44" si="56">+E45+E46+E47+E48</f>
        <v>21677373</v>
      </c>
      <c r="F44" s="37">
        <f t="shared" si="56"/>
        <v>2346842</v>
      </c>
      <c r="G44" s="37">
        <f t="shared" si="56"/>
        <v>5076165</v>
      </c>
      <c r="H44" s="37">
        <f t="shared" si="56"/>
        <v>0</v>
      </c>
      <c r="I44" s="37">
        <f t="shared" si="56"/>
        <v>0</v>
      </c>
      <c r="J44" s="37">
        <f t="shared" si="56"/>
        <v>0</v>
      </c>
      <c r="K44" s="37">
        <f t="shared" si="56"/>
        <v>0</v>
      </c>
      <c r="L44" s="37">
        <f t="shared" si="56"/>
        <v>0</v>
      </c>
      <c r="M44" s="2991"/>
      <c r="N44" s="2991"/>
      <c r="O44" s="941"/>
      <c r="P44" s="491"/>
    </row>
    <row r="45" spans="1:17" ht="11.25" customHeight="1">
      <c r="A45" s="936"/>
      <c r="B45" s="38" t="s">
        <v>15</v>
      </c>
      <c r="C45" s="39"/>
      <c r="D45" s="1056">
        <f>+D153+D311+D273+D88+D124+D140+D100+D213+D225+D177+D237</f>
        <v>17720699</v>
      </c>
      <c r="E45" s="1056">
        <f t="shared" ref="E45:L45" si="57">+E153+E311+E273+E88+E124+E140+E100+E213+E225+E177+E237</f>
        <v>10297692</v>
      </c>
      <c r="F45" s="1056">
        <f t="shared" si="57"/>
        <v>2346842</v>
      </c>
      <c r="G45" s="1056">
        <f t="shared" si="57"/>
        <v>5076165</v>
      </c>
      <c r="H45" s="1056">
        <f t="shared" si="57"/>
        <v>0</v>
      </c>
      <c r="I45" s="1056">
        <f t="shared" si="57"/>
        <v>0</v>
      </c>
      <c r="J45" s="1056">
        <f t="shared" si="57"/>
        <v>0</v>
      </c>
      <c r="K45" s="1056">
        <f t="shared" si="57"/>
        <v>0</v>
      </c>
      <c r="L45" s="1056">
        <f t="shared" si="57"/>
        <v>0</v>
      </c>
      <c r="M45" s="2991"/>
      <c r="N45" s="2991"/>
      <c r="O45" s="941"/>
    </row>
    <row r="46" spans="1:17">
      <c r="A46" s="936"/>
      <c r="B46" s="1057" t="s">
        <v>17</v>
      </c>
      <c r="C46" s="39"/>
      <c r="D46" s="1056">
        <f>+D123+D139+D63+D76</f>
        <v>11379681</v>
      </c>
      <c r="E46" s="1056">
        <f t="shared" ref="E46:L46" si="58">+E123+E139+E63+E76</f>
        <v>11379681</v>
      </c>
      <c r="F46" s="1056">
        <f t="shared" si="58"/>
        <v>0</v>
      </c>
      <c r="G46" s="1056">
        <f t="shared" si="58"/>
        <v>0</v>
      </c>
      <c r="H46" s="1056">
        <f t="shared" si="58"/>
        <v>0</v>
      </c>
      <c r="I46" s="1056">
        <f t="shared" si="58"/>
        <v>0</v>
      </c>
      <c r="J46" s="1056">
        <f t="shared" si="58"/>
        <v>0</v>
      </c>
      <c r="K46" s="1056">
        <f t="shared" si="58"/>
        <v>0</v>
      </c>
      <c r="L46" s="1056">
        <f t="shared" si="58"/>
        <v>0</v>
      </c>
      <c r="M46" s="2991"/>
      <c r="N46" s="2991"/>
      <c r="O46" s="941"/>
    </row>
    <row r="47" spans="1:17" hidden="1">
      <c r="A47" s="936"/>
      <c r="B47" s="1057" t="s">
        <v>26</v>
      </c>
      <c r="C47" s="39"/>
      <c r="D47" s="1056"/>
      <c r="E47" s="1056"/>
      <c r="F47" s="1056"/>
      <c r="G47" s="1056"/>
      <c r="H47" s="1056"/>
      <c r="I47" s="1056"/>
      <c r="J47" s="1056"/>
      <c r="K47" s="1056"/>
      <c r="L47" s="1056"/>
      <c r="M47" s="2991"/>
      <c r="N47" s="2991"/>
      <c r="O47" s="941"/>
    </row>
    <row r="48" spans="1:17" hidden="1">
      <c r="A48" s="936"/>
      <c r="B48" s="1057" t="s">
        <v>52</v>
      </c>
      <c r="C48" s="39"/>
      <c r="D48" s="1056">
        <f>D285+D297+D310</f>
        <v>0</v>
      </c>
      <c r="E48" s="1056">
        <f t="shared" ref="E48:L48" si="59">E285+E297+E310</f>
        <v>0</v>
      </c>
      <c r="F48" s="1056">
        <f t="shared" si="59"/>
        <v>0</v>
      </c>
      <c r="G48" s="1056">
        <f t="shared" si="59"/>
        <v>0</v>
      </c>
      <c r="H48" s="1056">
        <f t="shared" si="59"/>
        <v>0</v>
      </c>
      <c r="I48" s="1056">
        <f t="shared" si="59"/>
        <v>0</v>
      </c>
      <c r="J48" s="1056">
        <f t="shared" si="59"/>
        <v>0</v>
      </c>
      <c r="K48" s="1056">
        <f t="shared" si="59"/>
        <v>0</v>
      </c>
      <c r="L48" s="1056">
        <f t="shared" si="59"/>
        <v>0</v>
      </c>
      <c r="M48" s="2991"/>
      <c r="N48" s="2991"/>
      <c r="O48" s="941"/>
    </row>
    <row r="49" spans="1:16" ht="12" customHeight="1">
      <c r="A49" s="936"/>
      <c r="B49" s="1058" t="s">
        <v>18</v>
      </c>
      <c r="C49" s="1059"/>
      <c r="D49" s="1060">
        <f>+D50+D51</f>
        <v>693132480</v>
      </c>
      <c r="E49" s="1060">
        <f t="shared" ref="E49:L49" si="60">+E50+E51</f>
        <v>150294875</v>
      </c>
      <c r="F49" s="1060">
        <f t="shared" si="60"/>
        <v>185267039</v>
      </c>
      <c r="G49" s="1060">
        <f t="shared" si="60"/>
        <v>321876021</v>
      </c>
      <c r="H49" s="1060">
        <f t="shared" si="60"/>
        <v>35694545</v>
      </c>
      <c r="I49" s="1060">
        <f t="shared" si="60"/>
        <v>0</v>
      </c>
      <c r="J49" s="1060">
        <f t="shared" si="60"/>
        <v>0</v>
      </c>
      <c r="K49" s="1060">
        <f t="shared" si="60"/>
        <v>0</v>
      </c>
      <c r="L49" s="1060">
        <f t="shared" si="60"/>
        <v>0</v>
      </c>
      <c r="M49" s="2991"/>
      <c r="N49" s="2991"/>
      <c r="O49" s="941"/>
    </row>
    <row r="50" spans="1:16" ht="12" hidden="1" customHeight="1">
      <c r="A50" s="936"/>
      <c r="B50" s="1057" t="s">
        <v>17</v>
      </c>
      <c r="C50" s="1061"/>
      <c r="D50" s="1056">
        <f>+D126+D142+D65</f>
        <v>0</v>
      </c>
      <c r="E50" s="1056">
        <f t="shared" ref="E50:L50" si="61">+E126+E142+E65</f>
        <v>0</v>
      </c>
      <c r="F50" s="1056">
        <f t="shared" si="61"/>
        <v>0</v>
      </c>
      <c r="G50" s="1056">
        <f t="shared" si="61"/>
        <v>0</v>
      </c>
      <c r="H50" s="1056">
        <f t="shared" si="61"/>
        <v>0</v>
      </c>
      <c r="I50" s="1056">
        <f t="shared" si="61"/>
        <v>0</v>
      </c>
      <c r="J50" s="1056">
        <f t="shared" si="61"/>
        <v>0</v>
      </c>
      <c r="K50" s="1056">
        <f t="shared" si="61"/>
        <v>0</v>
      </c>
      <c r="L50" s="1056">
        <f t="shared" si="61"/>
        <v>0</v>
      </c>
      <c r="M50" s="2991"/>
      <c r="N50" s="2991"/>
      <c r="O50" s="941"/>
      <c r="P50" s="491"/>
    </row>
    <row r="51" spans="1:16" ht="12.75" customHeight="1" thickBot="1">
      <c r="A51" s="945"/>
      <c r="B51" s="40" t="s">
        <v>21</v>
      </c>
      <c r="C51" s="41"/>
      <c r="D51" s="1062">
        <f>+D299+D155+D127+D313+D275+D287++D90+D143+D66+D102+D78+D111+D167+D179+D191+D203+D215+D227+D239+D251+D263</f>
        <v>693132480</v>
      </c>
      <c r="E51" s="1062">
        <f t="shared" ref="E51:L51" si="62">+E299+E155+E127+E313+E275+E287++E90+E143+E66+E102+E78+E111+E167+E179+E191+E203+E215+E227+E239+E251+E263</f>
        <v>150294875</v>
      </c>
      <c r="F51" s="1062">
        <f t="shared" si="62"/>
        <v>185267039</v>
      </c>
      <c r="G51" s="1062">
        <f t="shared" si="62"/>
        <v>321876021</v>
      </c>
      <c r="H51" s="1062">
        <f t="shared" si="62"/>
        <v>35694545</v>
      </c>
      <c r="I51" s="1062">
        <f t="shared" si="62"/>
        <v>0</v>
      </c>
      <c r="J51" s="1062">
        <f t="shared" si="62"/>
        <v>0</v>
      </c>
      <c r="K51" s="1062">
        <f t="shared" si="62"/>
        <v>0</v>
      </c>
      <c r="L51" s="1062">
        <f t="shared" si="62"/>
        <v>0</v>
      </c>
      <c r="M51" s="2992"/>
      <c r="N51" s="2992"/>
      <c r="O51" s="946"/>
      <c r="P51" s="491"/>
    </row>
    <row r="52" spans="1:16" s="269" customFormat="1" ht="15" customHeight="1" thickBot="1">
      <c r="A52" s="494"/>
      <c r="B52" s="284" t="s">
        <v>342</v>
      </c>
      <c r="C52" s="495"/>
      <c r="D52" s="957"/>
      <c r="E52" s="1910"/>
      <c r="F52" s="958"/>
      <c r="G52" s="958"/>
      <c r="H52" s="958"/>
      <c r="I52" s="958"/>
      <c r="J52" s="958"/>
      <c r="K52" s="958"/>
      <c r="L52" s="958"/>
      <c r="M52" s="496"/>
      <c r="N52" s="496"/>
      <c r="O52" s="497"/>
    </row>
    <row r="53" spans="1:16" ht="23.25" customHeight="1">
      <c r="A53" s="2998" t="s">
        <v>63</v>
      </c>
      <c r="B53" s="447" t="s">
        <v>437</v>
      </c>
      <c r="C53" s="59" t="s">
        <v>81</v>
      </c>
      <c r="D53" s="60"/>
      <c r="E53" s="42"/>
      <c r="F53" s="44"/>
      <c r="G53" s="44"/>
      <c r="H53" s="44"/>
      <c r="I53" s="44"/>
      <c r="J53" s="44"/>
      <c r="K53" s="44"/>
      <c r="L53" s="44"/>
      <c r="M53" s="45"/>
      <c r="N53" s="45"/>
      <c r="O53" s="46" t="s">
        <v>82</v>
      </c>
    </row>
    <row r="54" spans="1:16">
      <c r="A54" s="2999"/>
      <c r="B54" s="728" t="s">
        <v>10</v>
      </c>
      <c r="C54" s="2017"/>
      <c r="D54" s="2043">
        <f t="shared" ref="D54" si="63">+D55+D58</f>
        <v>15924504</v>
      </c>
      <c r="E54" s="2043">
        <f>+E55+E58</f>
        <v>15847443</v>
      </c>
      <c r="F54" s="2043">
        <f>+F55+F58</f>
        <v>77061</v>
      </c>
      <c r="G54" s="2043"/>
      <c r="H54" s="2043"/>
      <c r="I54" s="2043"/>
      <c r="J54" s="2043"/>
      <c r="K54" s="2043"/>
      <c r="L54" s="2043"/>
      <c r="M54" s="2019">
        <f>+M55+M58</f>
        <v>77061</v>
      </c>
      <c r="N54" s="2019">
        <f>+N55+N58</f>
        <v>0</v>
      </c>
      <c r="O54" s="2949" t="s">
        <v>83</v>
      </c>
    </row>
    <row r="55" spans="1:16" ht="12" customHeight="1">
      <c r="A55" s="2999"/>
      <c r="B55" s="694" t="s">
        <v>24</v>
      </c>
      <c r="C55" s="2920" t="s">
        <v>84</v>
      </c>
      <c r="D55" s="2044">
        <f t="shared" ref="D55" si="64">+D56+D57</f>
        <v>8116891</v>
      </c>
      <c r="E55" s="2044">
        <f>+E56+E57</f>
        <v>8039830</v>
      </c>
      <c r="F55" s="2044">
        <f>+F56+F57</f>
        <v>77061</v>
      </c>
      <c r="G55" s="2044"/>
      <c r="H55" s="2044"/>
      <c r="I55" s="2044"/>
      <c r="J55" s="2044"/>
      <c r="K55" s="2044"/>
      <c r="L55" s="2044"/>
      <c r="M55" s="2022">
        <f>+M56+M57</f>
        <v>77061</v>
      </c>
      <c r="N55" s="2022">
        <f>+N56+N57</f>
        <v>0</v>
      </c>
      <c r="O55" s="2949"/>
    </row>
    <row r="56" spans="1:16" ht="12" customHeight="1">
      <c r="A56" s="2999"/>
      <c r="B56" s="1073" t="s">
        <v>12</v>
      </c>
      <c r="C56" s="2947"/>
      <c r="D56" s="1926">
        <f>E56+F56+G56+H56+I56+J56+K56+L56</f>
        <v>309278</v>
      </c>
      <c r="E56" s="1990">
        <f>232217</f>
        <v>232217</v>
      </c>
      <c r="F56" s="2045">
        <f>51861+97966+27234-100000</f>
        <v>77061</v>
      </c>
      <c r="G56" s="2046"/>
      <c r="H56" s="2046"/>
      <c r="I56" s="2046"/>
      <c r="J56" s="2046"/>
      <c r="K56" s="2046"/>
      <c r="L56" s="2046"/>
      <c r="M56" s="2047">
        <f>SUM(F56:K56)</f>
        <v>77061</v>
      </c>
      <c r="N56" s="2047">
        <f>SUM(G56:L56)</f>
        <v>0</v>
      </c>
      <c r="O56" s="2949"/>
    </row>
    <row r="57" spans="1:16" ht="12" customHeight="1">
      <c r="A57" s="2999"/>
      <c r="B57" s="2184" t="s">
        <v>17</v>
      </c>
      <c r="C57" s="2947"/>
      <c r="D57" s="1926">
        <f>E57+F57+G57+H57+I57+J57+K57+L57</f>
        <v>7807613</v>
      </c>
      <c r="E57" s="1990">
        <f>7807613</f>
        <v>7807613</v>
      </c>
      <c r="F57" s="2046"/>
      <c r="G57" s="2046"/>
      <c r="H57" s="2046"/>
      <c r="I57" s="2046"/>
      <c r="J57" s="2046"/>
      <c r="K57" s="2046"/>
      <c r="L57" s="2046"/>
      <c r="M57" s="2047">
        <f>SUM(F57:K57)</f>
        <v>0</v>
      </c>
      <c r="N57" s="2047">
        <f>SUM(G57:L57)</f>
        <v>0</v>
      </c>
      <c r="O57" s="2949"/>
    </row>
    <row r="58" spans="1:16" ht="12" customHeight="1">
      <c r="A58" s="2999"/>
      <c r="B58" s="2077" t="s">
        <v>18</v>
      </c>
      <c r="C58" s="2947"/>
      <c r="D58" s="2021">
        <f>+D59+D60</f>
        <v>7807613</v>
      </c>
      <c r="E58" s="2021">
        <f t="shared" ref="E58" si="65">+E59+E60</f>
        <v>7807613</v>
      </c>
      <c r="F58" s="2021"/>
      <c r="G58" s="2021"/>
      <c r="H58" s="2021"/>
      <c r="I58" s="2021"/>
      <c r="J58" s="2021"/>
      <c r="K58" s="2021"/>
      <c r="L58" s="2021"/>
      <c r="M58" s="2022">
        <f>+M59+M60</f>
        <v>0</v>
      </c>
      <c r="N58" s="2022">
        <f>+N59+N60</f>
        <v>0</v>
      </c>
      <c r="O58" s="2949"/>
    </row>
    <row r="59" spans="1:16" ht="12" hidden="1" customHeight="1">
      <c r="A59" s="2999"/>
      <c r="B59" s="811" t="s">
        <v>17</v>
      </c>
      <c r="C59" s="2947"/>
      <c r="D59" s="1926">
        <f>E59+F59+G59+H59+I59+J59+K59+L59</f>
        <v>0</v>
      </c>
      <c r="E59" s="2041"/>
      <c r="F59" s="2046"/>
      <c r="G59" s="2046"/>
      <c r="H59" s="2046"/>
      <c r="I59" s="2046"/>
      <c r="J59" s="206"/>
      <c r="K59" s="206"/>
      <c r="L59" s="206"/>
      <c r="M59" s="70"/>
      <c r="N59" s="70"/>
      <c r="O59" s="2949"/>
    </row>
    <row r="60" spans="1:16" ht="12" customHeight="1">
      <c r="A60" s="2999"/>
      <c r="B60" s="811" t="s">
        <v>21</v>
      </c>
      <c r="C60" s="2922"/>
      <c r="D60" s="1926">
        <f>E60+F60+G60+H60+I60+J60+K60+L60</f>
        <v>7807613</v>
      </c>
      <c r="E60" s="1990">
        <f>7807613</f>
        <v>7807613</v>
      </c>
      <c r="F60" s="2046"/>
      <c r="G60" s="2046"/>
      <c r="H60" s="2046"/>
      <c r="I60" s="2046"/>
      <c r="J60" s="2046"/>
      <c r="K60" s="2046"/>
      <c r="L60" s="2046"/>
      <c r="M60" s="2047">
        <f>SUM(F60:K60)</f>
        <v>0</v>
      </c>
      <c r="N60" s="2047">
        <f>SUM(G60:L60)</f>
        <v>0</v>
      </c>
      <c r="O60" s="2950"/>
    </row>
    <row r="61" spans="1:16">
      <c r="A61" s="2999"/>
      <c r="B61" s="83" t="s">
        <v>22</v>
      </c>
      <c r="C61" s="2017"/>
      <c r="D61" s="2018">
        <f t="shared" ref="D61" si="66">+D64+D62</f>
        <v>15615226</v>
      </c>
      <c r="E61" s="2018">
        <f>+E64+E62</f>
        <v>15615226</v>
      </c>
      <c r="F61" s="2018"/>
      <c r="G61" s="2018"/>
      <c r="H61" s="2018"/>
      <c r="I61" s="2018"/>
      <c r="J61" s="2492"/>
      <c r="K61" s="2492"/>
      <c r="L61" s="2492"/>
      <c r="M61" s="2901" t="s">
        <v>23</v>
      </c>
      <c r="N61" s="2901" t="s">
        <v>23</v>
      </c>
      <c r="O61" s="2971" t="s">
        <v>206</v>
      </c>
      <c r="P61" s="491">
        <v>0</v>
      </c>
    </row>
    <row r="62" spans="1:16" ht="12" customHeight="1">
      <c r="A62" s="2999"/>
      <c r="B62" s="2025" t="s">
        <v>24</v>
      </c>
      <c r="C62" s="2920" t="s">
        <v>85</v>
      </c>
      <c r="D62" s="2021">
        <f t="shared" ref="D62:E62" si="67">+D63</f>
        <v>7807613</v>
      </c>
      <c r="E62" s="2021">
        <f t="shared" si="67"/>
        <v>7807613</v>
      </c>
      <c r="F62" s="2021"/>
      <c r="G62" s="2021"/>
      <c r="H62" s="2021"/>
      <c r="I62" s="2021"/>
      <c r="J62" s="2021"/>
      <c r="K62" s="2021"/>
      <c r="L62" s="2021"/>
      <c r="M62" s="2874"/>
      <c r="N62" s="2874"/>
      <c r="O62" s="2916"/>
    </row>
    <row r="63" spans="1:16" ht="12" customHeight="1">
      <c r="A63" s="2999"/>
      <c r="B63" s="2061" t="s">
        <v>17</v>
      </c>
      <c r="C63" s="2947"/>
      <c r="D63" s="1926">
        <f>E63+F63+G63+H63+I63+J63+K63+L63</f>
        <v>7807613</v>
      </c>
      <c r="E63" s="1990">
        <f>7807613</f>
        <v>7807613</v>
      </c>
      <c r="F63" s="2050"/>
      <c r="G63" s="2050"/>
      <c r="H63" s="2050"/>
      <c r="I63" s="2021"/>
      <c r="J63" s="2021"/>
      <c r="K63" s="2021"/>
      <c r="L63" s="2021"/>
      <c r="M63" s="2874"/>
      <c r="N63" s="2874"/>
      <c r="O63" s="2916"/>
    </row>
    <row r="64" spans="1:16" ht="12" customHeight="1">
      <c r="A64" s="2999"/>
      <c r="B64" s="1069" t="s">
        <v>18</v>
      </c>
      <c r="C64" s="2947"/>
      <c r="D64" s="2051">
        <f t="shared" ref="D64:E64" si="68">+D65+D66</f>
        <v>7807613</v>
      </c>
      <c r="E64" s="2051">
        <f t="shared" si="68"/>
        <v>7807613</v>
      </c>
      <c r="F64" s="2493"/>
      <c r="G64" s="2493"/>
      <c r="H64" s="2493"/>
      <c r="I64" s="2050"/>
      <c r="J64" s="2050"/>
      <c r="K64" s="2050"/>
      <c r="L64" s="2050"/>
      <c r="M64" s="2874"/>
      <c r="N64" s="2874"/>
      <c r="O64" s="2916"/>
    </row>
    <row r="65" spans="1:19" ht="12" hidden="1" customHeight="1">
      <c r="A65" s="2999"/>
      <c r="B65" s="811" t="s">
        <v>17</v>
      </c>
      <c r="C65" s="2947"/>
      <c r="D65" s="1926">
        <f>E65+F65+G65+H65+I65+J65+K65+L65</f>
        <v>0</v>
      </c>
      <c r="E65" s="2135"/>
      <c r="F65" s="2050"/>
      <c r="G65" s="2050"/>
      <c r="H65" s="2050"/>
      <c r="I65" s="2493"/>
      <c r="J65" s="2493"/>
      <c r="K65" s="2493"/>
      <c r="L65" s="2493"/>
      <c r="M65" s="2874"/>
      <c r="N65" s="2874"/>
      <c r="O65" s="2916"/>
    </row>
    <row r="66" spans="1:19" ht="10.5" customHeight="1" thickBot="1">
      <c r="A66" s="3000"/>
      <c r="B66" s="1672" t="s">
        <v>21</v>
      </c>
      <c r="C66" s="2935"/>
      <c r="D66" s="2222">
        <f>E66+F66+G66+H66+I66+J66+K66+L66</f>
        <v>7807613</v>
      </c>
      <c r="E66" s="2222">
        <f>7807613</f>
        <v>7807613</v>
      </c>
      <c r="F66" s="1673"/>
      <c r="G66" s="1673"/>
      <c r="H66" s="1673"/>
      <c r="I66" s="2494"/>
      <c r="J66" s="2494"/>
      <c r="K66" s="2494"/>
      <c r="L66" s="2494"/>
      <c r="M66" s="2875"/>
      <c r="N66" s="2875"/>
      <c r="O66" s="2917"/>
    </row>
    <row r="67" spans="1:19" ht="25.5" customHeight="1">
      <c r="A67" s="2931" t="s">
        <v>64</v>
      </c>
      <c r="B67" s="75" t="s">
        <v>323</v>
      </c>
      <c r="C67" s="59" t="s">
        <v>81</v>
      </c>
      <c r="D67" s="60"/>
      <c r="E67" s="43"/>
      <c r="F67" s="42"/>
      <c r="G67" s="42"/>
      <c r="H67" s="241"/>
      <c r="I67" s="43"/>
      <c r="J67" s="241"/>
      <c r="K67" s="241"/>
      <c r="L67" s="241"/>
      <c r="M67" s="63"/>
      <c r="N67" s="63"/>
      <c r="O67" s="46" t="s">
        <v>82</v>
      </c>
      <c r="S67" s="950"/>
    </row>
    <row r="68" spans="1:19" ht="13.5" customHeight="1">
      <c r="A68" s="2932"/>
      <c r="B68" s="81" t="s">
        <v>10</v>
      </c>
      <c r="C68" s="22"/>
      <c r="D68" s="64">
        <f>+D69+D72</f>
        <v>43928360</v>
      </c>
      <c r="E68" s="64">
        <f>+E69+E72</f>
        <v>43348360</v>
      </c>
      <c r="F68" s="64">
        <f>+F69+F72</f>
        <v>580000</v>
      </c>
      <c r="G68" s="64"/>
      <c r="H68" s="64"/>
      <c r="I68" s="64"/>
      <c r="J68" s="64"/>
      <c r="K68" s="64"/>
      <c r="L68" s="64"/>
      <c r="M68" s="66">
        <f>+M69+M72</f>
        <v>580000</v>
      </c>
      <c r="N68" s="66">
        <f>+N69+N72</f>
        <v>0</v>
      </c>
      <c r="O68" s="2949" t="s">
        <v>83</v>
      </c>
      <c r="P68" s="491"/>
      <c r="Q68" s="491"/>
      <c r="R68" s="491"/>
      <c r="S68" s="491"/>
    </row>
    <row r="69" spans="1:19" ht="12" customHeight="1">
      <c r="A69" s="2932"/>
      <c r="B69" s="231" t="s">
        <v>24</v>
      </c>
      <c r="C69" s="2893" t="s">
        <v>84</v>
      </c>
      <c r="D69" s="67">
        <f>+D70+D71</f>
        <v>4857513</v>
      </c>
      <c r="E69" s="67">
        <f>+E70+E71</f>
        <v>4277513</v>
      </c>
      <c r="F69" s="67">
        <f>+F70+F71</f>
        <v>580000</v>
      </c>
      <c r="G69" s="67"/>
      <c r="H69" s="67"/>
      <c r="I69" s="67"/>
      <c r="J69" s="67"/>
      <c r="K69" s="67"/>
      <c r="L69" s="67"/>
      <c r="M69" s="68">
        <f>+M70+M71</f>
        <v>580000</v>
      </c>
      <c r="N69" s="68">
        <f>+N70+N71</f>
        <v>0</v>
      </c>
      <c r="O69" s="2949"/>
    </row>
    <row r="70" spans="1:19" ht="12" customHeight="1">
      <c r="A70" s="2932"/>
      <c r="B70" s="465" t="s">
        <v>12</v>
      </c>
      <c r="C70" s="2947"/>
      <c r="D70" s="251">
        <f>E70+F70+G70+H70+I70+J70+K70+L70</f>
        <v>1285445</v>
      </c>
      <c r="E70" s="289">
        <f>705445</f>
        <v>705445</v>
      </c>
      <c r="F70" s="88">
        <f>200000+173044+206956</f>
        <v>580000</v>
      </c>
      <c r="G70" s="49"/>
      <c r="H70" s="49"/>
      <c r="I70" s="49"/>
      <c r="J70" s="49"/>
      <c r="K70" s="49"/>
      <c r="L70" s="49"/>
      <c r="M70" s="1065">
        <f>SUM(F70:K70)</f>
        <v>580000</v>
      </c>
      <c r="N70" s="1065">
        <f>SUM(G70:L70)</f>
        <v>0</v>
      </c>
      <c r="O70" s="2949"/>
    </row>
    <row r="71" spans="1:19" ht="12" customHeight="1">
      <c r="A71" s="2932"/>
      <c r="B71" s="465" t="s">
        <v>17</v>
      </c>
      <c r="C71" s="2947"/>
      <c r="D71" s="251">
        <f>E71+F71+G71+H71+I71+J71+K71+L71</f>
        <v>3572068</v>
      </c>
      <c r="E71" s="289">
        <f>3572068</f>
        <v>3572068</v>
      </c>
      <c r="F71" s="49"/>
      <c r="G71" s="49"/>
      <c r="H71" s="49"/>
      <c r="I71" s="49"/>
      <c r="J71" s="49"/>
      <c r="K71" s="49"/>
      <c r="L71" s="49"/>
      <c r="M71" s="1065">
        <f>SUM(F71:K71)</f>
        <v>0</v>
      </c>
      <c r="N71" s="1065">
        <f>SUM(G71:L71)</f>
        <v>0</v>
      </c>
      <c r="O71" s="2949"/>
    </row>
    <row r="72" spans="1:19" ht="12" customHeight="1">
      <c r="A72" s="2932"/>
      <c r="B72" s="948" t="s">
        <v>18</v>
      </c>
      <c r="C72" s="2947"/>
      <c r="D72" s="50">
        <f>+D73</f>
        <v>39070847</v>
      </c>
      <c r="E72" s="50">
        <f t="shared" ref="E72" si="69">+E73</f>
        <v>39070847</v>
      </c>
      <c r="F72" s="50"/>
      <c r="G72" s="50"/>
      <c r="H72" s="50"/>
      <c r="I72" s="50"/>
      <c r="J72" s="50"/>
      <c r="K72" s="50"/>
      <c r="L72" s="50"/>
      <c r="M72" s="68">
        <f>+M73</f>
        <v>0</v>
      </c>
      <c r="N72" s="68">
        <f>+N73</f>
        <v>0</v>
      </c>
      <c r="O72" s="2949"/>
    </row>
    <row r="73" spans="1:19" ht="12" customHeight="1">
      <c r="A73" s="2932"/>
      <c r="B73" s="465" t="s">
        <v>21</v>
      </c>
      <c r="C73" s="266"/>
      <c r="D73" s="1671">
        <f>E73+F73+G73+H73+I73+J73+K73+L73</f>
        <v>39070847</v>
      </c>
      <c r="E73" s="289">
        <f>39070847</f>
        <v>39070847</v>
      </c>
      <c r="F73" s="49"/>
      <c r="G73" s="49"/>
      <c r="H73" s="49"/>
      <c r="I73" s="49"/>
      <c r="J73" s="49"/>
      <c r="K73" s="49"/>
      <c r="L73" s="49"/>
      <c r="M73" s="1065">
        <f>SUM(F73:K73)</f>
        <v>0</v>
      </c>
      <c r="N73" s="1065">
        <f>SUM(G73:L73)</f>
        <v>0</v>
      </c>
      <c r="O73" s="2950"/>
    </row>
    <row r="74" spans="1:19" ht="12" customHeight="1">
      <c r="A74" s="2932"/>
      <c r="B74" s="190" t="s">
        <v>22</v>
      </c>
      <c r="C74" s="92"/>
      <c r="D74" s="104">
        <f t="shared" ref="D74" si="70">+D77+D75</f>
        <v>42642915</v>
      </c>
      <c r="E74" s="104">
        <f>+E77+E75</f>
        <v>42642915</v>
      </c>
      <c r="F74" s="104"/>
      <c r="G74" s="104"/>
      <c r="H74" s="104"/>
      <c r="I74" s="104"/>
      <c r="J74" s="104"/>
      <c r="K74" s="104"/>
      <c r="L74" s="104"/>
      <c r="M74" s="2874" t="s">
        <v>23</v>
      </c>
      <c r="N74" s="2874" t="s">
        <v>23</v>
      </c>
      <c r="O74" s="3004" t="s">
        <v>206</v>
      </c>
      <c r="P74" s="491"/>
    </row>
    <row r="75" spans="1:19" ht="12" customHeight="1">
      <c r="A75" s="2932"/>
      <c r="B75" s="947" t="s">
        <v>24</v>
      </c>
      <c r="C75" s="2893" t="s">
        <v>85</v>
      </c>
      <c r="D75" s="50">
        <f t="shared" ref="D75:E75" si="71">+D76</f>
        <v>3572068</v>
      </c>
      <c r="E75" s="50">
        <f t="shared" si="71"/>
        <v>3572068</v>
      </c>
      <c r="F75" s="50"/>
      <c r="G75" s="50"/>
      <c r="H75" s="50"/>
      <c r="I75" s="50"/>
      <c r="J75" s="50"/>
      <c r="K75" s="50"/>
      <c r="L75" s="50"/>
      <c r="M75" s="2874"/>
      <c r="N75" s="2874"/>
      <c r="O75" s="2949"/>
    </row>
    <row r="76" spans="1:19" ht="12" customHeight="1">
      <c r="A76" s="2932"/>
      <c r="B76" s="847" t="s">
        <v>17</v>
      </c>
      <c r="C76" s="2947"/>
      <c r="D76" s="251">
        <f>E76+F76+G76+H76+I76+J76+K76+L76</f>
        <v>3572068</v>
      </c>
      <c r="E76" s="289">
        <f>3572068</f>
        <v>3572068</v>
      </c>
      <c r="F76" s="55"/>
      <c r="G76" s="55"/>
      <c r="H76" s="55"/>
      <c r="I76" s="55"/>
      <c r="J76" s="55"/>
      <c r="K76" s="55"/>
      <c r="L76" s="55"/>
      <c r="M76" s="2874"/>
      <c r="N76" s="2874"/>
      <c r="O76" s="2949"/>
    </row>
    <row r="77" spans="1:19" ht="12" customHeight="1">
      <c r="A77" s="2932"/>
      <c r="B77" s="948" t="s">
        <v>18</v>
      </c>
      <c r="C77" s="2947"/>
      <c r="D77" s="846">
        <f>+D78</f>
        <v>39070847</v>
      </c>
      <c r="E77" s="846">
        <f t="shared" ref="E77" si="72">+E78</f>
        <v>39070847</v>
      </c>
      <c r="F77" s="846"/>
      <c r="G77" s="846"/>
      <c r="H77" s="846"/>
      <c r="I77" s="846"/>
      <c r="J77" s="846"/>
      <c r="K77" s="846"/>
      <c r="L77" s="846"/>
      <c r="M77" s="2874"/>
      <c r="N77" s="2874"/>
      <c r="O77" s="2949"/>
    </row>
    <row r="78" spans="1:19" ht="12" customHeight="1" thickBot="1">
      <c r="A78" s="2957"/>
      <c r="B78" s="77" t="s">
        <v>21</v>
      </c>
      <c r="C78" s="2935"/>
      <c r="D78" s="251">
        <f>E78+F78+G78+H78+I78+J78+K78+L78</f>
        <v>39070847</v>
      </c>
      <c r="E78" s="289">
        <f>39070847</f>
        <v>39070847</v>
      </c>
      <c r="F78" s="90"/>
      <c r="G78" s="90"/>
      <c r="H78" s="90"/>
      <c r="I78" s="90"/>
      <c r="J78" s="90"/>
      <c r="K78" s="90"/>
      <c r="L78" s="90"/>
      <c r="M78" s="2875"/>
      <c r="N78" s="2875"/>
      <c r="O78" s="3005"/>
    </row>
    <row r="79" spans="1:19" ht="24.75" customHeight="1">
      <c r="A79" s="2931" t="s">
        <v>65</v>
      </c>
      <c r="B79" s="286" t="s">
        <v>419</v>
      </c>
      <c r="C79" s="59" t="s">
        <v>81</v>
      </c>
      <c r="D79" s="60"/>
      <c r="E79" s="97"/>
      <c r="F79" s="97"/>
      <c r="G79" s="97"/>
      <c r="H79" s="97"/>
      <c r="I79" s="97"/>
      <c r="J79" s="97"/>
      <c r="K79" s="97"/>
      <c r="L79" s="97"/>
      <c r="M79" s="45"/>
      <c r="N79" s="45"/>
      <c r="O79" s="91"/>
    </row>
    <row r="80" spans="1:19" ht="13.5" customHeight="1">
      <c r="A80" s="2932"/>
      <c r="B80" s="438" t="s">
        <v>10</v>
      </c>
      <c r="C80" s="481"/>
      <c r="D80" s="482">
        <f>+D81+D84</f>
        <v>21340701</v>
      </c>
      <c r="E80" s="482">
        <f>+E81+E84</f>
        <v>21203332</v>
      </c>
      <c r="F80" s="482">
        <f>+F81+F84</f>
        <v>137369</v>
      </c>
      <c r="G80" s="482"/>
      <c r="H80" s="482"/>
      <c r="I80" s="482"/>
      <c r="J80" s="482"/>
      <c r="K80" s="482"/>
      <c r="L80" s="482"/>
      <c r="M80" s="483">
        <f>+M81+M84</f>
        <v>137369</v>
      </c>
      <c r="N80" s="483">
        <f>+N81+N84</f>
        <v>0</v>
      </c>
      <c r="O80" s="2949" t="s">
        <v>86</v>
      </c>
      <c r="P80" s="491"/>
    </row>
    <row r="81" spans="1:16" ht="12.75" customHeight="1">
      <c r="A81" s="2932"/>
      <c r="B81" s="174" t="s">
        <v>24</v>
      </c>
      <c r="C81" s="2962" t="s">
        <v>84</v>
      </c>
      <c r="D81" s="1674">
        <f>+D82+D83</f>
        <v>8880167</v>
      </c>
      <c r="E81" s="1674">
        <f>+E82+E83</f>
        <v>8742798</v>
      </c>
      <c r="F81" s="1674">
        <f>+F82+F83</f>
        <v>137369</v>
      </c>
      <c r="G81" s="1674"/>
      <c r="H81" s="1674"/>
      <c r="I81" s="1674"/>
      <c r="J81" s="1674"/>
      <c r="K81" s="1674"/>
      <c r="L81" s="1674"/>
      <c r="M81" s="484">
        <f>M82</f>
        <v>137369</v>
      </c>
      <c r="N81" s="484">
        <f>N82</f>
        <v>0</v>
      </c>
      <c r="O81" s="2949"/>
      <c r="P81" s="491"/>
    </row>
    <row r="82" spans="1:16" ht="10.5" customHeight="1">
      <c r="A82" s="2932"/>
      <c r="B82" s="465" t="s">
        <v>12</v>
      </c>
      <c r="C82" s="2947"/>
      <c r="D82" s="251">
        <f>E82+F82+G82+H82+I82+J82+K82+L82</f>
        <v>1390303</v>
      </c>
      <c r="E82" s="289">
        <f>1252934</f>
        <v>1252934</v>
      </c>
      <c r="F82" s="1676">
        <f>89000+111000-62631</f>
        <v>137369</v>
      </c>
      <c r="G82" s="1675"/>
      <c r="H82" s="1675"/>
      <c r="I82" s="1675"/>
      <c r="J82" s="1675"/>
      <c r="K82" s="1675"/>
      <c r="L82" s="1675"/>
      <c r="M82" s="1065">
        <f>SUM(F82:K82)</f>
        <v>137369</v>
      </c>
      <c r="N82" s="1065">
        <f>SUM(G82:L82)</f>
        <v>0</v>
      </c>
      <c r="O82" s="2949"/>
    </row>
    <row r="83" spans="1:16">
      <c r="A83" s="2932"/>
      <c r="B83" s="94" t="s">
        <v>15</v>
      </c>
      <c r="C83" s="2947"/>
      <c r="D83" s="251">
        <f>E83+F83+G83+H83+I83+J83+K83+L83</f>
        <v>7489864</v>
      </c>
      <c r="E83" s="289">
        <f>7489864</f>
        <v>7489864</v>
      </c>
      <c r="F83" s="1676"/>
      <c r="G83" s="1675"/>
      <c r="H83" s="1675"/>
      <c r="I83" s="1675"/>
      <c r="J83" s="1675"/>
      <c r="K83" s="1675"/>
      <c r="L83" s="1675"/>
      <c r="M83" s="1065">
        <f>SUM(F83:K83)</f>
        <v>0</v>
      </c>
      <c r="N83" s="1065">
        <f>SUM(G83:L83)</f>
        <v>0</v>
      </c>
      <c r="O83" s="2949"/>
    </row>
    <row r="84" spans="1:16" ht="12" customHeight="1">
      <c r="A84" s="2932"/>
      <c r="B84" s="499" t="s">
        <v>18</v>
      </c>
      <c r="C84" s="2947"/>
      <c r="D84" s="1677">
        <f>+D85</f>
        <v>12460534</v>
      </c>
      <c r="E84" s="1678">
        <f>+E85</f>
        <v>12460534</v>
      </c>
      <c r="F84" s="1678"/>
      <c r="G84" s="1678"/>
      <c r="H84" s="1677"/>
      <c r="I84" s="1677"/>
      <c r="J84" s="1677"/>
      <c r="K84" s="1677"/>
      <c r="L84" s="1677"/>
      <c r="M84" s="484">
        <f>+M85</f>
        <v>0</v>
      </c>
      <c r="N84" s="484">
        <f>+N85</f>
        <v>0</v>
      </c>
      <c r="O84" s="2949"/>
    </row>
    <row r="85" spans="1:16" ht="11.25" customHeight="1">
      <c r="A85" s="2932"/>
      <c r="B85" s="465" t="s">
        <v>21</v>
      </c>
      <c r="C85" s="2922"/>
      <c r="D85" s="1671">
        <f>E85+F85+G85+H85+I85+J85+K85+L85</f>
        <v>12460534</v>
      </c>
      <c r="E85" s="289">
        <f>12460534</f>
        <v>12460534</v>
      </c>
      <c r="F85" s="1675"/>
      <c r="G85" s="1675"/>
      <c r="H85" s="1675"/>
      <c r="I85" s="1675"/>
      <c r="J85" s="1675"/>
      <c r="K85" s="1675"/>
      <c r="L85" s="1675"/>
      <c r="M85" s="1065">
        <f>SUM(F85:K85)</f>
        <v>0</v>
      </c>
      <c r="N85" s="1065">
        <f>SUM(G85:L85)</f>
        <v>0</v>
      </c>
      <c r="O85" s="2950"/>
    </row>
    <row r="86" spans="1:16" ht="12" customHeight="1">
      <c r="A86" s="2933"/>
      <c r="B86" s="83" t="s">
        <v>22</v>
      </c>
      <c r="C86" s="92"/>
      <c r="D86" s="104">
        <f>+D87+D89</f>
        <v>19950398</v>
      </c>
      <c r="E86" s="104">
        <f>+E87+E89</f>
        <v>19950398</v>
      </c>
      <c r="F86" s="104"/>
      <c r="G86" s="104"/>
      <c r="H86" s="104"/>
      <c r="I86" s="104"/>
      <c r="J86" s="104"/>
      <c r="K86" s="104"/>
      <c r="L86" s="104"/>
      <c r="M86" s="2902" t="s">
        <v>23</v>
      </c>
      <c r="N86" s="2902" t="s">
        <v>23</v>
      </c>
      <c r="O86" s="2970" t="s">
        <v>102</v>
      </c>
      <c r="P86" s="491"/>
    </row>
    <row r="87" spans="1:16" ht="13.5" customHeight="1">
      <c r="A87" s="2933"/>
      <c r="B87" s="485" t="s">
        <v>24</v>
      </c>
      <c r="C87" s="2962" t="s">
        <v>85</v>
      </c>
      <c r="D87" s="53">
        <f>+D88</f>
        <v>7489864</v>
      </c>
      <c r="E87" s="53">
        <f t="shared" ref="E87" si="73">+E88</f>
        <v>7489864</v>
      </c>
      <c r="F87" s="53"/>
      <c r="G87" s="53"/>
      <c r="H87" s="53"/>
      <c r="I87" s="53"/>
      <c r="J87" s="53"/>
      <c r="K87" s="53"/>
      <c r="L87" s="53"/>
      <c r="M87" s="2903"/>
      <c r="N87" s="2903"/>
      <c r="O87" s="2916"/>
    </row>
    <row r="88" spans="1:16" ht="13.5" customHeight="1">
      <c r="A88" s="2933"/>
      <c r="B88" s="94" t="s">
        <v>15</v>
      </c>
      <c r="C88" s="2947"/>
      <c r="D88" s="251">
        <f>E88+F88+G88+H88+I88+J88+K88+L88</f>
        <v>7489864</v>
      </c>
      <c r="E88" s="289">
        <f>7489864</f>
        <v>7489864</v>
      </c>
      <c r="F88" s="1679"/>
      <c r="G88" s="1679"/>
      <c r="H88" s="1679"/>
      <c r="I88" s="1679"/>
      <c r="J88" s="1679"/>
      <c r="K88" s="1679"/>
      <c r="L88" s="1679"/>
      <c r="M88" s="2903"/>
      <c r="N88" s="2903"/>
      <c r="O88" s="2916"/>
    </row>
    <row r="89" spans="1:16" s="269" customFormat="1" ht="12.75" customHeight="1">
      <c r="A89" s="2933"/>
      <c r="B89" s="499" t="s">
        <v>18</v>
      </c>
      <c r="C89" s="2947"/>
      <c r="D89" s="952">
        <f t="shared" ref="D89:E89" si="74">+D90</f>
        <v>12460534</v>
      </c>
      <c r="E89" s="1680">
        <f t="shared" si="74"/>
        <v>12460534</v>
      </c>
      <c r="F89" s="1680"/>
      <c r="G89" s="1680"/>
      <c r="H89" s="1680"/>
      <c r="I89" s="1680"/>
      <c r="J89" s="1680"/>
      <c r="K89" s="1680"/>
      <c r="L89" s="1680"/>
      <c r="M89" s="2903"/>
      <c r="N89" s="2903"/>
      <c r="O89" s="2916"/>
    </row>
    <row r="90" spans="1:16" ht="12.75" customHeight="1" thickBot="1">
      <c r="A90" s="2934"/>
      <c r="B90" s="77" t="s">
        <v>21</v>
      </c>
      <c r="C90" s="2935"/>
      <c r="D90" s="251">
        <f>E90+F90+G90+H90+I90+J90+K90+L90</f>
        <v>12460534</v>
      </c>
      <c r="E90" s="289">
        <f>12460534</f>
        <v>12460534</v>
      </c>
      <c r="F90" s="58"/>
      <c r="G90" s="58"/>
      <c r="H90" s="58"/>
      <c r="I90" s="58"/>
      <c r="J90" s="58"/>
      <c r="K90" s="58"/>
      <c r="L90" s="58"/>
      <c r="M90" s="2904"/>
      <c r="N90" s="2904"/>
      <c r="O90" s="2917"/>
    </row>
    <row r="91" spans="1:16" ht="27.75" customHeight="1">
      <c r="A91" s="2931" t="s">
        <v>66</v>
      </c>
      <c r="B91" s="447" t="s">
        <v>420</v>
      </c>
      <c r="C91" s="59" t="s">
        <v>81</v>
      </c>
      <c r="D91" s="953"/>
      <c r="E91" s="96"/>
      <c r="F91" s="97"/>
      <c r="G91" s="97"/>
      <c r="H91" s="97"/>
      <c r="I91" s="97"/>
      <c r="J91" s="97"/>
      <c r="K91" s="97"/>
      <c r="L91" s="97"/>
      <c r="M91" s="45"/>
      <c r="N91" s="45"/>
      <c r="O91" s="91"/>
      <c r="P91" s="491"/>
    </row>
    <row r="92" spans="1:16" ht="12" customHeight="1">
      <c r="A92" s="2932"/>
      <c r="B92" s="538" t="s">
        <v>10</v>
      </c>
      <c r="C92" s="2017"/>
      <c r="D92" s="2043">
        <f>+D93+D96</f>
        <v>28857498</v>
      </c>
      <c r="E92" s="2043">
        <f>+E93+E96</f>
        <v>28834958</v>
      </c>
      <c r="F92" s="2043">
        <f>+F93+F96</f>
        <v>22540</v>
      </c>
      <c r="G92" s="2043"/>
      <c r="H92" s="2043"/>
      <c r="I92" s="2043"/>
      <c r="J92" s="2043"/>
      <c r="K92" s="2043"/>
      <c r="L92" s="2043"/>
      <c r="M92" s="2019">
        <f>+M93+M96</f>
        <v>22540</v>
      </c>
      <c r="N92" s="2019">
        <f>+N93+N96</f>
        <v>0</v>
      </c>
      <c r="O92" s="2949" t="s">
        <v>86</v>
      </c>
    </row>
    <row r="93" spans="1:16" ht="13.5" customHeight="1">
      <c r="A93" s="2932"/>
      <c r="B93" s="734" t="s">
        <v>24</v>
      </c>
      <c r="C93" s="2920" t="s">
        <v>84</v>
      </c>
      <c r="D93" s="2044">
        <f>+D94+D95</f>
        <v>4763194</v>
      </c>
      <c r="E93" s="2044">
        <f>+E94+E95</f>
        <v>4740654</v>
      </c>
      <c r="F93" s="2044">
        <f>+F94+F95</f>
        <v>22540</v>
      </c>
      <c r="G93" s="2044"/>
      <c r="H93" s="2044"/>
      <c r="I93" s="2044"/>
      <c r="J93" s="2044"/>
      <c r="K93" s="2044"/>
      <c r="L93" s="2044"/>
      <c r="M93" s="2022">
        <f>+M94+M95</f>
        <v>22540</v>
      </c>
      <c r="N93" s="2022">
        <f>+N94+N95</f>
        <v>0</v>
      </c>
      <c r="O93" s="2949"/>
      <c r="P93" s="491"/>
    </row>
    <row r="94" spans="1:16" ht="11.25" customHeight="1">
      <c r="A94" s="2932"/>
      <c r="B94" s="811" t="s">
        <v>12</v>
      </c>
      <c r="C94" s="2945"/>
      <c r="D94" s="1926">
        <f>E94+F94+G94+H94+I94+J94+K94+L94</f>
        <v>3763194</v>
      </c>
      <c r="E94" s="1990">
        <f>3740654</f>
        <v>3740654</v>
      </c>
      <c r="F94" s="2045">
        <f>44217+706-22383</f>
        <v>22540</v>
      </c>
      <c r="G94" s="2046"/>
      <c r="H94" s="2046"/>
      <c r="I94" s="2046"/>
      <c r="J94" s="2046"/>
      <c r="K94" s="2046"/>
      <c r="L94" s="2046"/>
      <c r="M94" s="1065">
        <f>SUM(F94:K94)</f>
        <v>22540</v>
      </c>
      <c r="N94" s="1065">
        <f>SUM(G94:L94)</f>
        <v>0</v>
      </c>
      <c r="O94" s="2949"/>
      <c r="P94" s="491"/>
    </row>
    <row r="95" spans="1:16" ht="11.25" customHeight="1">
      <c r="A95" s="2932"/>
      <c r="B95" s="811" t="s">
        <v>15</v>
      </c>
      <c r="C95" s="2945"/>
      <c r="D95" s="1926">
        <f>E95+F95+G95+H95+I95+J95+K95+L95</f>
        <v>1000000</v>
      </c>
      <c r="E95" s="1990">
        <f>1000000</f>
        <v>1000000</v>
      </c>
      <c r="F95" s="2046"/>
      <c r="G95" s="2046"/>
      <c r="H95" s="2046"/>
      <c r="I95" s="2046"/>
      <c r="J95" s="2046"/>
      <c r="K95" s="2046"/>
      <c r="L95" s="2046"/>
      <c r="M95" s="1065">
        <f>SUM(F95:K95)</f>
        <v>0</v>
      </c>
      <c r="N95" s="1065">
        <f>SUM(G95:L95)</f>
        <v>0</v>
      </c>
      <c r="O95" s="2949"/>
      <c r="P95" s="491"/>
    </row>
    <row r="96" spans="1:16" ht="11.25" customHeight="1">
      <c r="A96" s="2932"/>
      <c r="B96" s="738" t="s">
        <v>18</v>
      </c>
      <c r="C96" s="2945"/>
      <c r="D96" s="2021">
        <f>+D97</f>
        <v>24094304</v>
      </c>
      <c r="E96" s="2021">
        <f t="shared" ref="E96" si="75">+E97</f>
        <v>24094304</v>
      </c>
      <c r="F96" s="2021"/>
      <c r="G96" s="2021"/>
      <c r="H96" s="2021"/>
      <c r="I96" s="2021"/>
      <c r="J96" s="2021"/>
      <c r="K96" s="2021"/>
      <c r="L96" s="2021"/>
      <c r="M96" s="2022">
        <f>+M97</f>
        <v>0</v>
      </c>
      <c r="N96" s="2022">
        <f>+N97</f>
        <v>0</v>
      </c>
      <c r="O96" s="2949"/>
    </row>
    <row r="97" spans="1:16" ht="11.25" customHeight="1">
      <c r="A97" s="2932"/>
      <c r="B97" s="2048" t="s">
        <v>21</v>
      </c>
      <c r="C97" s="2946"/>
      <c r="D97" s="1926">
        <f>E97+F97+G97+H97+I97+J97+K97+L97</f>
        <v>24094304</v>
      </c>
      <c r="E97" s="1990">
        <f>24094304</f>
        <v>24094304</v>
      </c>
      <c r="F97" s="2024"/>
      <c r="G97" s="2024"/>
      <c r="H97" s="2024"/>
      <c r="I97" s="2024"/>
      <c r="J97" s="2024"/>
      <c r="K97" s="2024"/>
      <c r="L97" s="2024"/>
      <c r="M97" s="1065">
        <f>SUM(F97:K97)</f>
        <v>0</v>
      </c>
      <c r="N97" s="1065">
        <f>SUM(G97:L97)</f>
        <v>0</v>
      </c>
      <c r="O97" s="2950"/>
    </row>
    <row r="98" spans="1:16" ht="11.25" customHeight="1">
      <c r="A98" s="2933"/>
      <c r="B98" s="538" t="s">
        <v>22</v>
      </c>
      <c r="C98" s="2017"/>
      <c r="D98" s="2018">
        <f>+D101+D99</f>
        <v>25094304</v>
      </c>
      <c r="E98" s="2018">
        <f>+E101+E99</f>
        <v>25094304</v>
      </c>
      <c r="F98" s="2018"/>
      <c r="G98" s="2018"/>
      <c r="H98" s="2018"/>
      <c r="I98" s="2018"/>
      <c r="J98" s="2018"/>
      <c r="K98" s="2018"/>
      <c r="L98" s="2018"/>
      <c r="M98" s="2905" t="s">
        <v>23</v>
      </c>
      <c r="N98" s="2905" t="s">
        <v>23</v>
      </c>
      <c r="O98" s="2971" t="s">
        <v>102</v>
      </c>
    </row>
    <row r="99" spans="1:16" ht="13.5" customHeight="1">
      <c r="A99" s="2933"/>
      <c r="B99" s="2049" t="s">
        <v>24</v>
      </c>
      <c r="C99" s="2920" t="s">
        <v>85</v>
      </c>
      <c r="D99" s="53">
        <f>+D100</f>
        <v>1000000</v>
      </c>
      <c r="E99" s="53">
        <f t="shared" ref="E99" si="76">+E100</f>
        <v>1000000</v>
      </c>
      <c r="F99" s="53"/>
      <c r="G99" s="53"/>
      <c r="H99" s="53"/>
      <c r="I99" s="53"/>
      <c r="J99" s="53"/>
      <c r="K99" s="53"/>
      <c r="L99" s="53"/>
      <c r="M99" s="2906"/>
      <c r="N99" s="2906"/>
      <c r="O99" s="2916"/>
    </row>
    <row r="100" spans="1:16" ht="11.25" customHeight="1">
      <c r="A100" s="2933"/>
      <c r="B100" s="94" t="s">
        <v>15</v>
      </c>
      <c r="C100" s="2947"/>
      <c r="D100" s="1926">
        <f>E100+F100+G100+H100+I100+J100+K100+L100</f>
        <v>1000000</v>
      </c>
      <c r="E100" s="1990">
        <f>1000000</f>
        <v>1000000</v>
      </c>
      <c r="F100" s="2050"/>
      <c r="G100" s="2050"/>
      <c r="H100" s="2050"/>
      <c r="I100" s="2050"/>
      <c r="J100" s="2050"/>
      <c r="K100" s="2050"/>
      <c r="L100" s="2050"/>
      <c r="M100" s="2906"/>
      <c r="N100" s="2906"/>
      <c r="O100" s="2916"/>
    </row>
    <row r="101" spans="1:16" s="269" customFormat="1">
      <c r="A101" s="2933"/>
      <c r="B101" s="738" t="s">
        <v>18</v>
      </c>
      <c r="C101" s="2947"/>
      <c r="D101" s="2051">
        <f>+D102</f>
        <v>24094304</v>
      </c>
      <c r="E101" s="2051">
        <f t="shared" ref="E101" si="77">+E102</f>
        <v>24094304</v>
      </c>
      <c r="F101" s="2051"/>
      <c r="G101" s="2051"/>
      <c r="H101" s="2051"/>
      <c r="I101" s="2051"/>
      <c r="J101" s="2051"/>
      <c r="K101" s="2051"/>
      <c r="L101" s="2051"/>
      <c r="M101" s="2906"/>
      <c r="N101" s="2906"/>
      <c r="O101" s="2916"/>
    </row>
    <row r="102" spans="1:16" ht="13.5" thickBot="1">
      <c r="A102" s="2934"/>
      <c r="B102" s="77" t="s">
        <v>21</v>
      </c>
      <c r="C102" s="2935"/>
      <c r="D102" s="1027">
        <f>E102+F102+G102+H102+I102+J102+K102+L102</f>
        <v>24094304</v>
      </c>
      <c r="E102" s="1027">
        <f>24094304</f>
        <v>24094304</v>
      </c>
      <c r="F102" s="1682"/>
      <c r="G102" s="1682"/>
      <c r="H102" s="1682"/>
      <c r="I102" s="1682"/>
      <c r="J102" s="1682"/>
      <c r="K102" s="1682"/>
      <c r="L102" s="1682"/>
      <c r="M102" s="2907"/>
      <c r="N102" s="2907"/>
      <c r="O102" s="2917"/>
    </row>
    <row r="103" spans="1:16" ht="26.25" customHeight="1">
      <c r="A103" s="2931" t="s">
        <v>67</v>
      </c>
      <c r="B103" s="447" t="s">
        <v>421</v>
      </c>
      <c r="C103" s="59" t="s">
        <v>81</v>
      </c>
      <c r="D103" s="953"/>
      <c r="E103" s="97"/>
      <c r="F103" s="97"/>
      <c r="G103" s="97"/>
      <c r="H103" s="97"/>
      <c r="I103" s="97"/>
      <c r="J103" s="97"/>
      <c r="K103" s="97"/>
      <c r="L103" s="97"/>
      <c r="M103" s="1683"/>
      <c r="N103" s="1683"/>
      <c r="O103" s="91"/>
    </row>
    <row r="104" spans="1:16" ht="13.5" customHeight="1">
      <c r="A104" s="2932"/>
      <c r="B104" s="538" t="s">
        <v>10</v>
      </c>
      <c r="C104" s="2017"/>
      <c r="D104" s="2043">
        <f>+D105+D107</f>
        <v>44189424</v>
      </c>
      <c r="E104" s="2043">
        <f t="shared" ref="E104" si="78">+E105+E107</f>
        <v>44187304</v>
      </c>
      <c r="F104" s="2043">
        <f>+F105+F107</f>
        <v>2120</v>
      </c>
      <c r="G104" s="2043"/>
      <c r="H104" s="2043"/>
      <c r="I104" s="2043"/>
      <c r="J104" s="2043"/>
      <c r="K104" s="2043"/>
      <c r="L104" s="2043"/>
      <c r="M104" s="2019">
        <f>+M105+M107</f>
        <v>2120</v>
      </c>
      <c r="N104" s="2019">
        <f>+N105+N107</f>
        <v>0</v>
      </c>
      <c r="O104" s="2949" t="s">
        <v>86</v>
      </c>
      <c r="P104" s="491"/>
    </row>
    <row r="105" spans="1:16" ht="13.5" customHeight="1">
      <c r="A105" s="2932"/>
      <c r="B105" s="734" t="s">
        <v>24</v>
      </c>
      <c r="C105" s="2920" t="s">
        <v>84</v>
      </c>
      <c r="D105" s="2044">
        <f>+D106</f>
        <v>2475066</v>
      </c>
      <c r="E105" s="2044">
        <f t="shared" ref="E105:F105" si="79">+E106</f>
        <v>2472946</v>
      </c>
      <c r="F105" s="2044">
        <f t="shared" si="79"/>
        <v>2120</v>
      </c>
      <c r="G105" s="2044"/>
      <c r="H105" s="2044"/>
      <c r="I105" s="2044"/>
      <c r="J105" s="2044"/>
      <c r="K105" s="2044"/>
      <c r="L105" s="2044"/>
      <c r="M105" s="2495">
        <f>+M106</f>
        <v>2120</v>
      </c>
      <c r="N105" s="2495">
        <f>+N106</f>
        <v>0</v>
      </c>
      <c r="O105" s="2949"/>
      <c r="P105" s="491"/>
    </row>
    <row r="106" spans="1:16" ht="13.5" customHeight="1">
      <c r="A106" s="2932"/>
      <c r="B106" s="811" t="s">
        <v>12</v>
      </c>
      <c r="C106" s="2945"/>
      <c r="D106" s="1926">
        <f>E106+F106+G106+H106+I106+J106+K106+L106</f>
        <v>2475066</v>
      </c>
      <c r="E106" s="1990">
        <f>2472946</f>
        <v>2472946</v>
      </c>
      <c r="F106" s="2041">
        <f>17423-15303</f>
        <v>2120</v>
      </c>
      <c r="G106" s="2041"/>
      <c r="H106" s="2046"/>
      <c r="I106" s="2046"/>
      <c r="J106" s="2046"/>
      <c r="K106" s="2046"/>
      <c r="L106" s="2046"/>
      <c r="M106" s="2047">
        <f>SUM(F106:K106)</f>
        <v>2120</v>
      </c>
      <c r="N106" s="2047">
        <f>SUM(G106:L106)</f>
        <v>0</v>
      </c>
      <c r="O106" s="2949"/>
    </row>
    <row r="107" spans="1:16" ht="13.5" customHeight="1">
      <c r="A107" s="2932"/>
      <c r="B107" s="738" t="s">
        <v>18</v>
      </c>
      <c r="C107" s="2945"/>
      <c r="D107" s="2021">
        <f>+D108</f>
        <v>41714358</v>
      </c>
      <c r="E107" s="2021">
        <f t="shared" ref="E107" si="80">+E108</f>
        <v>41714358</v>
      </c>
      <c r="F107" s="2021"/>
      <c r="G107" s="2021"/>
      <c r="H107" s="2021"/>
      <c r="I107" s="2021"/>
      <c r="J107" s="2021"/>
      <c r="K107" s="2021"/>
      <c r="L107" s="2021"/>
      <c r="M107" s="2495">
        <f>+M108</f>
        <v>0</v>
      </c>
      <c r="N107" s="2495">
        <f>+N108</f>
        <v>0</v>
      </c>
      <c r="O107" s="2949"/>
    </row>
    <row r="108" spans="1:16" ht="13.5" customHeight="1">
      <c r="A108" s="2932"/>
      <c r="B108" s="2496" t="s">
        <v>21</v>
      </c>
      <c r="C108" s="2945"/>
      <c r="D108" s="1926">
        <f>E108+F108+G108+H108+I108+J108+K108+L108</f>
        <v>41714358</v>
      </c>
      <c r="E108" s="1990">
        <f>41714358</f>
        <v>41714358</v>
      </c>
      <c r="F108" s="2041"/>
      <c r="G108" s="2041"/>
      <c r="H108" s="2046"/>
      <c r="I108" s="2046"/>
      <c r="J108" s="2046"/>
      <c r="K108" s="2046"/>
      <c r="L108" s="2046"/>
      <c r="M108" s="2047">
        <f>SUM(F108:K108)</f>
        <v>0</v>
      </c>
      <c r="N108" s="2047">
        <f>SUM(G108:L108)</f>
        <v>0</v>
      </c>
      <c r="O108" s="2950"/>
    </row>
    <row r="109" spans="1:16" ht="12.75" customHeight="1">
      <c r="A109" s="2933"/>
      <c r="B109" s="728" t="s">
        <v>22</v>
      </c>
      <c r="C109" s="2017"/>
      <c r="D109" s="2018">
        <f>+D110</f>
        <v>41714358</v>
      </c>
      <c r="E109" s="2018">
        <f t="shared" ref="E109:E110" si="81">+E110</f>
        <v>41714358</v>
      </c>
      <c r="F109" s="2018"/>
      <c r="G109" s="2018"/>
      <c r="H109" s="2018"/>
      <c r="I109" s="2018"/>
      <c r="J109" s="2018"/>
      <c r="K109" s="2018"/>
      <c r="L109" s="2018"/>
      <c r="M109" s="2867" t="s">
        <v>23</v>
      </c>
      <c r="N109" s="2867" t="s">
        <v>23</v>
      </c>
      <c r="O109" s="2971" t="s">
        <v>102</v>
      </c>
      <c r="P109" s="491"/>
    </row>
    <row r="110" spans="1:16" s="269" customFormat="1" ht="12.75" customHeight="1">
      <c r="A110" s="2933"/>
      <c r="B110" s="1069" t="s">
        <v>18</v>
      </c>
      <c r="C110" s="2920" t="s">
        <v>85</v>
      </c>
      <c r="D110" s="2059">
        <f>+D111</f>
        <v>41714358</v>
      </c>
      <c r="E110" s="2051">
        <f t="shared" si="81"/>
        <v>41714358</v>
      </c>
      <c r="F110" s="2059"/>
      <c r="G110" s="2051"/>
      <c r="H110" s="2051"/>
      <c r="I110" s="2051"/>
      <c r="J110" s="2051"/>
      <c r="K110" s="2051"/>
      <c r="L110" s="2051"/>
      <c r="M110" s="2868"/>
      <c r="N110" s="2868"/>
      <c r="O110" s="2916"/>
    </row>
    <row r="111" spans="1:16" s="269" customFormat="1" ht="12.75" customHeight="1" thickBot="1">
      <c r="A111" s="2934"/>
      <c r="B111" s="908" t="s">
        <v>21</v>
      </c>
      <c r="C111" s="2921"/>
      <c r="D111" s="2222">
        <f>E111+F111+G111+H111+I111+J111+K111+L111</f>
        <v>41714358</v>
      </c>
      <c r="E111" s="2222">
        <f>41714358</f>
        <v>41714358</v>
      </c>
      <c r="F111" s="1687"/>
      <c r="G111" s="526"/>
      <c r="H111" s="526"/>
      <c r="I111" s="526"/>
      <c r="J111" s="526"/>
      <c r="K111" s="526"/>
      <c r="L111" s="526"/>
      <c r="M111" s="2869"/>
      <c r="N111" s="2869"/>
      <c r="O111" s="2917"/>
    </row>
    <row r="112" spans="1:16" s="269" customFormat="1" ht="16.5" customHeight="1" thickBot="1">
      <c r="A112" s="494"/>
      <c r="B112" s="284" t="s">
        <v>200</v>
      </c>
      <c r="C112" s="495"/>
      <c r="D112" s="957"/>
      <c r="E112" s="1910"/>
      <c r="F112" s="958"/>
      <c r="G112" s="958"/>
      <c r="H112" s="958"/>
      <c r="I112" s="958"/>
      <c r="J112" s="958"/>
      <c r="K112" s="958"/>
      <c r="L112" s="958"/>
      <c r="M112" s="496"/>
      <c r="N112" s="496"/>
      <c r="O112" s="497"/>
    </row>
    <row r="113" spans="1:17" s="269" customFormat="1" ht="40.5" customHeight="1">
      <c r="A113" s="2931" t="s">
        <v>115</v>
      </c>
      <c r="B113" s="447" t="s">
        <v>422</v>
      </c>
      <c r="C113" s="59"/>
      <c r="D113" s="60"/>
      <c r="E113" s="44"/>
      <c r="F113" s="44"/>
      <c r="G113" s="44"/>
      <c r="H113" s="44"/>
      <c r="I113" s="44"/>
      <c r="J113" s="44"/>
      <c r="K113" s="44"/>
      <c r="L113" s="44"/>
      <c r="M113" s="45"/>
      <c r="N113" s="45"/>
      <c r="O113" s="46"/>
      <c r="P113" s="237"/>
    </row>
    <row r="114" spans="1:17" s="269" customFormat="1" ht="13.5" customHeight="1">
      <c r="A114" s="2932"/>
      <c r="B114" s="438" t="s">
        <v>10</v>
      </c>
      <c r="C114" s="1688" t="s">
        <v>81</v>
      </c>
      <c r="D114" s="427">
        <f>+D115+D119</f>
        <v>11269318</v>
      </c>
      <c r="E114" s="417">
        <f t="shared" ref="E114" si="82">+E115+E119</f>
        <v>11266338</v>
      </c>
      <c r="F114" s="417">
        <f t="shared" ref="F114" si="83">+F115+F119</f>
        <v>2980</v>
      </c>
      <c r="G114" s="417"/>
      <c r="H114" s="417"/>
      <c r="I114" s="417"/>
      <c r="J114" s="417"/>
      <c r="K114" s="417"/>
      <c r="L114" s="417"/>
      <c r="M114" s="513">
        <f>M115+M119</f>
        <v>2980</v>
      </c>
      <c r="N114" s="513">
        <f>N115+N119</f>
        <v>0</v>
      </c>
      <c r="O114" s="2949" t="s">
        <v>86</v>
      </c>
      <c r="P114" s="3022" t="s">
        <v>387</v>
      </c>
    </row>
    <row r="115" spans="1:17" s="269" customFormat="1" ht="14.25" customHeight="1">
      <c r="A115" s="2932"/>
      <c r="B115" s="485" t="s">
        <v>24</v>
      </c>
      <c r="C115" s="2962" t="s">
        <v>84</v>
      </c>
      <c r="D115" s="428">
        <f>+D116+D117+D118</f>
        <v>726488</v>
      </c>
      <c r="E115" s="428">
        <f t="shared" ref="E115" si="84">+E116+E117+E118</f>
        <v>723508</v>
      </c>
      <c r="F115" s="428">
        <f t="shared" ref="F115" si="85">+F116+F117+F118</f>
        <v>2980</v>
      </c>
      <c r="G115" s="428"/>
      <c r="H115" s="428"/>
      <c r="I115" s="428"/>
      <c r="J115" s="428"/>
      <c r="K115" s="428"/>
      <c r="L115" s="428"/>
      <c r="M115" s="436">
        <f>M116</f>
        <v>2980</v>
      </c>
      <c r="N115" s="436">
        <f>N116</f>
        <v>0</v>
      </c>
      <c r="O115" s="2949"/>
      <c r="P115" s="3022"/>
    </row>
    <row r="116" spans="1:17" s="269" customFormat="1" ht="12.75" customHeight="1">
      <c r="A116" s="2932"/>
      <c r="B116" s="959" t="s">
        <v>12</v>
      </c>
      <c r="C116" s="2947"/>
      <c r="D116" s="251">
        <f>E116+F116+G116+H116+I116+J116+K116+L116</f>
        <v>726488</v>
      </c>
      <c r="E116" s="289">
        <f>723508</f>
        <v>723508</v>
      </c>
      <c r="F116" s="437">
        <f>3000+240-260</f>
        <v>2980</v>
      </c>
      <c r="G116" s="437"/>
      <c r="H116" s="437"/>
      <c r="I116" s="437"/>
      <c r="J116" s="437"/>
      <c r="K116" s="437"/>
      <c r="L116" s="437"/>
      <c r="M116" s="1065">
        <f>SUM(F116:K116)</f>
        <v>2980</v>
      </c>
      <c r="N116" s="1065">
        <f>SUM(G116:L116)</f>
        <v>0</v>
      </c>
      <c r="O116" s="2949"/>
      <c r="P116" s="3022"/>
    </row>
    <row r="117" spans="1:17" s="269" customFormat="1" ht="14.25" hidden="1" customHeight="1">
      <c r="A117" s="2932"/>
      <c r="B117" s="1689" t="s">
        <v>17</v>
      </c>
      <c r="C117" s="2945"/>
      <c r="D117" s="498">
        <f>SUM(E117:I117)</f>
        <v>0</v>
      </c>
      <c r="E117" s="434"/>
      <c r="F117" s="435"/>
      <c r="G117" s="434"/>
      <c r="H117" s="434"/>
      <c r="I117" s="434"/>
      <c r="J117" s="434"/>
      <c r="K117" s="434"/>
      <c r="L117" s="434"/>
      <c r="M117" s="514"/>
      <c r="N117" s="514"/>
      <c r="O117" s="2949"/>
      <c r="P117" s="3022"/>
    </row>
    <row r="118" spans="1:17" s="269" customFormat="1" ht="14.25" hidden="1" customHeight="1">
      <c r="A118" s="2932"/>
      <c r="B118" s="1689" t="s">
        <v>15</v>
      </c>
      <c r="C118" s="2945"/>
      <c r="D118" s="498">
        <f>SUM(E118:I118)</f>
        <v>0</v>
      </c>
      <c r="E118" s="434"/>
      <c r="F118" s="435"/>
      <c r="G118" s="434"/>
      <c r="H118" s="434"/>
      <c r="I118" s="434"/>
      <c r="J118" s="434"/>
      <c r="K118" s="434"/>
      <c r="L118" s="434"/>
      <c r="M118" s="514"/>
      <c r="N118" s="514"/>
      <c r="O118" s="2949"/>
      <c r="P118" s="3022"/>
    </row>
    <row r="119" spans="1:17" s="269" customFormat="1" ht="14.25" customHeight="1">
      <c r="A119" s="2932"/>
      <c r="B119" s="1690" t="s">
        <v>18</v>
      </c>
      <c r="C119" s="2945"/>
      <c r="D119" s="433">
        <f>+D120</f>
        <v>10542830</v>
      </c>
      <c r="E119" s="433">
        <f t="shared" ref="E119" si="86">+E120</f>
        <v>10542830</v>
      </c>
      <c r="F119" s="433"/>
      <c r="G119" s="433"/>
      <c r="H119" s="433"/>
      <c r="I119" s="415"/>
      <c r="J119" s="433"/>
      <c r="K119" s="433"/>
      <c r="L119" s="433"/>
      <c r="M119" s="436">
        <f>M120</f>
        <v>0</v>
      </c>
      <c r="N119" s="436">
        <f>N120</f>
        <v>0</v>
      </c>
      <c r="O119" s="2949"/>
      <c r="P119" s="3022"/>
    </row>
    <row r="120" spans="1:17" s="269" customFormat="1" ht="12.75" customHeight="1">
      <c r="A120" s="2932"/>
      <c r="B120" s="1681" t="s">
        <v>21</v>
      </c>
      <c r="C120" s="2946"/>
      <c r="D120" s="251">
        <f>E120+F120+G120+H120+I120+J120+K120+L120</f>
        <v>10542830</v>
      </c>
      <c r="E120" s="289">
        <f>10542830</f>
        <v>10542830</v>
      </c>
      <c r="F120" s="435"/>
      <c r="G120" s="434"/>
      <c r="H120" s="434"/>
      <c r="I120" s="434"/>
      <c r="J120" s="435"/>
      <c r="K120" s="435"/>
      <c r="L120" s="435"/>
      <c r="M120" s="1065">
        <f>SUM(F120:K120)</f>
        <v>0</v>
      </c>
      <c r="N120" s="1065">
        <f>SUM(G120:L120)</f>
        <v>0</v>
      </c>
      <c r="O120" s="2950"/>
      <c r="P120" s="3022"/>
    </row>
    <row r="121" spans="1:17" s="269" customFormat="1" ht="21.75" customHeight="1">
      <c r="A121" s="2933"/>
      <c r="B121" s="438" t="s">
        <v>22</v>
      </c>
      <c r="C121" s="702" t="s">
        <v>333</v>
      </c>
      <c r="D121" s="444">
        <f>+D125+D122</f>
        <v>10542830</v>
      </c>
      <c r="E121" s="444">
        <f t="shared" ref="E121" si="87">+E125+E122</f>
        <v>9094769</v>
      </c>
      <c r="F121" s="444">
        <f>+F125+F122</f>
        <v>1448061</v>
      </c>
      <c r="G121" s="444"/>
      <c r="H121" s="444"/>
      <c r="I121" s="444"/>
      <c r="J121" s="444"/>
      <c r="K121" s="444"/>
      <c r="L121" s="444"/>
      <c r="M121" s="2973" t="s">
        <v>23</v>
      </c>
      <c r="N121" s="2973" t="s">
        <v>23</v>
      </c>
      <c r="O121" s="2970" t="s">
        <v>102</v>
      </c>
      <c r="P121" s="960"/>
      <c r="Q121" s="960">
        <v>-1217020</v>
      </c>
    </row>
    <row r="122" spans="1:17" s="269" customFormat="1" ht="14.25" hidden="1" customHeight="1">
      <c r="A122" s="2933"/>
      <c r="B122" s="485" t="s">
        <v>24</v>
      </c>
      <c r="C122" s="2962" t="s">
        <v>196</v>
      </c>
      <c r="D122" s="53">
        <f>+D123+D124</f>
        <v>0</v>
      </c>
      <c r="E122" s="53">
        <f t="shared" ref="E122" si="88">+E123+E124</f>
        <v>0</v>
      </c>
      <c r="F122" s="53">
        <f>+F123+F124</f>
        <v>0</v>
      </c>
      <c r="G122" s="53"/>
      <c r="H122" s="53"/>
      <c r="I122" s="53"/>
      <c r="J122" s="53"/>
      <c r="K122" s="53"/>
      <c r="L122" s="53"/>
      <c r="M122" s="2874"/>
      <c r="N122" s="2874"/>
      <c r="O122" s="2916"/>
    </row>
    <row r="123" spans="1:17" s="269" customFormat="1" ht="14.25" hidden="1" customHeight="1">
      <c r="A123" s="2933"/>
      <c r="B123" s="1689" t="s">
        <v>17</v>
      </c>
      <c r="C123" s="2947"/>
      <c r="D123" s="251">
        <f t="shared" ref="D123:D124" si="89">E123+F123+G123+H123+I123+J123+K123+L123</f>
        <v>0</v>
      </c>
      <c r="E123" s="515"/>
      <c r="F123" s="416">
        <v>0</v>
      </c>
      <c r="G123" s="416"/>
      <c r="H123" s="416"/>
      <c r="I123" s="416"/>
      <c r="J123" s="416"/>
      <c r="K123" s="416"/>
      <c r="L123" s="416"/>
      <c r="M123" s="2874"/>
      <c r="N123" s="2874"/>
      <c r="O123" s="2916"/>
    </row>
    <row r="124" spans="1:17" s="269" customFormat="1" hidden="1">
      <c r="A124" s="2933"/>
      <c r="B124" s="1689" t="s">
        <v>15</v>
      </c>
      <c r="C124" s="2947"/>
      <c r="D124" s="251">
        <f t="shared" si="89"/>
        <v>0</v>
      </c>
      <c r="E124" s="515"/>
      <c r="F124" s="515">
        <v>0</v>
      </c>
      <c r="G124" s="515"/>
      <c r="H124" s="515"/>
      <c r="I124" s="515"/>
      <c r="J124" s="515"/>
      <c r="K124" s="515"/>
      <c r="L124" s="515"/>
      <c r="M124" s="2874"/>
      <c r="N124" s="2874"/>
      <c r="O124" s="2916"/>
    </row>
    <row r="125" spans="1:17" s="269" customFormat="1" ht="14.25" customHeight="1">
      <c r="A125" s="2933"/>
      <c r="B125" s="1690" t="s">
        <v>18</v>
      </c>
      <c r="C125" s="2947"/>
      <c r="D125" s="433">
        <f>+D127+D126</f>
        <v>10542830</v>
      </c>
      <c r="E125" s="433">
        <f t="shared" ref="E125" si="90">+E127+E126</f>
        <v>9094769</v>
      </c>
      <c r="F125" s="433">
        <f>+F127+F126</f>
        <v>1448061</v>
      </c>
      <c r="G125" s="515"/>
      <c r="H125" s="515"/>
      <c r="I125" s="515"/>
      <c r="J125" s="515"/>
      <c r="K125" s="515"/>
      <c r="L125" s="515"/>
      <c r="M125" s="2874"/>
      <c r="N125" s="2874"/>
      <c r="O125" s="2916"/>
    </row>
    <row r="126" spans="1:17" s="269" customFormat="1" ht="14.25" hidden="1" customHeight="1">
      <c r="A126" s="2933"/>
      <c r="B126" s="1689" t="s">
        <v>17</v>
      </c>
      <c r="C126" s="2947"/>
      <c r="D126" s="251">
        <f>E126+F126+G126+H126+I126+J126+K126+L126</f>
        <v>0</v>
      </c>
      <c r="E126" s="1691"/>
      <c r="F126" s="434"/>
      <c r="G126" s="515"/>
      <c r="H126" s="515"/>
      <c r="I126" s="515"/>
      <c r="J126" s="515"/>
      <c r="K126" s="515"/>
      <c r="L126" s="515"/>
      <c r="M126" s="2874"/>
      <c r="N126" s="2874"/>
      <c r="O126" s="2916"/>
    </row>
    <row r="127" spans="1:17" s="270" customFormat="1" ht="14.25" customHeight="1" thickBot="1">
      <c r="A127" s="2934"/>
      <c r="B127" s="1692" t="s">
        <v>21</v>
      </c>
      <c r="C127" s="2935"/>
      <c r="D127" s="251">
        <f>E127+F127+G127+H127+I127+J127+K127+L127</f>
        <v>10542830</v>
      </c>
      <c r="E127" s="289">
        <f>9094769</f>
        <v>9094769</v>
      </c>
      <c r="F127" s="1693">
        <f>650000+2917020-1915479-175827+17574-45227</f>
        <v>1448061</v>
      </c>
      <c r="G127" s="517"/>
      <c r="H127" s="517"/>
      <c r="I127" s="517"/>
      <c r="J127" s="517"/>
      <c r="K127" s="517"/>
      <c r="L127" s="517"/>
      <c r="M127" s="2875"/>
      <c r="N127" s="2875"/>
      <c r="O127" s="2917"/>
    </row>
    <row r="128" spans="1:17" ht="32.25" customHeight="1">
      <c r="A128" s="2931" t="s">
        <v>87</v>
      </c>
      <c r="B128" s="75" t="s">
        <v>446</v>
      </c>
      <c r="C128" s="59"/>
      <c r="D128" s="60"/>
      <c r="E128" s="44"/>
      <c r="F128" s="44"/>
      <c r="G128" s="44"/>
      <c r="H128" s="44"/>
      <c r="I128" s="44"/>
      <c r="J128" s="241"/>
      <c r="K128" s="241"/>
      <c r="L128" s="241"/>
      <c r="M128" s="63"/>
      <c r="N128" s="63"/>
      <c r="O128" s="46"/>
    </row>
    <row r="129" spans="1:17" ht="14.25" customHeight="1">
      <c r="A129" s="2932"/>
      <c r="B129" s="1090" t="s">
        <v>10</v>
      </c>
      <c r="C129" s="1066" t="s">
        <v>81</v>
      </c>
      <c r="D129" s="1063">
        <f t="shared" ref="D129:F129" si="91">+D130+D134</f>
        <v>42919817</v>
      </c>
      <c r="E129" s="1063">
        <f t="shared" ref="E129" si="92">+E130+E134</f>
        <v>21145902</v>
      </c>
      <c r="F129" s="1063">
        <f t="shared" si="91"/>
        <v>21773915</v>
      </c>
      <c r="G129" s="1063"/>
      <c r="H129" s="1063"/>
      <c r="I129" s="1063"/>
      <c r="J129" s="1063"/>
      <c r="K129" s="1063"/>
      <c r="L129" s="1063"/>
      <c r="M129" s="1042">
        <f>M130+M134</f>
        <v>21773915</v>
      </c>
      <c r="N129" s="1042">
        <f>N130+N134</f>
        <v>0</v>
      </c>
      <c r="O129" s="2949" t="s">
        <v>86</v>
      </c>
    </row>
    <row r="130" spans="1:17" ht="12" customHeight="1">
      <c r="A130" s="2932"/>
      <c r="B130" s="1071" t="s">
        <v>24</v>
      </c>
      <c r="C130" s="2887" t="s">
        <v>84</v>
      </c>
      <c r="D130" s="814">
        <f>+D131+D132+D133</f>
        <v>5784734</v>
      </c>
      <c r="E130" s="814">
        <f t="shared" ref="E130" si="93">+E131+E132+E133</f>
        <v>3234734</v>
      </c>
      <c r="F130" s="814">
        <f t="shared" ref="F130" si="94">+F131+F132+F133</f>
        <v>2550000</v>
      </c>
      <c r="G130" s="814"/>
      <c r="H130" s="814"/>
      <c r="I130" s="814"/>
      <c r="J130" s="814"/>
      <c r="K130" s="814"/>
      <c r="L130" s="814"/>
      <c r="M130" s="707">
        <f>+M131+M133</f>
        <v>2550000</v>
      </c>
      <c r="N130" s="707">
        <f>+N131+N133</f>
        <v>0</v>
      </c>
      <c r="O130" s="2949"/>
      <c r="P130" s="237" t="s">
        <v>410</v>
      </c>
    </row>
    <row r="131" spans="1:17" ht="11.25" customHeight="1">
      <c r="A131" s="2932"/>
      <c r="B131" s="1694" t="s">
        <v>12</v>
      </c>
      <c r="C131" s="2947"/>
      <c r="D131" s="251">
        <f>E131+F131+G131+H131+I131+J131+K131+L131</f>
        <v>4284734</v>
      </c>
      <c r="E131" s="289">
        <f>2234734</f>
        <v>2234734</v>
      </c>
      <c r="F131" s="1053">
        <f>1933354-1900000+166646+197047+159852+78533+2000000-585432</f>
        <v>2050000</v>
      </c>
      <c r="G131" s="792"/>
      <c r="H131" s="792"/>
      <c r="I131" s="792"/>
      <c r="J131" s="792"/>
      <c r="K131" s="792"/>
      <c r="L131" s="792"/>
      <c r="M131" s="1065">
        <f>SUM(F131:K131)</f>
        <v>2050000</v>
      </c>
      <c r="N131" s="1065">
        <f>SUM(G131:L131)</f>
        <v>0</v>
      </c>
      <c r="O131" s="2949"/>
    </row>
    <row r="132" spans="1:17" ht="12" hidden="1" customHeight="1">
      <c r="A132" s="2932"/>
      <c r="B132" s="811" t="s">
        <v>17</v>
      </c>
      <c r="C132" s="2947"/>
      <c r="D132" s="251">
        <f>E132+F132+G132+H132+I132+J132+K132+L132</f>
        <v>0</v>
      </c>
      <c r="E132" s="793"/>
      <c r="F132" s="792"/>
      <c r="G132" s="792"/>
      <c r="H132" s="792"/>
      <c r="I132" s="792"/>
      <c r="J132" s="206"/>
      <c r="K132" s="206"/>
      <c r="L132" s="206"/>
      <c r="M132" s="70"/>
      <c r="N132" s="70"/>
      <c r="O132" s="2949"/>
    </row>
    <row r="133" spans="1:17" ht="12" customHeight="1">
      <c r="A133" s="2932"/>
      <c r="B133" s="1064" t="s">
        <v>15</v>
      </c>
      <c r="C133" s="2947"/>
      <c r="D133" s="251">
        <f>E133+F133+G133+H133+I133+J133+K133+L133</f>
        <v>1500000</v>
      </c>
      <c r="E133" s="289">
        <f>1000000</f>
        <v>1000000</v>
      </c>
      <c r="F133" s="792">
        <f>500000</f>
        <v>500000</v>
      </c>
      <c r="G133" s="792"/>
      <c r="H133" s="792"/>
      <c r="I133" s="792"/>
      <c r="J133" s="793"/>
      <c r="K133" s="793"/>
      <c r="L133" s="793"/>
      <c r="M133" s="1065">
        <f>SUM(F133:K133)</f>
        <v>500000</v>
      </c>
      <c r="N133" s="1065">
        <f>SUM(G133:L133)</f>
        <v>0</v>
      </c>
      <c r="O133" s="2949"/>
    </row>
    <row r="134" spans="1:17">
      <c r="A134" s="2932"/>
      <c r="B134" s="2069" t="s">
        <v>18</v>
      </c>
      <c r="C134" s="2947"/>
      <c r="D134" s="711">
        <f t="shared" ref="D134:F134" si="95">+D135+D136</f>
        <v>37135083</v>
      </c>
      <c r="E134" s="711">
        <f t="shared" si="95"/>
        <v>17911168</v>
      </c>
      <c r="F134" s="711">
        <f t="shared" si="95"/>
        <v>19223915</v>
      </c>
      <c r="G134" s="711"/>
      <c r="H134" s="711"/>
      <c r="I134" s="711"/>
      <c r="J134" s="711"/>
      <c r="K134" s="711"/>
      <c r="L134" s="711"/>
      <c r="M134" s="707">
        <f>+M135+M136</f>
        <v>19223915</v>
      </c>
      <c r="N134" s="707">
        <f>+N135+N136</f>
        <v>0</v>
      </c>
      <c r="O134" s="2949"/>
    </row>
    <row r="135" spans="1:17" ht="12" hidden="1" customHeight="1">
      <c r="A135" s="2932"/>
      <c r="B135" s="811" t="s">
        <v>17</v>
      </c>
      <c r="C135" s="2947"/>
      <c r="D135" s="1046">
        <v>0</v>
      </c>
      <c r="E135" s="802"/>
      <c r="F135" s="792"/>
      <c r="G135" s="792"/>
      <c r="H135" s="792"/>
      <c r="I135" s="792"/>
      <c r="J135" s="206"/>
      <c r="K135" s="206"/>
      <c r="L135" s="206"/>
      <c r="M135" s="70"/>
      <c r="N135" s="70"/>
      <c r="O135" s="2949"/>
    </row>
    <row r="136" spans="1:17" ht="12" customHeight="1">
      <c r="A136" s="2932"/>
      <c r="B136" s="811" t="s">
        <v>21</v>
      </c>
      <c r="C136" s="2922"/>
      <c r="D136" s="251">
        <f>E136+F136+G136+H136+I136+J136+K136+L136</f>
        <v>37135083</v>
      </c>
      <c r="E136" s="289">
        <f>17911168</f>
        <v>17911168</v>
      </c>
      <c r="F136" s="1053">
        <f>10955672-8630312+17358828-100+791-377238-83726</f>
        <v>19223915</v>
      </c>
      <c r="G136" s="792"/>
      <c r="H136" s="792"/>
      <c r="I136" s="792"/>
      <c r="J136" s="792"/>
      <c r="K136" s="792"/>
      <c r="L136" s="792"/>
      <c r="M136" s="1065">
        <f>SUM(F136:K136)</f>
        <v>19223915</v>
      </c>
      <c r="N136" s="1065">
        <f>SUM(G136:L136)</f>
        <v>0</v>
      </c>
      <c r="O136" s="2950"/>
      <c r="P136" s="491">
        <f>D136-D143</f>
        <v>0</v>
      </c>
    </row>
    <row r="137" spans="1:17" ht="21.75" customHeight="1">
      <c r="A137" s="2932"/>
      <c r="B137" s="83" t="s">
        <v>22</v>
      </c>
      <c r="C137" s="702" t="s">
        <v>333</v>
      </c>
      <c r="D137" s="780">
        <f t="shared" ref="D137:G137" si="96">+D141+D138</f>
        <v>38635083</v>
      </c>
      <c r="E137" s="780">
        <f>+E138+E141</f>
        <v>14036781</v>
      </c>
      <c r="F137" s="780">
        <f t="shared" si="96"/>
        <v>24046022</v>
      </c>
      <c r="G137" s="780">
        <f t="shared" si="96"/>
        <v>552280</v>
      </c>
      <c r="H137" s="780"/>
      <c r="I137" s="780"/>
      <c r="J137" s="780"/>
      <c r="K137" s="780"/>
      <c r="L137" s="780"/>
      <c r="M137" s="2871" t="s">
        <v>23</v>
      </c>
      <c r="N137" s="2871" t="s">
        <v>23</v>
      </c>
      <c r="O137" s="2936" t="s">
        <v>102</v>
      </c>
      <c r="P137" s="491"/>
      <c r="Q137" s="491">
        <v>-14140496</v>
      </c>
    </row>
    <row r="138" spans="1:17" ht="15" customHeight="1">
      <c r="A138" s="2932"/>
      <c r="B138" s="1071" t="s">
        <v>24</v>
      </c>
      <c r="C138" s="2887" t="s">
        <v>196</v>
      </c>
      <c r="D138" s="711">
        <f>+D139+D140</f>
        <v>1500000</v>
      </c>
      <c r="E138" s="711">
        <f>+E140</f>
        <v>1000000</v>
      </c>
      <c r="F138" s="711">
        <f>+F139+F140</f>
        <v>500000</v>
      </c>
      <c r="G138" s="1070">
        <f>+G139+G140</f>
        <v>0</v>
      </c>
      <c r="H138" s="711"/>
      <c r="I138" s="711"/>
      <c r="J138" s="711"/>
      <c r="K138" s="711"/>
      <c r="L138" s="711"/>
      <c r="M138" s="2868"/>
      <c r="N138" s="2868"/>
      <c r="O138" s="2916"/>
    </row>
    <row r="139" spans="1:17" ht="12" hidden="1" customHeight="1">
      <c r="A139" s="2932"/>
      <c r="B139" s="1064" t="s">
        <v>17</v>
      </c>
      <c r="C139" s="2947"/>
      <c r="D139" s="1034">
        <f>SUM(E139:I139)</f>
        <v>0</v>
      </c>
      <c r="E139" s="2070"/>
      <c r="F139" s="1046">
        <v>0</v>
      </c>
      <c r="G139" s="2458"/>
      <c r="H139" s="1046"/>
      <c r="I139" s="1046"/>
      <c r="J139" s="1046"/>
      <c r="K139" s="1046"/>
      <c r="L139" s="1046"/>
      <c r="M139" s="2868"/>
      <c r="N139" s="2868"/>
      <c r="O139" s="2916"/>
    </row>
    <row r="140" spans="1:17" ht="14.25" customHeight="1">
      <c r="A140" s="2932"/>
      <c r="B140" s="1064" t="s">
        <v>15</v>
      </c>
      <c r="C140" s="2947"/>
      <c r="D140" s="251">
        <f>E140+F140+G140+H140+I140+J140+K140+L140</f>
        <v>1500000</v>
      </c>
      <c r="E140" s="289">
        <f>1000000</f>
        <v>1000000</v>
      </c>
      <c r="F140" s="1046">
        <f>500000</f>
        <v>500000</v>
      </c>
      <c r="G140" s="2458">
        <v>0</v>
      </c>
      <c r="H140" s="1046"/>
      <c r="I140" s="1046"/>
      <c r="J140" s="1046"/>
      <c r="K140" s="1046"/>
      <c r="L140" s="1046"/>
      <c r="M140" s="2868"/>
      <c r="N140" s="2868"/>
      <c r="O140" s="2916"/>
    </row>
    <row r="141" spans="1:17" ht="13.5" customHeight="1">
      <c r="A141" s="2932"/>
      <c r="B141" s="1069" t="s">
        <v>18</v>
      </c>
      <c r="C141" s="2947"/>
      <c r="D141" s="974">
        <f t="shared" ref="D141" si="97">+D142+D143</f>
        <v>37135083</v>
      </c>
      <c r="E141" s="974">
        <f>+E143</f>
        <v>13036781</v>
      </c>
      <c r="F141" s="2071">
        <f>+F142+F143</f>
        <v>23546022</v>
      </c>
      <c r="G141" s="2071">
        <f>+G142+G143</f>
        <v>552280</v>
      </c>
      <c r="H141" s="2071"/>
      <c r="I141" s="2071"/>
      <c r="J141" s="2071"/>
      <c r="K141" s="2071"/>
      <c r="L141" s="2071"/>
      <c r="M141" s="2868"/>
      <c r="N141" s="2868"/>
      <c r="O141" s="2916"/>
    </row>
    <row r="142" spans="1:17" ht="12" hidden="1" customHeight="1">
      <c r="A142" s="2932"/>
      <c r="B142" s="811" t="s">
        <v>17</v>
      </c>
      <c r="C142" s="2947"/>
      <c r="D142" s="1034">
        <f>SUM(E142:I142)</f>
        <v>0</v>
      </c>
      <c r="E142" s="2070"/>
      <c r="F142" s="1046"/>
      <c r="G142" s="1046"/>
      <c r="H142" s="1046"/>
      <c r="I142" s="1046"/>
      <c r="J142" s="1046"/>
      <c r="K142" s="1046"/>
      <c r="L142" s="1046"/>
      <c r="M142" s="2868"/>
      <c r="N142" s="2868"/>
      <c r="O142" s="2916"/>
    </row>
    <row r="143" spans="1:17" ht="14.25" customHeight="1" thickBot="1">
      <c r="A143" s="2957"/>
      <c r="B143" s="1672" t="s">
        <v>21</v>
      </c>
      <c r="C143" s="2935"/>
      <c r="D143" s="251">
        <f>E143+F143+G143+H143+I143+J143+K143+L143</f>
        <v>37135083</v>
      </c>
      <c r="E143" s="289">
        <f>13036781</f>
        <v>13036781</v>
      </c>
      <c r="F143" s="1027">
        <f>10955672-500000+20900496-6760000-36782-120-377238-636006</f>
        <v>23546022</v>
      </c>
      <c r="G143" s="1673">
        <f>552280</f>
        <v>552280</v>
      </c>
      <c r="H143" s="1673"/>
      <c r="I143" s="1673"/>
      <c r="J143" s="1673"/>
      <c r="K143" s="1673"/>
      <c r="L143" s="1673"/>
      <c r="M143" s="2869"/>
      <c r="N143" s="2869"/>
      <c r="O143" s="2917"/>
    </row>
    <row r="144" spans="1:17" ht="30" customHeight="1">
      <c r="A144" s="2931" t="s">
        <v>88</v>
      </c>
      <c r="B144" s="75" t="s">
        <v>447</v>
      </c>
      <c r="C144" s="59"/>
      <c r="D144" s="60"/>
      <c r="E144" s="44"/>
      <c r="F144" s="44"/>
      <c r="G144" s="44"/>
      <c r="H144" s="44"/>
      <c r="I144" s="44"/>
      <c r="J144" s="44"/>
      <c r="K144" s="44"/>
      <c r="L144" s="44"/>
      <c r="M144" s="45"/>
      <c r="N144" s="45"/>
      <c r="O144" s="91"/>
    </row>
    <row r="145" spans="1:17" ht="13.5" customHeight="1">
      <c r="A145" s="2932"/>
      <c r="B145" s="728" t="s">
        <v>10</v>
      </c>
      <c r="C145" s="2072" t="s">
        <v>81</v>
      </c>
      <c r="D145" s="2043">
        <f t="shared" ref="D145" si="98">+D146+D149</f>
        <v>7514781</v>
      </c>
      <c r="E145" s="1946">
        <f>+E146+E149</f>
        <v>5452510</v>
      </c>
      <c r="F145" s="1946">
        <f>+F146+F149</f>
        <v>2062271</v>
      </c>
      <c r="G145" s="1946"/>
      <c r="H145" s="1946"/>
      <c r="I145" s="1946"/>
      <c r="J145" s="1946"/>
      <c r="K145" s="1946"/>
      <c r="L145" s="1946"/>
      <c r="M145" s="1947">
        <f>M146+M149</f>
        <v>2062271</v>
      </c>
      <c r="N145" s="1947">
        <f>N146+N149</f>
        <v>0</v>
      </c>
      <c r="O145" s="2949" t="s">
        <v>86</v>
      </c>
      <c r="P145" s="491"/>
    </row>
    <row r="146" spans="1:17" ht="13.5" customHeight="1">
      <c r="A146" s="2932"/>
      <c r="B146" s="694" t="s">
        <v>24</v>
      </c>
      <c r="C146" s="2920" t="s">
        <v>84</v>
      </c>
      <c r="D146" s="2044">
        <f>+D147+D148</f>
        <v>17824</v>
      </c>
      <c r="E146" s="2044">
        <f>+E147</f>
        <v>11019</v>
      </c>
      <c r="F146" s="2044">
        <f>+F147+F148</f>
        <v>6805</v>
      </c>
      <c r="G146" s="2044"/>
      <c r="H146" s="2044"/>
      <c r="I146" s="2044"/>
      <c r="J146" s="2044"/>
      <c r="K146" s="2044"/>
      <c r="L146" s="2044"/>
      <c r="M146" s="2022">
        <f>M147</f>
        <v>6805</v>
      </c>
      <c r="N146" s="2022">
        <f>N147</f>
        <v>0</v>
      </c>
      <c r="O146" s="2949"/>
      <c r="P146" s="491"/>
    </row>
    <row r="147" spans="1:17" ht="11.25" customHeight="1">
      <c r="A147" s="2932"/>
      <c r="B147" s="1073" t="s">
        <v>12</v>
      </c>
      <c r="C147" s="2945"/>
      <c r="D147" s="1926">
        <f>E147+F147+G147+H147+I147+J147+K147+L147</f>
        <v>17824</v>
      </c>
      <c r="E147" s="1990">
        <f>11019</f>
        <v>11019</v>
      </c>
      <c r="F147" s="1990">
        <f>465000-265000-181024-12171</f>
        <v>6805</v>
      </c>
      <c r="G147" s="1990"/>
      <c r="H147" s="1990"/>
      <c r="I147" s="1990"/>
      <c r="J147" s="1990"/>
      <c r="K147" s="1990"/>
      <c r="L147" s="1990"/>
      <c r="M147" s="1065">
        <f>SUM(F147:K147)</f>
        <v>6805</v>
      </c>
      <c r="N147" s="1065">
        <f>SUM(G147:L147)</f>
        <v>0</v>
      </c>
      <c r="O147" s="2949"/>
      <c r="P147" s="491"/>
    </row>
    <row r="148" spans="1:17" ht="10.5" hidden="1" customHeight="1">
      <c r="A148" s="2932"/>
      <c r="B148" s="1695" t="s">
        <v>15</v>
      </c>
      <c r="C148" s="2945"/>
      <c r="D148" s="1926">
        <f>SUM(E148:I148)</f>
        <v>0</v>
      </c>
      <c r="E148" s="2073">
        <v>0</v>
      </c>
      <c r="F148" s="2074"/>
      <c r="G148" s="2074"/>
      <c r="H148" s="2074"/>
      <c r="I148" s="2074"/>
      <c r="J148" s="206"/>
      <c r="K148" s="206"/>
      <c r="L148" s="206"/>
      <c r="M148" s="70"/>
      <c r="N148" s="70"/>
      <c r="O148" s="2949"/>
    </row>
    <row r="149" spans="1:17" ht="12.75" customHeight="1">
      <c r="A149" s="2932"/>
      <c r="B149" s="1069" t="s">
        <v>18</v>
      </c>
      <c r="C149" s="2945"/>
      <c r="D149" s="2021">
        <f>+D150</f>
        <v>7496957</v>
      </c>
      <c r="E149" s="1957">
        <f>+E150</f>
        <v>5441491</v>
      </c>
      <c r="F149" s="1957">
        <f t="shared" ref="F149" si="99">+F150</f>
        <v>2055466</v>
      </c>
      <c r="G149" s="1957"/>
      <c r="H149" s="1957"/>
      <c r="I149" s="1957"/>
      <c r="J149" s="2021"/>
      <c r="K149" s="2021"/>
      <c r="L149" s="2021"/>
      <c r="M149" s="2022">
        <f>M150</f>
        <v>2055466</v>
      </c>
      <c r="N149" s="2022">
        <f>N150</f>
        <v>0</v>
      </c>
      <c r="O149" s="2949"/>
    </row>
    <row r="150" spans="1:17" ht="12" customHeight="1">
      <c r="A150" s="2932"/>
      <c r="B150" s="1073" t="s">
        <v>21</v>
      </c>
      <c r="C150" s="2946"/>
      <c r="D150" s="2075">
        <f>E150+F150+G150+H150+I150+J150+K150+L150</f>
        <v>7496957</v>
      </c>
      <c r="E150" s="1990">
        <f>5441491</f>
        <v>5441491</v>
      </c>
      <c r="F150" s="1990">
        <f>2635000-453934+78594+359189+72844-602886-33341</f>
        <v>2055466</v>
      </c>
      <c r="G150" s="1990"/>
      <c r="H150" s="1954"/>
      <c r="I150" s="1954"/>
      <c r="J150" s="2046"/>
      <c r="K150" s="2046"/>
      <c r="L150" s="2046"/>
      <c r="M150" s="1065">
        <f>SUM(F150:K150)</f>
        <v>2055466</v>
      </c>
      <c r="N150" s="1065">
        <f>SUM(G150:L150)</f>
        <v>0</v>
      </c>
      <c r="O150" s="2950"/>
    </row>
    <row r="151" spans="1:17" ht="22.5">
      <c r="A151" s="2933"/>
      <c r="B151" s="95" t="s">
        <v>22</v>
      </c>
      <c r="C151" s="702" t="s">
        <v>333</v>
      </c>
      <c r="D151" s="104">
        <f t="shared" ref="D151" si="100">+D152+D154</f>
        <v>7496957</v>
      </c>
      <c r="E151" s="238">
        <f>+E154</f>
        <v>3015669</v>
      </c>
      <c r="F151" s="238">
        <f>+F152+F154</f>
        <v>4481288</v>
      </c>
      <c r="G151" s="238"/>
      <c r="H151" s="238"/>
      <c r="I151" s="238"/>
      <c r="J151" s="238"/>
      <c r="K151" s="238"/>
      <c r="L151" s="238"/>
      <c r="M151" s="2901" t="s">
        <v>23</v>
      </c>
      <c r="N151" s="2901" t="s">
        <v>23</v>
      </c>
      <c r="O151" s="3003" t="s">
        <v>102</v>
      </c>
      <c r="P151" s="491"/>
      <c r="Q151" s="491">
        <v>-1435987</v>
      </c>
    </row>
    <row r="152" spans="1:17" ht="13.5" hidden="1" customHeight="1">
      <c r="A152" s="2933"/>
      <c r="B152" s="2025" t="s">
        <v>24</v>
      </c>
      <c r="C152" s="2974" t="s">
        <v>207</v>
      </c>
      <c r="D152" s="53">
        <f>+D153</f>
        <v>0</v>
      </c>
      <c r="E152" s="271">
        <v>0</v>
      </c>
      <c r="F152" s="53"/>
      <c r="G152" s="53"/>
      <c r="H152" s="53"/>
      <c r="I152" s="53"/>
      <c r="J152" s="53"/>
      <c r="K152" s="53"/>
      <c r="L152" s="53"/>
      <c r="M152" s="2874"/>
      <c r="N152" s="2874"/>
      <c r="O152" s="2968"/>
    </row>
    <row r="153" spans="1:17" hidden="1">
      <c r="A153" s="2933"/>
      <c r="B153" s="94" t="s">
        <v>15</v>
      </c>
      <c r="C153" s="2959"/>
      <c r="D153" s="1926">
        <f>SUM(E153:I153)</f>
        <v>0</v>
      </c>
      <c r="E153" s="2076">
        <v>0</v>
      </c>
      <c r="F153" s="1956"/>
      <c r="G153" s="1956"/>
      <c r="H153" s="1956"/>
      <c r="I153" s="1956"/>
      <c r="J153" s="1956"/>
      <c r="K153" s="1956"/>
      <c r="L153" s="1956"/>
      <c r="M153" s="2874"/>
      <c r="N153" s="2874"/>
      <c r="O153" s="2968"/>
    </row>
    <row r="154" spans="1:17" ht="12" customHeight="1">
      <c r="A154" s="2933"/>
      <c r="B154" s="2077" t="s">
        <v>18</v>
      </c>
      <c r="C154" s="2959"/>
      <c r="D154" s="2021">
        <f t="shared" ref="D154:F154" si="101">+D155</f>
        <v>7496957</v>
      </c>
      <c r="E154" s="1957">
        <f>+E155</f>
        <v>3015669</v>
      </c>
      <c r="F154" s="1957">
        <f t="shared" si="101"/>
        <v>4481288</v>
      </c>
      <c r="G154" s="1957"/>
      <c r="H154" s="1957"/>
      <c r="I154" s="1957"/>
      <c r="J154" s="1957"/>
      <c r="K154" s="1957"/>
      <c r="L154" s="1957"/>
      <c r="M154" s="2874"/>
      <c r="N154" s="2874"/>
      <c r="O154" s="2968"/>
    </row>
    <row r="155" spans="1:17" ht="13.5" customHeight="1" thickBot="1">
      <c r="A155" s="2934"/>
      <c r="B155" s="1072" t="s">
        <v>21</v>
      </c>
      <c r="C155" s="2960"/>
      <c r="D155" s="1027">
        <f>E155+F155+G155+H155+I155+J155+K155+L155</f>
        <v>7496957</v>
      </c>
      <c r="E155" s="1027">
        <f>3015669</f>
        <v>3015669</v>
      </c>
      <c r="F155" s="533">
        <f>3735000+1575987-141817-15669-35986-602886-33341</f>
        <v>4481288</v>
      </c>
      <c r="G155" s="533"/>
      <c r="H155" s="533"/>
      <c r="I155" s="533"/>
      <c r="J155" s="533"/>
      <c r="K155" s="533"/>
      <c r="L155" s="533"/>
      <c r="M155" s="2875"/>
      <c r="N155" s="2875"/>
      <c r="O155" s="2969"/>
    </row>
    <row r="156" spans="1:17" ht="22.5" customHeight="1">
      <c r="A156" s="2931" t="s">
        <v>89</v>
      </c>
      <c r="B156" s="75" t="s">
        <v>423</v>
      </c>
      <c r="C156" s="59" t="s">
        <v>81</v>
      </c>
      <c r="D156" s="60"/>
      <c r="E156" s="44"/>
      <c r="F156" s="44"/>
      <c r="G156" s="44"/>
      <c r="H156" s="44"/>
      <c r="I156" s="44"/>
      <c r="J156" s="44"/>
      <c r="K156" s="44"/>
      <c r="L156" s="44"/>
      <c r="M156" s="45"/>
      <c r="N156" s="45"/>
      <c r="O156" s="91"/>
    </row>
    <row r="157" spans="1:17" ht="12" customHeight="1">
      <c r="A157" s="2932"/>
      <c r="B157" s="728" t="s">
        <v>10</v>
      </c>
      <c r="C157" s="2053"/>
      <c r="D157" s="2043">
        <f>+D158+D161</f>
        <v>51348880</v>
      </c>
      <c r="E157" s="2122">
        <f t="shared" ref="E157" si="102">+E158+E161</f>
        <v>330606</v>
      </c>
      <c r="F157" s="2122">
        <f>+F158+F161</f>
        <v>30648691</v>
      </c>
      <c r="G157" s="2122">
        <f>+G158+G161</f>
        <v>20369583</v>
      </c>
      <c r="H157" s="2122"/>
      <c r="I157" s="2122"/>
      <c r="J157" s="2122"/>
      <c r="K157" s="2122"/>
      <c r="L157" s="2122"/>
      <c r="M157" s="2019">
        <f>M158+M161</f>
        <v>51018274</v>
      </c>
      <c r="N157" s="2019">
        <f>N158+N161</f>
        <v>20369583</v>
      </c>
      <c r="O157" s="2949" t="s">
        <v>86</v>
      </c>
      <c r="P157" s="491"/>
    </row>
    <row r="158" spans="1:17">
      <c r="A158" s="2932"/>
      <c r="B158" s="694" t="s">
        <v>24</v>
      </c>
      <c r="C158" s="2920" t="s">
        <v>84</v>
      </c>
      <c r="D158" s="2044">
        <f>+D159+D160</f>
        <v>7787332</v>
      </c>
      <c r="E158" s="2044">
        <f t="shared" ref="E158" si="103">+E159+E160</f>
        <v>49591</v>
      </c>
      <c r="F158" s="2044">
        <f>+F159+F160</f>
        <v>4682304</v>
      </c>
      <c r="G158" s="2044">
        <f>+G159+G160</f>
        <v>3055437</v>
      </c>
      <c r="H158" s="2044"/>
      <c r="I158" s="2044"/>
      <c r="J158" s="2044"/>
      <c r="K158" s="2044"/>
      <c r="L158" s="2044"/>
      <c r="M158" s="2022">
        <f>M159</f>
        <v>7737741</v>
      </c>
      <c r="N158" s="2022">
        <f>N159</f>
        <v>3055437</v>
      </c>
      <c r="O158" s="2949"/>
      <c r="P158" s="3023" t="s">
        <v>388</v>
      </c>
    </row>
    <row r="159" spans="1:17" ht="11.25" customHeight="1">
      <c r="A159" s="2932"/>
      <c r="B159" s="1073" t="s">
        <v>12</v>
      </c>
      <c r="C159" s="2945"/>
      <c r="D159" s="1034">
        <f>E159+F159+G159+H159+I159+J159+K159+L159</f>
        <v>7787332</v>
      </c>
      <c r="E159" s="1990">
        <v>49591</v>
      </c>
      <c r="F159" s="1990">
        <f>5700000+1500000+135000-2630000-22696</f>
        <v>4682304</v>
      </c>
      <c r="G159" s="1990">
        <f>1875000+1435625-240216-14972</f>
        <v>3055437</v>
      </c>
      <c r="H159" s="1990"/>
      <c r="I159" s="1990"/>
      <c r="J159" s="1990"/>
      <c r="K159" s="1990"/>
      <c r="L159" s="1990"/>
      <c r="M159" s="2047">
        <f>SUM(F159:K159)</f>
        <v>7737741</v>
      </c>
      <c r="N159" s="2047">
        <f>SUM(G159:L159)</f>
        <v>3055437</v>
      </c>
      <c r="O159" s="2949"/>
      <c r="P159" s="3023"/>
    </row>
    <row r="160" spans="1:17" ht="10.5" hidden="1" customHeight="1">
      <c r="A160" s="2932"/>
      <c r="B160" s="1695" t="s">
        <v>15</v>
      </c>
      <c r="C160" s="2945"/>
      <c r="D160" s="1034">
        <f>SUM(E160:I160)</f>
        <v>0</v>
      </c>
      <c r="E160" s="2078">
        <v>0</v>
      </c>
      <c r="F160" s="1074"/>
      <c r="G160" s="1074"/>
      <c r="H160" s="1074"/>
      <c r="I160" s="1074"/>
      <c r="J160" s="206"/>
      <c r="K160" s="206"/>
      <c r="L160" s="206"/>
      <c r="M160" s="70"/>
      <c r="N160" s="70"/>
      <c r="O160" s="2949"/>
      <c r="P160" s="3023"/>
    </row>
    <row r="161" spans="1:16">
      <c r="A161" s="2932"/>
      <c r="B161" s="1069" t="s">
        <v>18</v>
      </c>
      <c r="C161" s="2945"/>
      <c r="D161" s="2021">
        <f>+D162</f>
        <v>43561548</v>
      </c>
      <c r="E161" s="2027">
        <f t="shared" ref="E161:G161" si="104">+E162</f>
        <v>281015</v>
      </c>
      <c r="F161" s="2027">
        <f t="shared" si="104"/>
        <v>25966387</v>
      </c>
      <c r="G161" s="2027">
        <f t="shared" si="104"/>
        <v>17314146</v>
      </c>
      <c r="H161" s="2027"/>
      <c r="I161" s="2027"/>
      <c r="J161" s="2021"/>
      <c r="K161" s="2021"/>
      <c r="L161" s="2021"/>
      <c r="M161" s="2022">
        <f>M162</f>
        <v>43280533</v>
      </c>
      <c r="N161" s="2022">
        <f>N162</f>
        <v>17314146</v>
      </c>
      <c r="O161" s="2949"/>
      <c r="P161" s="3023"/>
    </row>
    <row r="162" spans="1:16" ht="12" customHeight="1">
      <c r="A162" s="2932"/>
      <c r="B162" s="1073" t="s">
        <v>21</v>
      </c>
      <c r="C162" s="2946"/>
      <c r="D162" s="1034">
        <f>E162+F162+G162+H162+I162+J162+K162+L162</f>
        <v>43561548</v>
      </c>
      <c r="E162" s="1990">
        <v>281015</v>
      </c>
      <c r="F162" s="1990">
        <f>32300000+8500000+765000-15470000-128613</f>
        <v>25966387</v>
      </c>
      <c r="G162" s="1990">
        <f>10625000+4125213+2648772-84839</f>
        <v>17314146</v>
      </c>
      <c r="H162" s="2041"/>
      <c r="I162" s="2041"/>
      <c r="J162" s="2046"/>
      <c r="K162" s="2046"/>
      <c r="L162" s="2046"/>
      <c r="M162" s="2047">
        <f>SUM(F162:K162)</f>
        <v>43280533</v>
      </c>
      <c r="N162" s="2047">
        <f>SUM(G162:L162)</f>
        <v>17314146</v>
      </c>
      <c r="O162" s="2950"/>
      <c r="P162" s="3023"/>
    </row>
    <row r="163" spans="1:16" ht="12" customHeight="1">
      <c r="A163" s="2933"/>
      <c r="B163" s="95" t="s">
        <v>22</v>
      </c>
      <c r="C163" s="92"/>
      <c r="D163" s="104">
        <f t="shared" ref="D163" si="105">+D164+D166</f>
        <v>43561548</v>
      </c>
      <c r="E163" s="238">
        <f>+E164+E166</f>
        <v>0</v>
      </c>
      <c r="F163" s="238">
        <f>+F164+F166</f>
        <v>26247402</v>
      </c>
      <c r="G163" s="238">
        <f>+G164+G166</f>
        <v>17314146</v>
      </c>
      <c r="H163" s="238"/>
      <c r="I163" s="238"/>
      <c r="J163" s="238"/>
      <c r="K163" s="238"/>
      <c r="L163" s="238"/>
      <c r="M163" s="2908" t="s">
        <v>23</v>
      </c>
      <c r="N163" s="2908" t="s">
        <v>23</v>
      </c>
      <c r="O163" s="2967" t="s">
        <v>102</v>
      </c>
    </row>
    <row r="164" spans="1:16" ht="13.5" hidden="1" customHeight="1">
      <c r="A164" s="2933"/>
      <c r="B164" s="2025" t="s">
        <v>24</v>
      </c>
      <c r="C164" s="2958" t="s">
        <v>207</v>
      </c>
      <c r="D164" s="53">
        <f>+D165</f>
        <v>0</v>
      </c>
      <c r="E164" s="53"/>
      <c r="F164" s="53"/>
      <c r="G164" s="53"/>
      <c r="H164" s="53"/>
      <c r="I164" s="53"/>
      <c r="J164" s="53"/>
      <c r="K164" s="53"/>
      <c r="L164" s="53"/>
      <c r="M164" s="2874"/>
      <c r="N164" s="2874"/>
      <c r="O164" s="2968"/>
    </row>
    <row r="165" spans="1:16" ht="13.5" hidden="1" customHeight="1">
      <c r="A165" s="2933"/>
      <c r="B165" s="94" t="s">
        <v>15</v>
      </c>
      <c r="C165" s="2959"/>
      <c r="D165" s="1034">
        <f>SUM(E165:I165)</f>
        <v>0</v>
      </c>
      <c r="E165" s="2050"/>
      <c r="F165" s="2050"/>
      <c r="G165" s="2050"/>
      <c r="H165" s="2050"/>
      <c r="I165" s="2050"/>
      <c r="J165" s="2050"/>
      <c r="K165" s="2050"/>
      <c r="L165" s="2050"/>
      <c r="M165" s="2874"/>
      <c r="N165" s="2874"/>
      <c r="O165" s="2968"/>
    </row>
    <row r="166" spans="1:16" ht="12" customHeight="1">
      <c r="A166" s="2933"/>
      <c r="B166" s="2077" t="s">
        <v>18</v>
      </c>
      <c r="C166" s="2959"/>
      <c r="D166" s="2021">
        <f t="shared" ref="D166:G166" si="106">+D167</f>
        <v>43561548</v>
      </c>
      <c r="E166" s="2027">
        <f t="shared" si="106"/>
        <v>0</v>
      </c>
      <c r="F166" s="2027">
        <f t="shared" si="106"/>
        <v>26247402</v>
      </c>
      <c r="G166" s="2027">
        <f t="shared" si="106"/>
        <v>17314146</v>
      </c>
      <c r="H166" s="2027"/>
      <c r="I166" s="2027"/>
      <c r="J166" s="2027"/>
      <c r="K166" s="2027"/>
      <c r="L166" s="2027"/>
      <c r="M166" s="2874"/>
      <c r="N166" s="2874"/>
      <c r="O166" s="2968"/>
    </row>
    <row r="167" spans="1:16" ht="13.5" customHeight="1" thickBot="1">
      <c r="A167" s="2934"/>
      <c r="B167" s="1072" t="s">
        <v>21</v>
      </c>
      <c r="C167" s="2960"/>
      <c r="D167" s="1027">
        <f>E167+F167+G167+H167+I167+J167+K167+L167</f>
        <v>43561548</v>
      </c>
      <c r="E167" s="1027">
        <v>0</v>
      </c>
      <c r="F167" s="533">
        <f>29000000+6000000-8623985-128613</f>
        <v>26247402</v>
      </c>
      <c r="G167" s="533">
        <f>14775000+6625213-4001228-84839</f>
        <v>17314146</v>
      </c>
      <c r="H167" s="533"/>
      <c r="I167" s="533"/>
      <c r="J167" s="533"/>
      <c r="K167" s="533"/>
      <c r="L167" s="533"/>
      <c r="M167" s="2875"/>
      <c r="N167" s="2875"/>
      <c r="O167" s="2969"/>
    </row>
    <row r="168" spans="1:16" ht="24.75" customHeight="1">
      <c r="A168" s="2931" t="s">
        <v>90</v>
      </c>
      <c r="B168" s="75" t="s">
        <v>507</v>
      </c>
      <c r="C168" s="59" t="s">
        <v>81</v>
      </c>
      <c r="D168" s="60"/>
      <c r="E168" s="44"/>
      <c r="F168" s="44"/>
      <c r="G168" s="44"/>
      <c r="H168" s="44"/>
      <c r="I168" s="44"/>
      <c r="J168" s="44"/>
      <c r="K168" s="44"/>
      <c r="L168" s="44"/>
      <c r="M168" s="45"/>
      <c r="N168" s="45"/>
      <c r="O168" s="91"/>
      <c r="P168" s="237" t="s">
        <v>444</v>
      </c>
    </row>
    <row r="169" spans="1:16" ht="13.5" customHeight="1">
      <c r="A169" s="2932"/>
      <c r="B169" s="728" t="s">
        <v>10</v>
      </c>
      <c r="C169" s="829"/>
      <c r="D169" s="1063">
        <f>+D170+D173</f>
        <v>16401087</v>
      </c>
      <c r="E169" s="763">
        <f t="shared" ref="E169" si="107">+E170+E173</f>
        <v>1591</v>
      </c>
      <c r="F169" s="763">
        <f>+F170+F173</f>
        <v>3270506</v>
      </c>
      <c r="G169" s="763">
        <f>+G170+G173</f>
        <v>13128990</v>
      </c>
      <c r="H169" s="763"/>
      <c r="I169" s="763"/>
      <c r="J169" s="763"/>
      <c r="K169" s="763"/>
      <c r="L169" s="763"/>
      <c r="M169" s="1042">
        <f>M170+M173</f>
        <v>16399496</v>
      </c>
      <c r="N169" s="1042">
        <f>N170+N173</f>
        <v>12978317</v>
      </c>
      <c r="O169" s="2949" t="s">
        <v>86</v>
      </c>
      <c r="P169" s="491"/>
    </row>
    <row r="170" spans="1:16" ht="13.5" customHeight="1">
      <c r="A170" s="2932"/>
      <c r="B170" s="694" t="s">
        <v>24</v>
      </c>
      <c r="C170" s="2887" t="s">
        <v>84</v>
      </c>
      <c r="D170" s="814">
        <f>+D171+D172</f>
        <v>2867300</v>
      </c>
      <c r="E170" s="814">
        <f t="shared" ref="E170" si="108">+E171+E172</f>
        <v>239</v>
      </c>
      <c r="F170" s="814">
        <f>+F171+F172</f>
        <v>566230</v>
      </c>
      <c r="G170" s="814">
        <f>+G171+G172</f>
        <v>2300831</v>
      </c>
      <c r="H170" s="814"/>
      <c r="I170" s="814"/>
      <c r="J170" s="814"/>
      <c r="K170" s="814"/>
      <c r="L170" s="814"/>
      <c r="M170" s="707">
        <f>M171+M172</f>
        <v>2867061</v>
      </c>
      <c r="N170" s="707">
        <f>N171</f>
        <v>2150158</v>
      </c>
      <c r="O170" s="2949"/>
      <c r="P170" s="3023"/>
    </row>
    <row r="171" spans="1:16">
      <c r="A171" s="2932"/>
      <c r="B171" s="1073" t="s">
        <v>12</v>
      </c>
      <c r="C171" s="2945"/>
      <c r="D171" s="251">
        <f>E171+F171+G171+H171+I171+J171+K171+L171</f>
        <v>2636846</v>
      </c>
      <c r="E171" s="289">
        <v>239</v>
      </c>
      <c r="F171" s="1053">
        <f>2821000+15000-1954801-48563-304636-41551</f>
        <v>486449</v>
      </c>
      <c r="G171" s="1053">
        <f>2016162+18262+304636-188902</f>
        <v>2150158</v>
      </c>
      <c r="H171" s="1053"/>
      <c r="I171" s="1053"/>
      <c r="J171" s="1053"/>
      <c r="K171" s="1053"/>
      <c r="L171" s="1053"/>
      <c r="M171" s="1065">
        <f>SUM(F171:K171)</f>
        <v>2636607</v>
      </c>
      <c r="N171" s="1065">
        <f>SUM(G171:L171)</f>
        <v>2150158</v>
      </c>
      <c r="O171" s="2949"/>
      <c r="P171" s="3023"/>
    </row>
    <row r="172" spans="1:16" ht="10.5" customHeight="1">
      <c r="A172" s="2932"/>
      <c r="B172" s="1695" t="s">
        <v>15</v>
      </c>
      <c r="C172" s="2945"/>
      <c r="D172" s="1034">
        <f>SUM(E172:I172)</f>
        <v>230454</v>
      </c>
      <c r="E172" s="2078">
        <v>0</v>
      </c>
      <c r="F172" s="1074">
        <v>79781</v>
      </c>
      <c r="G172" s="1074">
        <v>150673</v>
      </c>
      <c r="H172" s="1074"/>
      <c r="I172" s="1074"/>
      <c r="J172" s="2041"/>
      <c r="K172" s="2041"/>
      <c r="L172" s="2041"/>
      <c r="M172" s="1065">
        <f>SUM(F172:K172)</f>
        <v>230454</v>
      </c>
      <c r="N172" s="70"/>
      <c r="O172" s="2949"/>
      <c r="P172" s="3023"/>
    </row>
    <row r="173" spans="1:16" ht="12.75" customHeight="1">
      <c r="A173" s="2932"/>
      <c r="B173" s="1069" t="s">
        <v>18</v>
      </c>
      <c r="C173" s="2945"/>
      <c r="D173" s="711">
        <f>+D174</f>
        <v>13533787</v>
      </c>
      <c r="E173" s="1048">
        <f t="shared" ref="E173:G173" si="109">+E174</f>
        <v>1352</v>
      </c>
      <c r="F173" s="1048">
        <f t="shared" si="109"/>
        <v>2704276</v>
      </c>
      <c r="G173" s="1048">
        <f t="shared" si="109"/>
        <v>10828159</v>
      </c>
      <c r="H173" s="1048"/>
      <c r="I173" s="1048"/>
      <c r="J173" s="711"/>
      <c r="K173" s="711"/>
      <c r="L173" s="711"/>
      <c r="M173" s="707">
        <f>M174</f>
        <v>13532435</v>
      </c>
      <c r="N173" s="707">
        <f>N174</f>
        <v>10828159</v>
      </c>
      <c r="O173" s="2949"/>
      <c r="P173" s="3023"/>
    </row>
    <row r="174" spans="1:16">
      <c r="A174" s="2932"/>
      <c r="B174" s="1073" t="s">
        <v>21</v>
      </c>
      <c r="C174" s="2946"/>
      <c r="D174" s="2075">
        <f>E174+F174+G174+H174+I174+J174+K174+L174</f>
        <v>13533787</v>
      </c>
      <c r="E174" s="289">
        <v>1352</v>
      </c>
      <c r="F174" s="1053">
        <f>15079000+85000-11487872+534253-1388381-117724</f>
        <v>2704276</v>
      </c>
      <c r="G174" s="1053">
        <f>11424920-705956+1388381-1279186</f>
        <v>10828159</v>
      </c>
      <c r="H174" s="793"/>
      <c r="I174" s="793"/>
      <c r="J174" s="792"/>
      <c r="K174" s="792"/>
      <c r="L174" s="792"/>
      <c r="M174" s="1065">
        <f>SUM(F174:K174)</f>
        <v>13532435</v>
      </c>
      <c r="N174" s="1065">
        <f>SUM(G174:L174)</f>
        <v>10828159</v>
      </c>
      <c r="O174" s="2950"/>
      <c r="P174" s="3023"/>
    </row>
    <row r="175" spans="1:16" ht="13.5" customHeight="1">
      <c r="A175" s="2933"/>
      <c r="B175" s="95" t="s">
        <v>22</v>
      </c>
      <c r="C175" s="92"/>
      <c r="D175" s="104">
        <f t="shared" ref="D175" si="110">+D176+D178</f>
        <v>13764241</v>
      </c>
      <c r="E175" s="238">
        <f>+E176+E178</f>
        <v>0</v>
      </c>
      <c r="F175" s="238">
        <f>+F176+F178</f>
        <v>709781</v>
      </c>
      <c r="G175" s="238">
        <f>+G176+G178</f>
        <v>13054460</v>
      </c>
      <c r="H175" s="238"/>
      <c r="I175" s="238"/>
      <c r="J175" s="238"/>
      <c r="K175" s="238"/>
      <c r="L175" s="238"/>
      <c r="M175" s="2908" t="s">
        <v>23</v>
      </c>
      <c r="N175" s="2908" t="s">
        <v>23</v>
      </c>
      <c r="O175" s="2967" t="s">
        <v>102</v>
      </c>
    </row>
    <row r="176" spans="1:16" ht="13.5" customHeight="1">
      <c r="A176" s="2933"/>
      <c r="B176" s="1071" t="s">
        <v>24</v>
      </c>
      <c r="C176" s="2958" t="s">
        <v>207</v>
      </c>
      <c r="D176" s="53">
        <f>+D177</f>
        <v>230454</v>
      </c>
      <c r="E176" s="53">
        <v>0</v>
      </c>
      <c r="F176" s="53">
        <f>F177</f>
        <v>79781</v>
      </c>
      <c r="G176" s="53">
        <f>G177</f>
        <v>150673</v>
      </c>
      <c r="H176" s="53"/>
      <c r="I176" s="53"/>
      <c r="J176" s="53"/>
      <c r="K176" s="53"/>
      <c r="L176" s="53"/>
      <c r="M176" s="2874"/>
      <c r="N176" s="2874"/>
      <c r="O176" s="2968"/>
    </row>
    <row r="177" spans="1:16" ht="13.5" customHeight="1">
      <c r="A177" s="2933"/>
      <c r="B177" s="2603" t="s">
        <v>15</v>
      </c>
      <c r="C177" s="2959"/>
      <c r="D177" s="1034">
        <f>SUM(E177:I177)</f>
        <v>230454</v>
      </c>
      <c r="E177" s="1046">
        <v>0</v>
      </c>
      <c r="F177" s="1046">
        <v>79781</v>
      </c>
      <c r="G177" s="1046">
        <v>150673</v>
      </c>
      <c r="H177" s="1046"/>
      <c r="I177" s="1046"/>
      <c r="J177" s="1046"/>
      <c r="K177" s="1046"/>
      <c r="L177" s="1046"/>
      <c r="M177" s="2874"/>
      <c r="N177" s="2874"/>
      <c r="O177" s="2968"/>
    </row>
    <row r="178" spans="1:16" ht="12" customHeight="1">
      <c r="A178" s="2933"/>
      <c r="B178" s="2069" t="s">
        <v>18</v>
      </c>
      <c r="C178" s="2959"/>
      <c r="D178" s="711">
        <f t="shared" ref="D178:G178" si="111">+D179</f>
        <v>13533787</v>
      </c>
      <c r="E178" s="1048">
        <f t="shared" si="111"/>
        <v>0</v>
      </c>
      <c r="F178" s="1048">
        <f t="shared" si="111"/>
        <v>630000</v>
      </c>
      <c r="G178" s="1048">
        <f t="shared" si="111"/>
        <v>12903787</v>
      </c>
      <c r="H178" s="1048"/>
      <c r="I178" s="1048"/>
      <c r="J178" s="1048"/>
      <c r="K178" s="1048"/>
      <c r="L178" s="1048"/>
      <c r="M178" s="2874"/>
      <c r="N178" s="2874"/>
      <c r="O178" s="2968"/>
    </row>
    <row r="179" spans="1:16" ht="13.5" customHeight="1" thickBot="1">
      <c r="A179" s="2934"/>
      <c r="B179" s="908" t="s">
        <v>21</v>
      </c>
      <c r="C179" s="2960"/>
      <c r="D179" s="251">
        <f>E179+F179+G179+H179+I179+J179+K179+L179</f>
        <v>13533787</v>
      </c>
      <c r="E179" s="289">
        <v>0</v>
      </c>
      <c r="F179" s="533">
        <f>14164000-10486520+534253-1388381-2193352</f>
        <v>630000</v>
      </c>
      <c r="G179" s="533">
        <f>1000000+10424920-705956+1388381+796442</f>
        <v>12903787</v>
      </c>
      <c r="H179" s="533"/>
      <c r="I179" s="533"/>
      <c r="J179" s="533"/>
      <c r="K179" s="533"/>
      <c r="L179" s="533"/>
      <c r="M179" s="2875"/>
      <c r="N179" s="2875"/>
      <c r="O179" s="2969"/>
    </row>
    <row r="180" spans="1:16" ht="24">
      <c r="A180" s="2931" t="s">
        <v>91</v>
      </c>
      <c r="B180" s="75" t="s">
        <v>448</v>
      </c>
      <c r="C180" s="59" t="s">
        <v>81</v>
      </c>
      <c r="D180" s="60"/>
      <c r="E180" s="44"/>
      <c r="F180" s="44"/>
      <c r="G180" s="44"/>
      <c r="H180" s="44"/>
      <c r="I180" s="44"/>
      <c r="J180" s="44"/>
      <c r="K180" s="44"/>
      <c r="L180" s="44"/>
      <c r="M180" s="45"/>
      <c r="N180" s="45"/>
      <c r="O180" s="91"/>
      <c r="P180" s="237" t="s">
        <v>285</v>
      </c>
    </row>
    <row r="181" spans="1:16">
      <c r="A181" s="2932"/>
      <c r="B181" s="21" t="s">
        <v>10</v>
      </c>
      <c r="C181" s="22"/>
      <c r="D181" s="64">
        <f>+D182+D185</f>
        <v>52780964</v>
      </c>
      <c r="E181" s="65">
        <f>+E182+E185</f>
        <v>0</v>
      </c>
      <c r="F181" s="65">
        <f>+F182+F185</f>
        <v>18055000</v>
      </c>
      <c r="G181" s="65">
        <f>+G182+G185</f>
        <v>34725964</v>
      </c>
      <c r="H181" s="65"/>
      <c r="I181" s="65"/>
      <c r="J181" s="65"/>
      <c r="K181" s="65"/>
      <c r="L181" s="65"/>
      <c r="M181" s="66">
        <f>M182+M185</f>
        <v>52780964</v>
      </c>
      <c r="N181" s="66">
        <f>N182+N185</f>
        <v>34725964</v>
      </c>
      <c r="O181" s="2949" t="s">
        <v>86</v>
      </c>
      <c r="P181" s="491"/>
    </row>
    <row r="182" spans="1:16" ht="13.5" customHeight="1">
      <c r="A182" s="2932"/>
      <c r="B182" s="174" t="s">
        <v>24</v>
      </c>
      <c r="C182" s="2893" t="s">
        <v>84</v>
      </c>
      <c r="D182" s="67">
        <f>+D183+D184</f>
        <v>10467145</v>
      </c>
      <c r="E182" s="67">
        <f>+E183+E184</f>
        <v>0</v>
      </c>
      <c r="F182" s="67">
        <f>+F183+F184</f>
        <v>5258250</v>
      </c>
      <c r="G182" s="67">
        <f>+G183+G184</f>
        <v>5208895</v>
      </c>
      <c r="H182" s="67"/>
      <c r="I182" s="67"/>
      <c r="J182" s="67"/>
      <c r="K182" s="67"/>
      <c r="L182" s="67"/>
      <c r="M182" s="80">
        <f>M183</f>
        <v>10467145</v>
      </c>
      <c r="N182" s="80">
        <f>N183</f>
        <v>5208895</v>
      </c>
      <c r="O182" s="2949"/>
      <c r="P182" s="491"/>
    </row>
    <row r="183" spans="1:16">
      <c r="A183" s="2932"/>
      <c r="B183" s="456" t="s">
        <v>12</v>
      </c>
      <c r="C183" s="2945"/>
      <c r="D183" s="251">
        <f>E183+F183+G183+H183+I183+J183+K183+L183</f>
        <v>10467145</v>
      </c>
      <c r="E183" s="289">
        <v>0</v>
      </c>
      <c r="F183" s="289">
        <f>4500000-1204062+1962312</f>
        <v>5258250</v>
      </c>
      <c r="G183" s="289">
        <f>4215000+1785000+1171207-1962312</f>
        <v>5208895</v>
      </c>
      <c r="H183" s="289"/>
      <c r="I183" s="289"/>
      <c r="J183" s="289"/>
      <c r="K183" s="289"/>
      <c r="L183" s="289"/>
      <c r="M183" s="1065">
        <f>SUM(F183:K183)</f>
        <v>10467145</v>
      </c>
      <c r="N183" s="1065">
        <f>SUM(G183:L183)</f>
        <v>5208895</v>
      </c>
      <c r="O183" s="2949"/>
      <c r="P183" s="491"/>
    </row>
    <row r="184" spans="1:16" ht="10.5" hidden="1" customHeight="1">
      <c r="A184" s="2932"/>
      <c r="B184" s="1695" t="s">
        <v>15</v>
      </c>
      <c r="C184" s="2945"/>
      <c r="D184" s="251">
        <f>SUM(E184:I184)</f>
        <v>0</v>
      </c>
      <c r="E184" s="2079">
        <v>0</v>
      </c>
      <c r="F184" s="47"/>
      <c r="G184" s="47"/>
      <c r="H184" s="47"/>
      <c r="I184" s="47"/>
      <c r="J184" s="206"/>
      <c r="K184" s="206"/>
      <c r="L184" s="206"/>
      <c r="M184" s="70"/>
      <c r="N184" s="70"/>
      <c r="O184" s="2949"/>
    </row>
    <row r="185" spans="1:16" ht="12.75" customHeight="1">
      <c r="A185" s="2932"/>
      <c r="B185" s="499" t="s">
        <v>18</v>
      </c>
      <c r="C185" s="2945"/>
      <c r="D185" s="50">
        <f>+D186</f>
        <v>42313819</v>
      </c>
      <c r="E185" s="51">
        <f t="shared" ref="E185:G185" si="112">+E186</f>
        <v>0</v>
      </c>
      <c r="F185" s="51">
        <f t="shared" si="112"/>
        <v>12796750</v>
      </c>
      <c r="G185" s="51">
        <f t="shared" si="112"/>
        <v>29517069</v>
      </c>
      <c r="H185" s="51"/>
      <c r="I185" s="51"/>
      <c r="J185" s="50"/>
      <c r="K185" s="50"/>
      <c r="L185" s="50"/>
      <c r="M185" s="80">
        <f>M186</f>
        <v>42313819</v>
      </c>
      <c r="N185" s="80">
        <f>N186</f>
        <v>29517069</v>
      </c>
      <c r="O185" s="2949"/>
    </row>
    <row r="186" spans="1:16">
      <c r="A186" s="2932"/>
      <c r="B186" s="456" t="s">
        <v>21</v>
      </c>
      <c r="C186" s="2946"/>
      <c r="D186" s="2075">
        <f>E186+F186+G186+H186+I186+J186+K186+L186</f>
        <v>42313819</v>
      </c>
      <c r="E186" s="289">
        <v>0</v>
      </c>
      <c r="F186" s="289">
        <f>38250000+85000-21335000+1110315-5313565</f>
        <v>12796750</v>
      </c>
      <c r="G186" s="289">
        <f>13685000+11815000-1296496+5313565</f>
        <v>29517069</v>
      </c>
      <c r="H186" s="48"/>
      <c r="I186" s="48"/>
      <c r="J186" s="49"/>
      <c r="K186" s="49"/>
      <c r="L186" s="49"/>
      <c r="M186" s="1065">
        <f>SUM(F186:K186)</f>
        <v>42313819</v>
      </c>
      <c r="N186" s="1065">
        <f>SUM(G186:L186)</f>
        <v>29517069</v>
      </c>
      <c r="O186" s="2950"/>
    </row>
    <row r="187" spans="1:16" ht="11.25" customHeight="1">
      <c r="A187" s="2933"/>
      <c r="B187" s="95" t="s">
        <v>22</v>
      </c>
      <c r="C187" s="92"/>
      <c r="D187" s="104">
        <f t="shared" ref="D187:E187" si="113">+D188+D190</f>
        <v>42313819</v>
      </c>
      <c r="E187" s="238">
        <f t="shared" si="113"/>
        <v>0</v>
      </c>
      <c r="F187" s="238">
        <f>+F188+F190</f>
        <v>0</v>
      </c>
      <c r="G187" s="238">
        <f>+G188+G190</f>
        <v>42313819</v>
      </c>
      <c r="H187" s="238"/>
      <c r="I187" s="238"/>
      <c r="J187" s="238"/>
      <c r="K187" s="238"/>
      <c r="L187" s="238"/>
      <c r="M187" s="2873" t="s">
        <v>23</v>
      </c>
      <c r="N187" s="2873" t="s">
        <v>23</v>
      </c>
      <c r="O187" s="3001" t="s">
        <v>102</v>
      </c>
    </row>
    <row r="188" spans="1:16" ht="13.5" hidden="1" customHeight="1">
      <c r="A188" s="2933"/>
      <c r="B188" s="701" t="s">
        <v>24</v>
      </c>
      <c r="C188" s="3002" t="s">
        <v>207</v>
      </c>
      <c r="D188" s="53">
        <f>+D189</f>
        <v>0</v>
      </c>
      <c r="E188" s="271">
        <v>0</v>
      </c>
      <c r="F188" s="53"/>
      <c r="G188" s="53"/>
      <c r="H188" s="53"/>
      <c r="I188" s="53"/>
      <c r="J188" s="53"/>
      <c r="K188" s="53"/>
      <c r="L188" s="53"/>
      <c r="M188" s="2874"/>
      <c r="N188" s="2874"/>
      <c r="O188" s="2968"/>
    </row>
    <row r="189" spans="1:16" ht="13.5" hidden="1" customHeight="1">
      <c r="A189" s="2933"/>
      <c r="B189" s="94" t="s">
        <v>15</v>
      </c>
      <c r="C189" s="2959"/>
      <c r="D189" s="251">
        <f>SUM(E189:I189)</f>
        <v>0</v>
      </c>
      <c r="E189" s="2080">
        <v>0</v>
      </c>
      <c r="F189" s="55"/>
      <c r="G189" s="55"/>
      <c r="H189" s="55"/>
      <c r="I189" s="55"/>
      <c r="J189" s="55"/>
      <c r="K189" s="55"/>
      <c r="L189" s="55"/>
      <c r="M189" s="2874"/>
      <c r="N189" s="2874"/>
      <c r="O189" s="2968"/>
    </row>
    <row r="190" spans="1:16" ht="12" customHeight="1">
      <c r="A190" s="2933"/>
      <c r="B190" s="848" t="s">
        <v>18</v>
      </c>
      <c r="C190" s="2959"/>
      <c r="D190" s="50">
        <f t="shared" ref="D190:G190" si="114">+D191</f>
        <v>42313819</v>
      </c>
      <c r="E190" s="51">
        <f t="shared" si="114"/>
        <v>0</v>
      </c>
      <c r="F190" s="51">
        <f t="shared" si="114"/>
        <v>0</v>
      </c>
      <c r="G190" s="51">
        <f t="shared" si="114"/>
        <v>42313819</v>
      </c>
      <c r="H190" s="51"/>
      <c r="I190" s="51"/>
      <c r="J190" s="51"/>
      <c r="K190" s="51"/>
      <c r="L190" s="51"/>
      <c r="M190" s="2874"/>
      <c r="N190" s="2874"/>
      <c r="O190" s="2968"/>
    </row>
    <row r="191" spans="1:16" ht="13.5" customHeight="1" thickBot="1">
      <c r="A191" s="2934"/>
      <c r="B191" s="72" t="s">
        <v>21</v>
      </c>
      <c r="C191" s="2960"/>
      <c r="D191" s="251">
        <f>E191+F191+G191+H191+I191+J191+K191+L191</f>
        <v>42313819</v>
      </c>
      <c r="E191" s="289">
        <v>0</v>
      </c>
      <c r="F191" s="73">
        <f>38335000-21335000+1110315-18110315</f>
        <v>0</v>
      </c>
      <c r="G191" s="73">
        <f>13685000+11815000-1296496+18110315</f>
        <v>42313819</v>
      </c>
      <c r="H191" s="73"/>
      <c r="I191" s="73"/>
      <c r="J191" s="73"/>
      <c r="K191" s="73"/>
      <c r="L191" s="73"/>
      <c r="M191" s="2875"/>
      <c r="N191" s="2875"/>
      <c r="O191" s="2969"/>
    </row>
    <row r="192" spans="1:16" ht="24.75" customHeight="1">
      <c r="A192" s="2931" t="s">
        <v>92</v>
      </c>
      <c r="B192" s="75" t="s">
        <v>449</v>
      </c>
      <c r="C192" s="59" t="s">
        <v>81</v>
      </c>
      <c r="D192" s="60"/>
      <c r="E192" s="44"/>
      <c r="F192" s="44"/>
      <c r="G192" s="44"/>
      <c r="H192" s="44"/>
      <c r="I192" s="44"/>
      <c r="J192" s="44"/>
      <c r="K192" s="44"/>
      <c r="L192" s="44"/>
      <c r="M192" s="45"/>
      <c r="N192" s="45"/>
      <c r="O192" s="91"/>
    </row>
    <row r="193" spans="1:16">
      <c r="A193" s="2932"/>
      <c r="B193" s="728" t="s">
        <v>10</v>
      </c>
      <c r="C193" s="829"/>
      <c r="D193" s="1063">
        <f>+D194+D197</f>
        <v>3411977</v>
      </c>
      <c r="E193" s="763">
        <f t="shared" ref="E193" si="115">+E194+E197</f>
        <v>186175</v>
      </c>
      <c r="F193" s="763">
        <f>+F194+F197</f>
        <v>3225802</v>
      </c>
      <c r="G193" s="763">
        <f>+G194+G197</f>
        <v>0</v>
      </c>
      <c r="H193" s="763"/>
      <c r="I193" s="763"/>
      <c r="J193" s="763"/>
      <c r="K193" s="763"/>
      <c r="L193" s="763"/>
      <c r="M193" s="1042">
        <f>M194+M197</f>
        <v>3225802</v>
      </c>
      <c r="N193" s="1042">
        <f>N194+N197</f>
        <v>0</v>
      </c>
      <c r="O193" s="2949" t="s">
        <v>86</v>
      </c>
      <c r="P193" s="491"/>
    </row>
    <row r="194" spans="1:16" ht="13.5" customHeight="1">
      <c r="A194" s="2932"/>
      <c r="B194" s="694" t="s">
        <v>24</v>
      </c>
      <c r="C194" s="2887" t="s">
        <v>84</v>
      </c>
      <c r="D194" s="814">
        <f>+D195+D196</f>
        <v>745310</v>
      </c>
      <c r="E194" s="814">
        <f t="shared" ref="E194" si="116">+E195+E196</f>
        <v>133940</v>
      </c>
      <c r="F194" s="814">
        <f>+F195+F196</f>
        <v>611370</v>
      </c>
      <c r="G194" s="814">
        <f>+G195+G196</f>
        <v>0</v>
      </c>
      <c r="H194" s="814"/>
      <c r="I194" s="814"/>
      <c r="J194" s="814"/>
      <c r="K194" s="814"/>
      <c r="L194" s="814"/>
      <c r="M194" s="707">
        <f>M195</f>
        <v>611370</v>
      </c>
      <c r="N194" s="707">
        <f>N195</f>
        <v>0</v>
      </c>
      <c r="O194" s="2949"/>
      <c r="P194" s="491"/>
    </row>
    <row r="195" spans="1:16" ht="11.25" customHeight="1">
      <c r="A195" s="2932"/>
      <c r="B195" s="1073" t="s">
        <v>12</v>
      </c>
      <c r="C195" s="2945"/>
      <c r="D195" s="251">
        <f>E195+F195+G195+H195+I195+J195+K195+L195</f>
        <v>745310</v>
      </c>
      <c r="E195" s="289">
        <f>133940</f>
        <v>133940</v>
      </c>
      <c r="F195" s="1053">
        <f>630000+30000-39218-9412</f>
        <v>611370</v>
      </c>
      <c r="G195" s="1053">
        <v>0</v>
      </c>
      <c r="H195" s="1053"/>
      <c r="I195" s="1053"/>
      <c r="J195" s="1053"/>
      <c r="K195" s="1053"/>
      <c r="L195" s="1053"/>
      <c r="M195" s="1065">
        <f>SUM(F195:K195)</f>
        <v>611370</v>
      </c>
      <c r="N195" s="1065">
        <f>SUM(G195:L195)</f>
        <v>0</v>
      </c>
      <c r="O195" s="2949"/>
      <c r="P195" s="491"/>
    </row>
    <row r="196" spans="1:16" ht="10.5" hidden="1" customHeight="1">
      <c r="A196" s="2932"/>
      <c r="B196" s="1695" t="s">
        <v>15</v>
      </c>
      <c r="C196" s="2945"/>
      <c r="D196" s="1034">
        <f>SUM(E196:I196)</f>
        <v>0</v>
      </c>
      <c r="E196" s="2078">
        <v>0</v>
      </c>
      <c r="F196" s="1074"/>
      <c r="G196" s="1074"/>
      <c r="H196" s="1074"/>
      <c r="I196" s="1074"/>
      <c r="J196" s="206"/>
      <c r="K196" s="206"/>
      <c r="L196" s="206"/>
      <c r="M196" s="70"/>
      <c r="N196" s="70"/>
      <c r="O196" s="2949"/>
    </row>
    <row r="197" spans="1:16" ht="12.75" customHeight="1">
      <c r="A197" s="2932"/>
      <c r="B197" s="1069" t="s">
        <v>18</v>
      </c>
      <c r="C197" s="2945"/>
      <c r="D197" s="711">
        <f>+D198</f>
        <v>2666667</v>
      </c>
      <c r="E197" s="1048">
        <f t="shared" ref="E197:G197" si="117">+E198</f>
        <v>52235</v>
      </c>
      <c r="F197" s="1048">
        <f t="shared" si="117"/>
        <v>2614432</v>
      </c>
      <c r="G197" s="1048">
        <f t="shared" si="117"/>
        <v>0</v>
      </c>
      <c r="H197" s="1048"/>
      <c r="I197" s="1048"/>
      <c r="J197" s="711"/>
      <c r="K197" s="711"/>
      <c r="L197" s="711"/>
      <c r="M197" s="707">
        <f>M198</f>
        <v>2614432</v>
      </c>
      <c r="N197" s="707">
        <f>N198</f>
        <v>0</v>
      </c>
      <c r="O197" s="2949"/>
    </row>
    <row r="198" spans="1:16" ht="12" customHeight="1">
      <c r="A198" s="2932"/>
      <c r="B198" s="1073" t="s">
        <v>21</v>
      </c>
      <c r="C198" s="2946"/>
      <c r="D198" s="2075">
        <f>E198+F198+G198+H198+I198+J198+K198+L198</f>
        <v>2666667</v>
      </c>
      <c r="E198" s="289">
        <f>52235</f>
        <v>52235</v>
      </c>
      <c r="F198" s="1053">
        <f>3570000+170000-1072235-53333</f>
        <v>2614432</v>
      </c>
      <c r="G198" s="1053">
        <v>0</v>
      </c>
      <c r="H198" s="793"/>
      <c r="I198" s="793"/>
      <c r="J198" s="792"/>
      <c r="K198" s="792"/>
      <c r="L198" s="792"/>
      <c r="M198" s="1065">
        <f>SUM(F198:K198)</f>
        <v>2614432</v>
      </c>
      <c r="N198" s="1065">
        <f>SUM(G198:L198)</f>
        <v>0</v>
      </c>
      <c r="O198" s="2950"/>
    </row>
    <row r="199" spans="1:16">
      <c r="A199" s="2933"/>
      <c r="B199" s="95" t="s">
        <v>22</v>
      </c>
      <c r="C199" s="92"/>
      <c r="D199" s="104">
        <f t="shared" ref="D199" si="118">+D200+D202</f>
        <v>2666667</v>
      </c>
      <c r="E199" s="238">
        <f t="shared" ref="E199" si="119">+E200+E202</f>
        <v>0</v>
      </c>
      <c r="F199" s="238">
        <f>+F200+F202</f>
        <v>1948545</v>
      </c>
      <c r="G199" s="238">
        <f>+G200+G202</f>
        <v>718122</v>
      </c>
      <c r="H199" s="238"/>
      <c r="I199" s="238"/>
      <c r="J199" s="238"/>
      <c r="K199" s="238"/>
      <c r="L199" s="238"/>
      <c r="M199" s="2908" t="s">
        <v>23</v>
      </c>
      <c r="N199" s="2908" t="s">
        <v>23</v>
      </c>
      <c r="O199" s="2967" t="s">
        <v>102</v>
      </c>
    </row>
    <row r="200" spans="1:16" hidden="1">
      <c r="A200" s="2933"/>
      <c r="B200" s="1071" t="s">
        <v>24</v>
      </c>
      <c r="C200" s="2958" t="s">
        <v>207</v>
      </c>
      <c r="D200" s="53">
        <f>+D201</f>
        <v>0</v>
      </c>
      <c r="E200" s="53">
        <f t="shared" ref="E200" si="120">+E201</f>
        <v>0</v>
      </c>
      <c r="F200" s="53"/>
      <c r="G200" s="53"/>
      <c r="H200" s="53"/>
      <c r="I200" s="53"/>
      <c r="J200" s="53"/>
      <c r="K200" s="53"/>
      <c r="L200" s="53"/>
      <c r="M200" s="2874"/>
      <c r="N200" s="2874"/>
      <c r="O200" s="2968"/>
    </row>
    <row r="201" spans="1:16" hidden="1">
      <c r="A201" s="2933"/>
      <c r="B201" s="94" t="s">
        <v>15</v>
      </c>
      <c r="C201" s="2959"/>
      <c r="D201" s="1034">
        <f>SUM(E201:I201)</f>
        <v>0</v>
      </c>
      <c r="E201" s="1046">
        <v>0</v>
      </c>
      <c r="F201" s="1046"/>
      <c r="G201" s="1046"/>
      <c r="H201" s="1046"/>
      <c r="I201" s="1046"/>
      <c r="J201" s="1046"/>
      <c r="K201" s="1046"/>
      <c r="L201" s="1046"/>
      <c r="M201" s="2874"/>
      <c r="N201" s="2874"/>
      <c r="O201" s="2968"/>
    </row>
    <row r="202" spans="1:16" ht="12" customHeight="1">
      <c r="A202" s="2933"/>
      <c r="B202" s="2069" t="s">
        <v>18</v>
      </c>
      <c r="C202" s="2959"/>
      <c r="D202" s="711">
        <f t="shared" ref="D202:G202" si="121">+D203</f>
        <v>2666667</v>
      </c>
      <c r="E202" s="1048">
        <f t="shared" si="121"/>
        <v>0</v>
      </c>
      <c r="F202" s="1048">
        <f t="shared" si="121"/>
        <v>1948545</v>
      </c>
      <c r="G202" s="1048">
        <f t="shared" si="121"/>
        <v>718122</v>
      </c>
      <c r="H202" s="1048"/>
      <c r="I202" s="1048"/>
      <c r="J202" s="1048"/>
      <c r="K202" s="1048"/>
      <c r="L202" s="1048"/>
      <c r="M202" s="2874"/>
      <c r="N202" s="2874"/>
      <c r="O202" s="2968"/>
    </row>
    <row r="203" spans="1:16" ht="13.5" thickBot="1">
      <c r="A203" s="2934"/>
      <c r="B203" s="1072" t="s">
        <v>21</v>
      </c>
      <c r="C203" s="2960"/>
      <c r="D203" s="251">
        <f>E203+F203+G203+H203+I203+J203+K203+L203</f>
        <v>2666667</v>
      </c>
      <c r="E203" s="289">
        <v>0</v>
      </c>
      <c r="F203" s="533">
        <f>3500000-780000-53333-718122</f>
        <v>1948545</v>
      </c>
      <c r="G203" s="533">
        <f>718122</f>
        <v>718122</v>
      </c>
      <c r="H203" s="533"/>
      <c r="I203" s="533"/>
      <c r="J203" s="533"/>
      <c r="K203" s="533"/>
      <c r="L203" s="533"/>
      <c r="M203" s="2875"/>
      <c r="N203" s="2875"/>
      <c r="O203" s="2969"/>
    </row>
    <row r="204" spans="1:16" ht="24.75" customHeight="1">
      <c r="A204" s="2931" t="s">
        <v>93</v>
      </c>
      <c r="B204" s="447" t="s">
        <v>508</v>
      </c>
      <c r="C204" s="59" t="s">
        <v>81</v>
      </c>
      <c r="D204" s="904"/>
      <c r="E204" s="44"/>
      <c r="F204" s="44"/>
      <c r="G204" s="44"/>
      <c r="H204" s="44"/>
      <c r="I204" s="44"/>
      <c r="J204" s="44"/>
      <c r="K204" s="44"/>
      <c r="L204" s="44"/>
      <c r="M204" s="45"/>
      <c r="N204" s="45"/>
      <c r="O204" s="2942" t="s">
        <v>86</v>
      </c>
    </row>
    <row r="205" spans="1:16">
      <c r="A205" s="2932"/>
      <c r="B205" s="538" t="s">
        <v>10</v>
      </c>
      <c r="C205" s="2081"/>
      <c r="D205" s="2082">
        <f>+D206+D209</f>
        <v>21650655</v>
      </c>
      <c r="E205" s="2082">
        <f t="shared" ref="E205" si="122">+E206+E209</f>
        <v>598614</v>
      </c>
      <c r="F205" s="2082">
        <f t="shared" ref="F205:G205" si="123">+F206+F209</f>
        <v>3520000</v>
      </c>
      <c r="G205" s="2082">
        <f t="shared" si="123"/>
        <v>17532041</v>
      </c>
      <c r="H205" s="2082"/>
      <c r="I205" s="2082"/>
      <c r="J205" s="2082"/>
      <c r="K205" s="2082"/>
      <c r="L205" s="2082"/>
      <c r="M205" s="1961">
        <f>+M206+M209</f>
        <v>21052041</v>
      </c>
      <c r="N205" s="1961">
        <f>+N206+N209</f>
        <v>17532041</v>
      </c>
      <c r="O205" s="2949"/>
      <c r="P205" s="237" t="s">
        <v>400</v>
      </c>
    </row>
    <row r="206" spans="1:16" ht="13.5" customHeight="1">
      <c r="A206" s="2932"/>
      <c r="B206" s="734" t="s">
        <v>24</v>
      </c>
      <c r="C206" s="2972" t="s">
        <v>84</v>
      </c>
      <c r="D206" s="2083">
        <f>+D207+D208</f>
        <v>6801840</v>
      </c>
      <c r="E206" s="2083">
        <f t="shared" ref="E206" si="124">+E207</f>
        <v>598614</v>
      </c>
      <c r="F206" s="2083">
        <f>+F207+F208</f>
        <v>1648179</v>
      </c>
      <c r="G206" s="2083">
        <f>+G207+G208</f>
        <v>4555047</v>
      </c>
      <c r="H206" s="2083"/>
      <c r="I206" s="2083"/>
      <c r="J206" s="2083"/>
      <c r="K206" s="2083"/>
      <c r="L206" s="2083"/>
      <c r="M206" s="2084">
        <f>+M207+M208</f>
        <v>6203226</v>
      </c>
      <c r="N206" s="2084">
        <f>+N207+N208</f>
        <v>4555047</v>
      </c>
      <c r="O206" s="2949"/>
      <c r="P206" s="491"/>
    </row>
    <row r="207" spans="1:16">
      <c r="A207" s="2932"/>
      <c r="B207" s="811" t="s">
        <v>12</v>
      </c>
      <c r="C207" s="2952"/>
      <c r="D207" s="1926">
        <f>E207+F207+G207+H207+I207+J207+K207+L207</f>
        <v>618614</v>
      </c>
      <c r="E207" s="1990">
        <v>598614</v>
      </c>
      <c r="F207" s="2046">
        <f>2960680-2945680+5000</f>
        <v>20000</v>
      </c>
      <c r="G207" s="2046">
        <v>0</v>
      </c>
      <c r="H207" s="2046"/>
      <c r="I207" s="2046"/>
      <c r="J207" s="2046"/>
      <c r="K207" s="2046"/>
      <c r="L207" s="2046"/>
      <c r="M207" s="1065">
        <f>SUM(F207:K207)</f>
        <v>20000</v>
      </c>
      <c r="N207" s="1065">
        <f>SUM(G207:L207)</f>
        <v>0</v>
      </c>
      <c r="O207" s="2949"/>
    </row>
    <row r="208" spans="1:16">
      <c r="A208" s="2932"/>
      <c r="B208" s="1088" t="s">
        <v>15</v>
      </c>
      <c r="C208" s="2952"/>
      <c r="D208" s="1926">
        <f>E208+F208+G208+H208+I208+J208+K208+L208</f>
        <v>6183226</v>
      </c>
      <c r="E208" s="1990">
        <v>0</v>
      </c>
      <c r="F208" s="1089">
        <f>4895843-1267664-2000000</f>
        <v>1628179</v>
      </c>
      <c r="G208" s="1089">
        <f>4774157+1267664-1486774</f>
        <v>4555047</v>
      </c>
      <c r="H208" s="1089"/>
      <c r="I208" s="1089"/>
      <c r="J208" s="1089"/>
      <c r="K208" s="1089"/>
      <c r="L208" s="1089"/>
      <c r="M208" s="1065">
        <f>SUM(F208:K208)</f>
        <v>6183226</v>
      </c>
      <c r="N208" s="1065">
        <f>SUM(G208:L208)</f>
        <v>4555047</v>
      </c>
      <c r="O208" s="2949"/>
    </row>
    <row r="209" spans="1:17" ht="13.5" customHeight="1">
      <c r="A209" s="2932"/>
      <c r="B209" s="738" t="s">
        <v>18</v>
      </c>
      <c r="C209" s="2952"/>
      <c r="D209" s="2021">
        <f>+D210</f>
        <v>14848815</v>
      </c>
      <c r="E209" s="2021">
        <f t="shared" ref="E209:G209" si="125">+E210</f>
        <v>0</v>
      </c>
      <c r="F209" s="2021">
        <f t="shared" si="125"/>
        <v>1871821</v>
      </c>
      <c r="G209" s="2021">
        <f t="shared" si="125"/>
        <v>12976994</v>
      </c>
      <c r="H209" s="2021"/>
      <c r="I209" s="2021"/>
      <c r="J209" s="2021"/>
      <c r="K209" s="2021"/>
      <c r="L209" s="2021"/>
      <c r="M209" s="2022">
        <f>+M210</f>
        <v>14848815</v>
      </c>
      <c r="N209" s="2022">
        <f>+N210</f>
        <v>12976994</v>
      </c>
      <c r="O209" s="2949"/>
    </row>
    <row r="210" spans="1:17">
      <c r="A210" s="2932"/>
      <c r="B210" s="2048" t="s">
        <v>21</v>
      </c>
      <c r="C210" s="2953"/>
      <c r="D210" s="1926">
        <f>E210+F210+G210+H210+I210+J210+K210+L210</f>
        <v>14848815</v>
      </c>
      <c r="E210" s="1990">
        <v>0</v>
      </c>
      <c r="F210" s="2046">
        <f>5649157-3777336</f>
        <v>1871821</v>
      </c>
      <c r="G210" s="2046">
        <f>14225843+3777336-5026185</f>
        <v>12976994</v>
      </c>
      <c r="H210" s="2046"/>
      <c r="I210" s="2046"/>
      <c r="J210" s="2046"/>
      <c r="K210" s="2046"/>
      <c r="L210" s="2046"/>
      <c r="M210" s="1065">
        <f>SUM(F210:K210)</f>
        <v>14848815</v>
      </c>
      <c r="N210" s="1065">
        <f>SUM(G210:L210)</f>
        <v>12976994</v>
      </c>
      <c r="O210" s="2950"/>
    </row>
    <row r="211" spans="1:17">
      <c r="A211" s="2932"/>
      <c r="B211" s="538" t="s">
        <v>22</v>
      </c>
      <c r="C211" s="702"/>
      <c r="D211" s="2018">
        <f>+D214+D212</f>
        <v>21032041</v>
      </c>
      <c r="E211" s="2018">
        <f t="shared" ref="E211" si="126">+E214+E212</f>
        <v>0</v>
      </c>
      <c r="F211" s="2018">
        <f t="shared" ref="F211" si="127">+F214+F212</f>
        <v>3500000</v>
      </c>
      <c r="G211" s="2018">
        <f t="shared" ref="G211" si="128">+G214+G212</f>
        <v>17532041</v>
      </c>
      <c r="H211" s="2018"/>
      <c r="I211" s="2018"/>
      <c r="J211" s="2018"/>
      <c r="K211" s="2018"/>
      <c r="L211" s="2018"/>
      <c r="M211" s="2867" t="s">
        <v>23</v>
      </c>
      <c r="N211" s="2867" t="s">
        <v>23</v>
      </c>
      <c r="O211" s="2971" t="s">
        <v>102</v>
      </c>
      <c r="P211" s="491"/>
      <c r="Q211" s="491">
        <v>-1230552</v>
      </c>
    </row>
    <row r="212" spans="1:17" ht="12" customHeight="1">
      <c r="A212" s="2932"/>
      <c r="B212" s="2049" t="s">
        <v>24</v>
      </c>
      <c r="C212" s="2920" t="s">
        <v>196</v>
      </c>
      <c r="D212" s="2021">
        <f>+D213</f>
        <v>6183226</v>
      </c>
      <c r="E212" s="2021">
        <f t="shared" ref="E212:G212" si="129">+E213</f>
        <v>0</v>
      </c>
      <c r="F212" s="2021">
        <f t="shared" si="129"/>
        <v>1628179</v>
      </c>
      <c r="G212" s="2021">
        <f t="shared" si="129"/>
        <v>4555047</v>
      </c>
      <c r="H212" s="2021"/>
      <c r="I212" s="2021"/>
      <c r="J212" s="2021"/>
      <c r="K212" s="2021"/>
      <c r="L212" s="2021"/>
      <c r="M212" s="2868"/>
      <c r="N212" s="2868"/>
      <c r="O212" s="2916"/>
    </row>
    <row r="213" spans="1:17" ht="12" customHeight="1">
      <c r="A213" s="2932"/>
      <c r="B213" s="2061" t="s">
        <v>15</v>
      </c>
      <c r="C213" s="2947"/>
      <c r="D213" s="1926">
        <f>E213+F213+G213+H213+I213+J213+K213+L213</f>
        <v>6183226</v>
      </c>
      <c r="E213" s="1990">
        <v>0</v>
      </c>
      <c r="F213" s="1956">
        <f>4895843-1267664-2000000</f>
        <v>1628179</v>
      </c>
      <c r="G213" s="1956">
        <f>4774157+1267664-1486774</f>
        <v>4555047</v>
      </c>
      <c r="H213" s="1956"/>
      <c r="I213" s="1956"/>
      <c r="J213" s="1956"/>
      <c r="K213" s="1956"/>
      <c r="L213" s="1956"/>
      <c r="M213" s="2868"/>
      <c r="N213" s="2868"/>
      <c r="O213" s="2916"/>
    </row>
    <row r="214" spans="1:17" s="269" customFormat="1">
      <c r="A214" s="2932"/>
      <c r="B214" s="738" t="s">
        <v>18</v>
      </c>
      <c r="C214" s="2947"/>
      <c r="D214" s="2051">
        <f>+D215</f>
        <v>14848815</v>
      </c>
      <c r="E214" s="2051">
        <f t="shared" ref="E214:G214" si="130">+E215</f>
        <v>0</v>
      </c>
      <c r="F214" s="2051">
        <f t="shared" si="130"/>
        <v>1871821</v>
      </c>
      <c r="G214" s="2051">
        <f t="shared" si="130"/>
        <v>12976994</v>
      </c>
      <c r="H214" s="2051"/>
      <c r="I214" s="2051"/>
      <c r="J214" s="2051"/>
      <c r="K214" s="2051"/>
      <c r="L214" s="2051"/>
      <c r="M214" s="2868"/>
      <c r="N214" s="2868"/>
      <c r="O214" s="2916"/>
    </row>
    <row r="215" spans="1:17" s="269" customFormat="1" ht="13.5" thickBot="1">
      <c r="A215" s="2957"/>
      <c r="B215" s="1072" t="s">
        <v>21</v>
      </c>
      <c r="C215" s="2935"/>
      <c r="D215" s="1027">
        <f>E215+F215+G215+H215+I215+J215+K215+L215</f>
        <v>14848815</v>
      </c>
      <c r="E215" s="1027">
        <v>0</v>
      </c>
      <c r="F215" s="526">
        <f>5649157-3777336</f>
        <v>1871821</v>
      </c>
      <c r="G215" s="526">
        <f>14225843+3777336-5026185</f>
        <v>12976994</v>
      </c>
      <c r="H215" s="526"/>
      <c r="I215" s="526"/>
      <c r="J215" s="526"/>
      <c r="K215" s="526"/>
      <c r="L215" s="526"/>
      <c r="M215" s="2869"/>
      <c r="N215" s="2869"/>
      <c r="O215" s="2917"/>
    </row>
    <row r="216" spans="1:17" ht="42.75" customHeight="1">
      <c r="A216" s="2931" t="s">
        <v>94</v>
      </c>
      <c r="B216" s="447" t="s">
        <v>450</v>
      </c>
      <c r="C216" s="59" t="s">
        <v>81</v>
      </c>
      <c r="D216" s="904"/>
      <c r="E216" s="44"/>
      <c r="F216" s="44"/>
      <c r="G216" s="44"/>
      <c r="H216" s="44"/>
      <c r="I216" s="44"/>
      <c r="J216" s="44"/>
      <c r="K216" s="44"/>
      <c r="L216" s="44"/>
      <c r="M216" s="45"/>
      <c r="N216" s="45"/>
      <c r="O216" s="2942" t="s">
        <v>86</v>
      </c>
    </row>
    <row r="217" spans="1:17" ht="15.75" customHeight="1">
      <c r="A217" s="2932"/>
      <c r="B217" s="538" t="s">
        <v>10</v>
      </c>
      <c r="C217" s="2081"/>
      <c r="D217" s="2082">
        <f>+D218+D221</f>
        <v>27263322</v>
      </c>
      <c r="E217" s="2082">
        <f t="shared" ref="E217" si="131">+E218+E221</f>
        <v>813322</v>
      </c>
      <c r="F217" s="2082">
        <f t="shared" ref="F217" si="132">+F218+F221</f>
        <v>761900</v>
      </c>
      <c r="G217" s="2082">
        <f t="shared" ref="G217:H217" si="133">+G218+G221</f>
        <v>19850000</v>
      </c>
      <c r="H217" s="2082">
        <f t="shared" si="133"/>
        <v>5838100</v>
      </c>
      <c r="I217" s="2082"/>
      <c r="J217" s="2082"/>
      <c r="K217" s="2082"/>
      <c r="L217" s="2082"/>
      <c r="M217" s="2123">
        <f>+M218+M221</f>
        <v>26450000</v>
      </c>
      <c r="N217" s="2123">
        <f>+N218+N221</f>
        <v>25688100</v>
      </c>
      <c r="O217" s="2949"/>
      <c r="P217" s="237" t="s">
        <v>285</v>
      </c>
    </row>
    <row r="218" spans="1:17" ht="13.5" customHeight="1">
      <c r="A218" s="2932"/>
      <c r="B218" s="734" t="s">
        <v>24</v>
      </c>
      <c r="C218" s="2951" t="s">
        <v>84</v>
      </c>
      <c r="D218" s="2083">
        <f>+D219+D220</f>
        <v>4780822</v>
      </c>
      <c r="E218" s="2083">
        <f t="shared" ref="E218" si="134">+E219+E220</f>
        <v>813322</v>
      </c>
      <c r="F218" s="2083">
        <f>+F219+F220</f>
        <v>471285</v>
      </c>
      <c r="G218" s="2083">
        <f>+G219+G220</f>
        <v>2977500</v>
      </c>
      <c r="H218" s="2083">
        <f>+H219+H220</f>
        <v>518715</v>
      </c>
      <c r="I218" s="2083"/>
      <c r="J218" s="2083"/>
      <c r="K218" s="2083"/>
      <c r="L218" s="2083"/>
      <c r="M218" s="2084">
        <f>+M219</f>
        <v>3967500</v>
      </c>
      <c r="N218" s="2084">
        <f>+N219</f>
        <v>3496215</v>
      </c>
      <c r="O218" s="2949"/>
      <c r="P218" s="491"/>
    </row>
    <row r="219" spans="1:17" ht="13.5" customHeight="1">
      <c r="A219" s="2932"/>
      <c r="B219" s="811" t="s">
        <v>12</v>
      </c>
      <c r="C219" s="2952"/>
      <c r="D219" s="1034">
        <f>E219+F219+G219+H219+I219+J219+K219+L219</f>
        <v>3972994</v>
      </c>
      <c r="E219" s="1990">
        <v>5494</v>
      </c>
      <c r="F219" s="2046">
        <f>990000-518715</f>
        <v>471285</v>
      </c>
      <c r="G219" s="2046">
        <f>2977500</f>
        <v>2977500</v>
      </c>
      <c r="H219" s="2046">
        <v>518715</v>
      </c>
      <c r="I219" s="2046"/>
      <c r="J219" s="2046"/>
      <c r="K219" s="2046"/>
      <c r="L219" s="2046"/>
      <c r="M219" s="2047">
        <f>SUM(F219:K219)</f>
        <v>3967500</v>
      </c>
      <c r="N219" s="2047">
        <f>SUM(G219:L219)</f>
        <v>3496215</v>
      </c>
      <c r="O219" s="2949"/>
    </row>
    <row r="220" spans="1:17" ht="13.5" customHeight="1">
      <c r="A220" s="2932"/>
      <c r="B220" s="1088" t="s">
        <v>15</v>
      </c>
      <c r="C220" s="2952"/>
      <c r="D220" s="1034">
        <f>E220+F220+G220+H220+I220+J220+K220+L220</f>
        <v>807828</v>
      </c>
      <c r="E220" s="1990">
        <v>807828</v>
      </c>
      <c r="F220" s="1089">
        <v>0</v>
      </c>
      <c r="G220" s="1089">
        <v>0</v>
      </c>
      <c r="H220" s="1089"/>
      <c r="I220" s="1089"/>
      <c r="J220" s="1089"/>
      <c r="K220" s="1089"/>
      <c r="L220" s="1089"/>
      <c r="M220" s="2047">
        <f>SUM(F220:K220)</f>
        <v>0</v>
      </c>
      <c r="N220" s="2047">
        <f>SUM(G220:L220)</f>
        <v>0</v>
      </c>
      <c r="O220" s="2949"/>
    </row>
    <row r="221" spans="1:17" ht="13.5" customHeight="1">
      <c r="A221" s="2932"/>
      <c r="B221" s="1069" t="s">
        <v>18</v>
      </c>
      <c r="C221" s="2952"/>
      <c r="D221" s="2021">
        <f>+D222</f>
        <v>22482500</v>
      </c>
      <c r="E221" s="2021">
        <f t="shared" ref="E221:H221" si="135">+E222</f>
        <v>0</v>
      </c>
      <c r="F221" s="2021">
        <f t="shared" si="135"/>
        <v>290615</v>
      </c>
      <c r="G221" s="2021">
        <f t="shared" si="135"/>
        <v>16872500</v>
      </c>
      <c r="H221" s="2021">
        <f t="shared" si="135"/>
        <v>5319385</v>
      </c>
      <c r="I221" s="2021"/>
      <c r="J221" s="2021"/>
      <c r="K221" s="2021"/>
      <c r="L221" s="2021"/>
      <c r="M221" s="2022">
        <f>+M222</f>
        <v>22482500</v>
      </c>
      <c r="N221" s="2022">
        <f>+N222</f>
        <v>22191885</v>
      </c>
      <c r="O221" s="2949"/>
    </row>
    <row r="222" spans="1:17" ht="13.5" customHeight="1">
      <c r="A222" s="2932"/>
      <c r="B222" s="744" t="s">
        <v>21</v>
      </c>
      <c r="C222" s="2953"/>
      <c r="D222" s="1034">
        <f>E222+F222+G222+H222+I222+J222+K222+L222</f>
        <v>22482500</v>
      </c>
      <c r="E222" s="1990">
        <v>0</v>
      </c>
      <c r="F222" s="2046">
        <f>5610000-5319385</f>
        <v>290615</v>
      </c>
      <c r="G222" s="2046">
        <v>16872500</v>
      </c>
      <c r="H222" s="2046">
        <v>5319385</v>
      </c>
      <c r="I222" s="2046"/>
      <c r="J222" s="2046"/>
      <c r="K222" s="2046"/>
      <c r="L222" s="2046"/>
      <c r="M222" s="2047">
        <f>SUM(F222:K222)</f>
        <v>22482500</v>
      </c>
      <c r="N222" s="2047">
        <f>SUM(G222:L222)</f>
        <v>22191885</v>
      </c>
      <c r="O222" s="2950"/>
    </row>
    <row r="223" spans="1:17" ht="15" customHeight="1">
      <c r="A223" s="2932"/>
      <c r="B223" s="538" t="s">
        <v>22</v>
      </c>
      <c r="C223" s="702"/>
      <c r="D223" s="2018">
        <f>+D226+D224</f>
        <v>23290328</v>
      </c>
      <c r="E223" s="2018">
        <f t="shared" ref="E223" si="136">+E226+E224</f>
        <v>807828</v>
      </c>
      <c r="F223" s="2018">
        <f t="shared" ref="F223:H223" si="137">+F226+F224</f>
        <v>0</v>
      </c>
      <c r="G223" s="2018">
        <f t="shared" si="137"/>
        <v>17163115</v>
      </c>
      <c r="H223" s="2018">
        <f t="shared" si="137"/>
        <v>5319385</v>
      </c>
      <c r="I223" s="2018"/>
      <c r="J223" s="2018"/>
      <c r="K223" s="2018"/>
      <c r="L223" s="2018"/>
      <c r="M223" s="2871" t="s">
        <v>23</v>
      </c>
      <c r="N223" s="2871" t="s">
        <v>23</v>
      </c>
      <c r="O223" s="2936" t="s">
        <v>102</v>
      </c>
      <c r="P223" s="491"/>
      <c r="Q223" s="491">
        <v>-1230552</v>
      </c>
    </row>
    <row r="224" spans="1:17" ht="12" customHeight="1">
      <c r="A224" s="2932"/>
      <c r="B224" s="2025" t="s">
        <v>24</v>
      </c>
      <c r="C224" s="2887" t="s">
        <v>196</v>
      </c>
      <c r="D224" s="2021">
        <f>+D225</f>
        <v>807828</v>
      </c>
      <c r="E224" s="2021">
        <f t="shared" ref="E224:H224" si="138">+E225</f>
        <v>807828</v>
      </c>
      <c r="F224" s="2021">
        <f t="shared" si="138"/>
        <v>0</v>
      </c>
      <c r="G224" s="2021">
        <f t="shared" si="138"/>
        <v>0</v>
      </c>
      <c r="H224" s="2021">
        <f t="shared" si="138"/>
        <v>0</v>
      </c>
      <c r="I224" s="2021"/>
      <c r="J224" s="2021"/>
      <c r="K224" s="2021"/>
      <c r="L224" s="2021"/>
      <c r="M224" s="2868"/>
      <c r="N224" s="2868"/>
      <c r="O224" s="2916"/>
    </row>
    <row r="225" spans="1:17" ht="12" customHeight="1">
      <c r="A225" s="2932"/>
      <c r="B225" s="2061" t="s">
        <v>15</v>
      </c>
      <c r="C225" s="2947"/>
      <c r="D225" s="1034">
        <f>E225+F225+G225+H225+I225+J225+K225+L225</f>
        <v>807828</v>
      </c>
      <c r="E225" s="1990">
        <v>807828</v>
      </c>
      <c r="F225" s="2050"/>
      <c r="G225" s="2050"/>
      <c r="H225" s="2050"/>
      <c r="I225" s="2050"/>
      <c r="J225" s="2050"/>
      <c r="K225" s="2050"/>
      <c r="L225" s="2050"/>
      <c r="M225" s="2868"/>
      <c r="N225" s="2868"/>
      <c r="O225" s="2916"/>
    </row>
    <row r="226" spans="1:17" s="269" customFormat="1" ht="13.5" customHeight="1">
      <c r="A226" s="2932"/>
      <c r="B226" s="738" t="s">
        <v>18</v>
      </c>
      <c r="C226" s="2947"/>
      <c r="D226" s="2051">
        <f>+D227</f>
        <v>22482500</v>
      </c>
      <c r="E226" s="2051">
        <f t="shared" ref="E226:H226" si="139">+E227</f>
        <v>0</v>
      </c>
      <c r="F226" s="2051">
        <f t="shared" si="139"/>
        <v>0</v>
      </c>
      <c r="G226" s="2051">
        <f t="shared" si="139"/>
        <v>17163115</v>
      </c>
      <c r="H226" s="2051">
        <f t="shared" si="139"/>
        <v>5319385</v>
      </c>
      <c r="I226" s="2051"/>
      <c r="J226" s="2051"/>
      <c r="K226" s="2051"/>
      <c r="L226" s="2051"/>
      <c r="M226" s="2868"/>
      <c r="N226" s="2868"/>
      <c r="O226" s="2916"/>
    </row>
    <row r="227" spans="1:17" s="269" customFormat="1" ht="13.5" thickBot="1">
      <c r="A227" s="2957"/>
      <c r="B227" s="1072" t="s">
        <v>21</v>
      </c>
      <c r="C227" s="2935"/>
      <c r="D227" s="1027">
        <f>E227+F227+G227+H227+I227+J227+K227+L227</f>
        <v>22482500</v>
      </c>
      <c r="E227" s="1027">
        <v>0</v>
      </c>
      <c r="F227" s="526">
        <f>5610000-5610000</f>
        <v>0</v>
      </c>
      <c r="G227" s="526">
        <f>16872500+290615</f>
        <v>17163115</v>
      </c>
      <c r="H227" s="526">
        <v>5319385</v>
      </c>
      <c r="I227" s="526"/>
      <c r="J227" s="526"/>
      <c r="K227" s="526"/>
      <c r="L227" s="526"/>
      <c r="M227" s="2869"/>
      <c r="N227" s="2869"/>
      <c r="O227" s="2917"/>
    </row>
    <row r="228" spans="1:17" ht="42.75" customHeight="1">
      <c r="A228" s="2931" t="s">
        <v>95</v>
      </c>
      <c r="B228" s="447" t="s">
        <v>509</v>
      </c>
      <c r="C228" s="59" t="s">
        <v>81</v>
      </c>
      <c r="D228" s="904"/>
      <c r="E228" s="44"/>
      <c r="F228" s="44"/>
      <c r="G228" s="44"/>
      <c r="H228" s="44"/>
      <c r="I228" s="44"/>
      <c r="J228" s="44"/>
      <c r="K228" s="44"/>
      <c r="L228" s="44"/>
      <c r="M228" s="45"/>
      <c r="N228" s="45"/>
      <c r="O228" s="2942" t="s">
        <v>86</v>
      </c>
    </row>
    <row r="229" spans="1:17" ht="13.5" customHeight="1">
      <c r="A229" s="2932"/>
      <c r="B229" s="538" t="s">
        <v>10</v>
      </c>
      <c r="C229" s="2604"/>
      <c r="D229" s="1054">
        <f>+D230+D233</f>
        <v>11002205</v>
      </c>
      <c r="E229" s="1054">
        <f t="shared" ref="E229" si="140">+E230+E233</f>
        <v>0</v>
      </c>
      <c r="F229" s="1054">
        <f t="shared" ref="F229:G229" si="141">+F230+F233</f>
        <v>2729976</v>
      </c>
      <c r="G229" s="1054">
        <f t="shared" si="141"/>
        <v>8272229</v>
      </c>
      <c r="H229" s="1054"/>
      <c r="I229" s="1054"/>
      <c r="J229" s="1054"/>
      <c r="K229" s="1054"/>
      <c r="L229" s="1054"/>
      <c r="M229" s="1039">
        <f>+M230+M233</f>
        <v>11002205</v>
      </c>
      <c r="N229" s="1039">
        <f>+N230+N233</f>
        <v>7901784</v>
      </c>
      <c r="O229" s="2949"/>
    </row>
    <row r="230" spans="1:17" ht="13.5" customHeight="1">
      <c r="A230" s="2932"/>
      <c r="B230" s="734" t="s">
        <v>24</v>
      </c>
      <c r="C230" s="2951" t="s">
        <v>84</v>
      </c>
      <c r="D230" s="784">
        <f>+D231+D232</f>
        <v>2168259</v>
      </c>
      <c r="E230" s="784">
        <f t="shared" ref="E230" si="142">+E231+E232</f>
        <v>0</v>
      </c>
      <c r="F230" s="784">
        <f>+F231+F232</f>
        <v>609826</v>
      </c>
      <c r="G230" s="784">
        <f>+G231+G232</f>
        <v>1558433</v>
      </c>
      <c r="H230" s="784"/>
      <c r="I230" s="784"/>
      <c r="J230" s="784"/>
      <c r="K230" s="784"/>
      <c r="L230" s="784"/>
      <c r="M230" s="819">
        <f>+M231+M232</f>
        <v>2168259</v>
      </c>
      <c r="N230" s="819">
        <f>+N231</f>
        <v>1187988</v>
      </c>
      <c r="O230" s="2949"/>
      <c r="P230" s="491"/>
    </row>
    <row r="231" spans="1:17" ht="13.5" customHeight="1">
      <c r="A231" s="2932"/>
      <c r="B231" s="811" t="s">
        <v>12</v>
      </c>
      <c r="C231" s="2952"/>
      <c r="D231" s="251">
        <f>E231+F231+G231+H231+I231+J231+K231+L231</f>
        <v>1658932</v>
      </c>
      <c r="E231" s="289">
        <v>0</v>
      </c>
      <c r="F231" s="792">
        <f>520000-5922-43134</f>
        <v>470944</v>
      </c>
      <c r="G231" s="792">
        <f>1260000-17764-54248</f>
        <v>1187988</v>
      </c>
      <c r="H231" s="792"/>
      <c r="I231" s="792"/>
      <c r="J231" s="792"/>
      <c r="K231" s="792"/>
      <c r="L231" s="792"/>
      <c r="M231" s="1065">
        <f>SUM(F231:K231)</f>
        <v>1658932</v>
      </c>
      <c r="N231" s="1065">
        <f>SUM(G231:L231)</f>
        <v>1187988</v>
      </c>
      <c r="O231" s="2949"/>
    </row>
    <row r="232" spans="1:17" ht="13.5" customHeight="1">
      <c r="A232" s="2932"/>
      <c r="B232" s="1088" t="s">
        <v>15</v>
      </c>
      <c r="C232" s="2952"/>
      <c r="D232" s="251">
        <f>E232+F232+G232+H232+I232+J232+K232+L232</f>
        <v>509327</v>
      </c>
      <c r="E232" s="2605">
        <v>0</v>
      </c>
      <c r="F232" s="1089">
        <v>138882</v>
      </c>
      <c r="G232" s="1089">
        <v>370445</v>
      </c>
      <c r="H232" s="1089"/>
      <c r="I232" s="1089"/>
      <c r="J232" s="1089"/>
      <c r="K232" s="1089"/>
      <c r="L232" s="1089"/>
      <c r="M232" s="1065">
        <f>SUM(E232:K232)</f>
        <v>509327</v>
      </c>
      <c r="N232" s="1065">
        <f>SUM(F232:L232)</f>
        <v>509327</v>
      </c>
      <c r="O232" s="2949"/>
    </row>
    <row r="233" spans="1:17" ht="13.5" customHeight="1">
      <c r="A233" s="2932"/>
      <c r="B233" s="738" t="s">
        <v>18</v>
      </c>
      <c r="C233" s="2952"/>
      <c r="D233" s="711">
        <f>+D234</f>
        <v>8833946</v>
      </c>
      <c r="E233" s="711">
        <f t="shared" ref="E233:G233" si="143">+E234</f>
        <v>0</v>
      </c>
      <c r="F233" s="711">
        <f t="shared" si="143"/>
        <v>2120150</v>
      </c>
      <c r="G233" s="711">
        <f t="shared" si="143"/>
        <v>6713796</v>
      </c>
      <c r="H233" s="711"/>
      <c r="I233" s="711"/>
      <c r="J233" s="711"/>
      <c r="K233" s="711"/>
      <c r="L233" s="711"/>
      <c r="M233" s="707">
        <f>+M234</f>
        <v>8833946</v>
      </c>
      <c r="N233" s="707">
        <f>+N234</f>
        <v>6713796</v>
      </c>
      <c r="O233" s="2949"/>
    </row>
    <row r="234" spans="1:17" ht="13.5" customHeight="1">
      <c r="A234" s="2932"/>
      <c r="B234" s="744" t="s">
        <v>21</v>
      </c>
      <c r="C234" s="2953"/>
      <c r="D234" s="251">
        <f>E234+F234+G234+H234+I234+J234+K234+L234</f>
        <v>8833946</v>
      </c>
      <c r="E234" s="289">
        <v>0</v>
      </c>
      <c r="F234" s="792">
        <f>2380000-33554-226296</f>
        <v>2120150</v>
      </c>
      <c r="G234" s="792">
        <f>7140000-100662-325542</f>
        <v>6713796</v>
      </c>
      <c r="H234" s="792"/>
      <c r="I234" s="792"/>
      <c r="J234" s="792"/>
      <c r="K234" s="792"/>
      <c r="L234" s="792"/>
      <c r="M234" s="1065">
        <f>SUM(F234:K234)</f>
        <v>8833946</v>
      </c>
      <c r="N234" s="1065">
        <f>SUM(G234:L234)</f>
        <v>6713796</v>
      </c>
      <c r="O234" s="2950"/>
    </row>
    <row r="235" spans="1:17" ht="18" customHeight="1">
      <c r="A235" s="2932"/>
      <c r="B235" s="538" t="s">
        <v>22</v>
      </c>
      <c r="C235" s="702"/>
      <c r="D235" s="780">
        <f>+D238+D236</f>
        <v>9343273</v>
      </c>
      <c r="E235" s="780">
        <f t="shared" ref="E235" si="144">+E238+E236</f>
        <v>0</v>
      </c>
      <c r="F235" s="780">
        <f t="shared" ref="F235:G235" si="145">+F238+F236</f>
        <v>2259032</v>
      </c>
      <c r="G235" s="780">
        <f t="shared" si="145"/>
        <v>7084241</v>
      </c>
      <c r="H235" s="780"/>
      <c r="I235" s="780"/>
      <c r="J235" s="780"/>
      <c r="K235" s="780"/>
      <c r="L235" s="780"/>
      <c r="M235" s="2871" t="s">
        <v>23</v>
      </c>
      <c r="N235" s="2871" t="s">
        <v>23</v>
      </c>
      <c r="O235" s="2936" t="s">
        <v>102</v>
      </c>
      <c r="P235" s="491"/>
      <c r="Q235" s="491">
        <v>-1230552</v>
      </c>
    </row>
    <row r="236" spans="1:17" ht="12" customHeight="1">
      <c r="A236" s="2932"/>
      <c r="B236" s="2606" t="s">
        <v>24</v>
      </c>
      <c r="C236" s="2887" t="s">
        <v>196</v>
      </c>
      <c r="D236" s="711">
        <f>+D237</f>
        <v>509327</v>
      </c>
      <c r="E236" s="711">
        <f t="shared" ref="E236:G236" si="146">+E237</f>
        <v>0</v>
      </c>
      <c r="F236" s="711">
        <f t="shared" si="146"/>
        <v>138882</v>
      </c>
      <c r="G236" s="711">
        <f t="shared" si="146"/>
        <v>370445</v>
      </c>
      <c r="H236" s="711"/>
      <c r="I236" s="711"/>
      <c r="J236" s="711"/>
      <c r="K236" s="711"/>
      <c r="L236" s="711"/>
      <c r="M236" s="2868"/>
      <c r="N236" s="2868"/>
      <c r="O236" s="2916"/>
    </row>
    <row r="237" spans="1:17" ht="12" customHeight="1">
      <c r="A237" s="2932"/>
      <c r="B237" s="1064" t="s">
        <v>15</v>
      </c>
      <c r="C237" s="2947"/>
      <c r="D237" s="251">
        <f>E237+F237+G237+H237+I237+J237+K237+L237</f>
        <v>509327</v>
      </c>
      <c r="E237" s="1046"/>
      <c r="F237" s="1046">
        <v>138882</v>
      </c>
      <c r="G237" s="1046">
        <v>370445</v>
      </c>
      <c r="H237" s="1046"/>
      <c r="I237" s="1046"/>
      <c r="J237" s="1046"/>
      <c r="K237" s="1046"/>
      <c r="L237" s="1046"/>
      <c r="M237" s="2868"/>
      <c r="N237" s="2868"/>
      <c r="O237" s="2916"/>
    </row>
    <row r="238" spans="1:17" s="269" customFormat="1" ht="13.5" customHeight="1">
      <c r="A238" s="2932"/>
      <c r="B238" s="738" t="s">
        <v>18</v>
      </c>
      <c r="C238" s="2947"/>
      <c r="D238" s="974">
        <f>+D239</f>
        <v>8833946</v>
      </c>
      <c r="E238" s="974">
        <f t="shared" ref="E238:G238" si="147">+E239</f>
        <v>0</v>
      </c>
      <c r="F238" s="974">
        <f t="shared" si="147"/>
        <v>2120150</v>
      </c>
      <c r="G238" s="974">
        <f t="shared" si="147"/>
        <v>6713796</v>
      </c>
      <c r="H238" s="974"/>
      <c r="I238" s="974"/>
      <c r="J238" s="974"/>
      <c r="K238" s="974"/>
      <c r="L238" s="974"/>
      <c r="M238" s="2868"/>
      <c r="N238" s="2868"/>
      <c r="O238" s="2916"/>
    </row>
    <row r="239" spans="1:17" s="269" customFormat="1" ht="13.5" thickBot="1">
      <c r="A239" s="2957"/>
      <c r="B239" s="1072" t="s">
        <v>21</v>
      </c>
      <c r="C239" s="2935"/>
      <c r="D239" s="251">
        <f>E239+F239+G239+H239+I239+J239+K239+L239</f>
        <v>8833946</v>
      </c>
      <c r="E239" s="289">
        <v>0</v>
      </c>
      <c r="F239" s="526">
        <f>2380000-33554-226296</f>
        <v>2120150</v>
      </c>
      <c r="G239" s="526">
        <f>7140000-100662-325542</f>
        <v>6713796</v>
      </c>
      <c r="H239" s="526"/>
      <c r="I239" s="526"/>
      <c r="J239" s="526"/>
      <c r="K239" s="526"/>
      <c r="L239" s="526"/>
      <c r="M239" s="2869"/>
      <c r="N239" s="2869"/>
      <c r="O239" s="2917"/>
    </row>
    <row r="240" spans="1:17" ht="25.5" customHeight="1">
      <c r="A240" s="2931" t="s">
        <v>96</v>
      </c>
      <c r="B240" s="447" t="s">
        <v>510</v>
      </c>
      <c r="C240" s="59" t="s">
        <v>81</v>
      </c>
      <c r="D240" s="904"/>
      <c r="E240" s="44"/>
      <c r="F240" s="44"/>
      <c r="G240" s="44"/>
      <c r="H240" s="44"/>
      <c r="I240" s="44"/>
      <c r="J240" s="44"/>
      <c r="K240" s="44"/>
      <c r="L240" s="44"/>
      <c r="M240" s="45"/>
      <c r="N240" s="45"/>
      <c r="O240" s="2942" t="s">
        <v>86</v>
      </c>
    </row>
    <row r="241" spans="1:17" ht="15.75" customHeight="1">
      <c r="A241" s="2932"/>
      <c r="B241" s="538" t="s">
        <v>10</v>
      </c>
      <c r="C241" s="2604"/>
      <c r="D241" s="1054">
        <f>+D242+D245</f>
        <v>20852656</v>
      </c>
      <c r="E241" s="1054">
        <f t="shared" ref="E241" si="148">+E242+E245</f>
        <v>0</v>
      </c>
      <c r="F241" s="1054">
        <f t="shared" ref="F241:G241" si="149">+F242+F245</f>
        <v>2200000</v>
      </c>
      <c r="G241" s="1054">
        <f t="shared" si="149"/>
        <v>18652656</v>
      </c>
      <c r="H241" s="1054"/>
      <c r="I241" s="1054"/>
      <c r="J241" s="1054"/>
      <c r="K241" s="1054"/>
      <c r="L241" s="1054"/>
      <c r="M241" s="1039">
        <f>+M242+M245</f>
        <v>20852656</v>
      </c>
      <c r="N241" s="1039">
        <f>+N242+N245</f>
        <v>18652656</v>
      </c>
      <c r="O241" s="2949"/>
      <c r="P241" s="237" t="s">
        <v>499</v>
      </c>
    </row>
    <row r="242" spans="1:17" ht="13.5" customHeight="1">
      <c r="A242" s="2932"/>
      <c r="B242" s="734" t="s">
        <v>24</v>
      </c>
      <c r="C242" s="2951" t="s">
        <v>84</v>
      </c>
      <c r="D242" s="784">
        <f>+D243+D244</f>
        <v>3212898</v>
      </c>
      <c r="E242" s="784">
        <f t="shared" ref="E242" si="150">+E243+E244</f>
        <v>0</v>
      </c>
      <c r="F242" s="784">
        <f>+F243+F244</f>
        <v>389500</v>
      </c>
      <c r="G242" s="784">
        <f>+G243+G244</f>
        <v>2823398</v>
      </c>
      <c r="H242" s="784"/>
      <c r="I242" s="784"/>
      <c r="J242" s="784"/>
      <c r="K242" s="784"/>
      <c r="L242" s="784"/>
      <c r="M242" s="819">
        <f>+M243</f>
        <v>3212898</v>
      </c>
      <c r="N242" s="819">
        <f>+N243</f>
        <v>2823398</v>
      </c>
      <c r="O242" s="2949"/>
      <c r="P242" s="491"/>
    </row>
    <row r="243" spans="1:17" ht="13.5" customHeight="1">
      <c r="A243" s="2932"/>
      <c r="B243" s="811" t="s">
        <v>12</v>
      </c>
      <c r="C243" s="2952"/>
      <c r="D243" s="251">
        <f>E243+F243+G243+H243+I243+J243+K243+L243</f>
        <v>3212898</v>
      </c>
      <c r="E243" s="289">
        <v>0</v>
      </c>
      <c r="F243" s="792">
        <f>824400-289400-195000+49500</f>
        <v>389500</v>
      </c>
      <c r="G243" s="792">
        <f>4671600-1971600+172898-49500</f>
        <v>2823398</v>
      </c>
      <c r="H243" s="792"/>
      <c r="I243" s="792"/>
      <c r="J243" s="792"/>
      <c r="K243" s="792"/>
      <c r="L243" s="792"/>
      <c r="M243" s="1065">
        <f>SUM(F243:K243)</f>
        <v>3212898</v>
      </c>
      <c r="N243" s="1065">
        <f>SUM(G243:L243)</f>
        <v>2823398</v>
      </c>
      <c r="O243" s="2949"/>
    </row>
    <row r="244" spans="1:17" ht="13.5" hidden="1" customHeight="1">
      <c r="A244" s="2932"/>
      <c r="B244" s="1088" t="s">
        <v>15</v>
      </c>
      <c r="C244" s="2952"/>
      <c r="D244" s="251">
        <f>E244+F244+G244+H244+I244+J244+K244+L244</f>
        <v>0</v>
      </c>
      <c r="E244" s="2605">
        <v>0</v>
      </c>
      <c r="F244" s="1089">
        <v>0</v>
      </c>
      <c r="G244" s="1089">
        <v>0</v>
      </c>
      <c r="H244" s="1089"/>
      <c r="I244" s="1089"/>
      <c r="J244" s="1089"/>
      <c r="K244" s="1089"/>
      <c r="L244" s="1089"/>
      <c r="M244" s="1065">
        <f>SUM(E244:K244)</f>
        <v>0</v>
      </c>
      <c r="N244" s="1065">
        <f>SUM(F244:L244)</f>
        <v>0</v>
      </c>
      <c r="O244" s="2949"/>
    </row>
    <row r="245" spans="1:17" ht="13.5" customHeight="1">
      <c r="A245" s="2932"/>
      <c r="B245" s="1069" t="s">
        <v>18</v>
      </c>
      <c r="C245" s="2952"/>
      <c r="D245" s="711">
        <f>+D246</f>
        <v>17639758</v>
      </c>
      <c r="E245" s="711">
        <f t="shared" ref="E245:G245" si="151">+E246</f>
        <v>0</v>
      </c>
      <c r="F245" s="711">
        <f t="shared" si="151"/>
        <v>1810500</v>
      </c>
      <c r="G245" s="711">
        <f t="shared" si="151"/>
        <v>15829258</v>
      </c>
      <c r="H245" s="711"/>
      <c r="I245" s="711"/>
      <c r="J245" s="711"/>
      <c r="K245" s="711"/>
      <c r="L245" s="711"/>
      <c r="M245" s="707">
        <f>+M246</f>
        <v>17639758</v>
      </c>
      <c r="N245" s="707">
        <f>+N246</f>
        <v>15829258</v>
      </c>
      <c r="O245" s="2949"/>
    </row>
    <row r="246" spans="1:17" ht="13.5" customHeight="1">
      <c r="A246" s="2932"/>
      <c r="B246" s="744" t="s">
        <v>21</v>
      </c>
      <c r="C246" s="2953"/>
      <c r="D246" s="251">
        <f>E246+F246+G246+H246+I246+J246+K246+L246</f>
        <v>17639758</v>
      </c>
      <c r="E246" s="289">
        <v>0</v>
      </c>
      <c r="F246" s="792">
        <f>4671600-2206600-1105000+450500</f>
        <v>1810500</v>
      </c>
      <c r="G246" s="792">
        <f>26472400-11172400+979758-450500</f>
        <v>15829258</v>
      </c>
      <c r="H246" s="792"/>
      <c r="I246" s="792"/>
      <c r="J246" s="792"/>
      <c r="K246" s="792"/>
      <c r="L246" s="792"/>
      <c r="M246" s="1065">
        <f>SUM(F246:K246)</f>
        <v>17639758</v>
      </c>
      <c r="N246" s="1065">
        <f>SUM(G246:L246)</f>
        <v>15829258</v>
      </c>
      <c r="O246" s="2950"/>
    </row>
    <row r="247" spans="1:17">
      <c r="A247" s="2932"/>
      <c r="B247" s="538" t="s">
        <v>22</v>
      </c>
      <c r="C247" s="702"/>
      <c r="D247" s="780">
        <f>+D250+D248</f>
        <v>17639758</v>
      </c>
      <c r="E247" s="780">
        <f t="shared" ref="E247" si="152">+E250+E248</f>
        <v>0</v>
      </c>
      <c r="F247" s="780">
        <f t="shared" ref="F247:G247" si="153">+F250+F248</f>
        <v>1810500</v>
      </c>
      <c r="G247" s="780">
        <f t="shared" si="153"/>
        <v>15829258</v>
      </c>
      <c r="H247" s="780"/>
      <c r="I247" s="780"/>
      <c r="J247" s="780"/>
      <c r="K247" s="780"/>
      <c r="L247" s="780"/>
      <c r="M247" s="2871" t="s">
        <v>23</v>
      </c>
      <c r="N247" s="2871" t="s">
        <v>23</v>
      </c>
      <c r="O247" s="2936" t="s">
        <v>102</v>
      </c>
      <c r="P247" s="491"/>
      <c r="Q247" s="491">
        <v>-1230552</v>
      </c>
    </row>
    <row r="248" spans="1:17" ht="12" hidden="1" customHeight="1">
      <c r="A248" s="2932"/>
      <c r="B248" s="1071" t="s">
        <v>24</v>
      </c>
      <c r="C248" s="2887" t="s">
        <v>196</v>
      </c>
      <c r="D248" s="711">
        <f>+D249</f>
        <v>0</v>
      </c>
      <c r="E248" s="711">
        <f t="shared" ref="E248:G248" si="154">+E249</f>
        <v>0</v>
      </c>
      <c r="F248" s="711">
        <f t="shared" si="154"/>
        <v>0</v>
      </c>
      <c r="G248" s="711">
        <f t="shared" si="154"/>
        <v>0</v>
      </c>
      <c r="H248" s="711"/>
      <c r="I248" s="711"/>
      <c r="J248" s="711"/>
      <c r="K248" s="711"/>
      <c r="L248" s="711"/>
      <c r="M248" s="2868"/>
      <c r="N248" s="2868"/>
      <c r="O248" s="2916"/>
    </row>
    <row r="249" spans="1:17" ht="12" hidden="1" customHeight="1">
      <c r="A249" s="2932"/>
      <c r="B249" s="1064" t="s">
        <v>15</v>
      </c>
      <c r="C249" s="2947"/>
      <c r="D249" s="251">
        <f>E249+F249+G249+H249+I249+J249+K249+L249</f>
        <v>0</v>
      </c>
      <c r="E249" s="1046"/>
      <c r="F249" s="1046"/>
      <c r="G249" s="1046"/>
      <c r="H249" s="1046"/>
      <c r="I249" s="1046"/>
      <c r="J249" s="1046"/>
      <c r="K249" s="1046"/>
      <c r="L249" s="1046"/>
      <c r="M249" s="2868"/>
      <c r="N249" s="2868"/>
      <c r="O249" s="2916"/>
    </row>
    <row r="250" spans="1:17" s="269" customFormat="1" ht="13.5" customHeight="1">
      <c r="A250" s="2932"/>
      <c r="B250" s="738" t="s">
        <v>18</v>
      </c>
      <c r="C250" s="2947"/>
      <c r="D250" s="974">
        <f>+D251</f>
        <v>17639758</v>
      </c>
      <c r="E250" s="974">
        <f t="shared" ref="E250:G250" si="155">+E251</f>
        <v>0</v>
      </c>
      <c r="F250" s="974">
        <f t="shared" si="155"/>
        <v>1810500</v>
      </c>
      <c r="G250" s="974">
        <f t="shared" si="155"/>
        <v>15829258</v>
      </c>
      <c r="H250" s="974"/>
      <c r="I250" s="974"/>
      <c r="J250" s="974"/>
      <c r="K250" s="974"/>
      <c r="L250" s="974"/>
      <c r="M250" s="2868"/>
      <c r="N250" s="2868"/>
      <c r="O250" s="2916"/>
    </row>
    <row r="251" spans="1:17" s="269" customFormat="1" ht="13.5" thickBot="1">
      <c r="A251" s="2957"/>
      <c r="B251" s="1072" t="s">
        <v>21</v>
      </c>
      <c r="C251" s="2935"/>
      <c r="D251" s="251">
        <f>E251+F251+G251+H251+I251+J251+K251+L251</f>
        <v>17639758</v>
      </c>
      <c r="E251" s="289">
        <v>0</v>
      </c>
      <c r="F251" s="526">
        <f>4671600-2206600-1105000+450500</f>
        <v>1810500</v>
      </c>
      <c r="G251" s="526">
        <f>26472400-11172400+979758-450500</f>
        <v>15829258</v>
      </c>
      <c r="H251" s="526"/>
      <c r="I251" s="526"/>
      <c r="J251" s="526"/>
      <c r="K251" s="526"/>
      <c r="L251" s="526"/>
      <c r="M251" s="2869"/>
      <c r="N251" s="2869"/>
      <c r="O251" s="2917"/>
    </row>
    <row r="252" spans="1:17" s="269" customFormat="1" ht="24.75" customHeight="1">
      <c r="A252" s="2931" t="s">
        <v>97</v>
      </c>
      <c r="B252" s="447" t="s">
        <v>511</v>
      </c>
      <c r="C252" s="59" t="s">
        <v>81</v>
      </c>
      <c r="D252" s="904"/>
      <c r="E252" s="44"/>
      <c r="F252" s="44"/>
      <c r="G252" s="44"/>
      <c r="H252" s="44"/>
      <c r="I252" s="44"/>
      <c r="J252" s="44"/>
      <c r="K252" s="44"/>
      <c r="L252" s="44"/>
      <c r="M252" s="45"/>
      <c r="N252" s="45"/>
      <c r="O252" s="2942" t="s">
        <v>86</v>
      </c>
    </row>
    <row r="253" spans="1:17" s="269" customFormat="1">
      <c r="A253" s="2932"/>
      <c r="B253" s="538" t="s">
        <v>10</v>
      </c>
      <c r="C253" s="2607"/>
      <c r="D253" s="2082">
        <f>+D254+D257</f>
        <v>80566500</v>
      </c>
      <c r="E253" s="2082">
        <f t="shared" ref="E253:H253" si="156">+E254+E257</f>
        <v>0</v>
      </c>
      <c r="F253" s="2082">
        <f t="shared" si="156"/>
        <v>592500</v>
      </c>
      <c r="G253" s="2082">
        <f t="shared" si="156"/>
        <v>48944400</v>
      </c>
      <c r="H253" s="2082">
        <f t="shared" si="156"/>
        <v>31029600</v>
      </c>
      <c r="I253" s="2082"/>
      <c r="J253" s="2082"/>
      <c r="K253" s="2082"/>
      <c r="L253" s="2082"/>
      <c r="M253" s="2123">
        <f>+M254+M257</f>
        <v>80566500</v>
      </c>
      <c r="N253" s="2123">
        <f>+N254+N257</f>
        <v>79974000</v>
      </c>
      <c r="O253" s="2949"/>
    </row>
    <row r="254" spans="1:17" s="269" customFormat="1">
      <c r="A254" s="2932"/>
      <c r="B254" s="734" t="s">
        <v>24</v>
      </c>
      <c r="C254" s="2972" t="s">
        <v>84</v>
      </c>
      <c r="D254" s="2083">
        <f>+D255+D256</f>
        <v>12169975</v>
      </c>
      <c r="E254" s="2083">
        <f t="shared" ref="E254" si="157">+E255+E256</f>
        <v>0</v>
      </c>
      <c r="F254" s="2083">
        <f>+F255+F256</f>
        <v>88875</v>
      </c>
      <c r="G254" s="2083">
        <f>+G255+G256</f>
        <v>7426660</v>
      </c>
      <c r="H254" s="2083">
        <f>+H255+H256</f>
        <v>4654440</v>
      </c>
      <c r="I254" s="2083"/>
      <c r="J254" s="2083"/>
      <c r="K254" s="2083"/>
      <c r="L254" s="2083"/>
      <c r="M254" s="2084">
        <f>+M255</f>
        <v>12169975</v>
      </c>
      <c r="N254" s="2084">
        <f>+N255</f>
        <v>12081100</v>
      </c>
      <c r="O254" s="2949"/>
    </row>
    <row r="255" spans="1:17" s="269" customFormat="1">
      <c r="A255" s="2932"/>
      <c r="B255" s="811" t="s">
        <v>12</v>
      </c>
      <c r="C255" s="2952"/>
      <c r="D255" s="1926">
        <f>E255+F255+G255+H255+I255+J255+K255+L255</f>
        <v>12169975</v>
      </c>
      <c r="E255" s="1990">
        <v>0</v>
      </c>
      <c r="F255" s="2046">
        <v>88875</v>
      </c>
      <c r="G255" s="2046">
        <v>7426660</v>
      </c>
      <c r="H255" s="2046">
        <v>4654440</v>
      </c>
      <c r="I255" s="2046"/>
      <c r="J255" s="2046"/>
      <c r="K255" s="2046"/>
      <c r="L255" s="2046"/>
      <c r="M255" s="2047">
        <f>SUM(F255:K255)</f>
        <v>12169975</v>
      </c>
      <c r="N255" s="2047">
        <f>SUM(G255:L255)</f>
        <v>12081100</v>
      </c>
      <c r="O255" s="2949"/>
    </row>
    <row r="256" spans="1:17" s="269" customFormat="1" hidden="1">
      <c r="A256" s="2932"/>
      <c r="B256" s="1088" t="s">
        <v>15</v>
      </c>
      <c r="C256" s="2952"/>
      <c r="D256" s="1926">
        <f>E256+F256+G256+H256+I256+J256+K256+L256</f>
        <v>0</v>
      </c>
      <c r="E256" s="2608">
        <v>0</v>
      </c>
      <c r="F256" s="1089">
        <v>0</v>
      </c>
      <c r="G256" s="1089">
        <v>0</v>
      </c>
      <c r="H256" s="1089"/>
      <c r="I256" s="1089"/>
      <c r="J256" s="1089"/>
      <c r="K256" s="1089"/>
      <c r="L256" s="1089"/>
      <c r="M256" s="2047">
        <f>SUM(E256:K256)</f>
        <v>0</v>
      </c>
      <c r="N256" s="2047">
        <f>SUM(F256:L256)</f>
        <v>0</v>
      </c>
      <c r="O256" s="2949"/>
    </row>
    <row r="257" spans="1:16" s="269" customFormat="1">
      <c r="A257" s="2932"/>
      <c r="B257" s="1069" t="s">
        <v>18</v>
      </c>
      <c r="C257" s="2952"/>
      <c r="D257" s="2021">
        <f>+D258</f>
        <v>68396525</v>
      </c>
      <c r="E257" s="2021">
        <f t="shared" ref="E257:H257" si="158">+E258</f>
        <v>0</v>
      </c>
      <c r="F257" s="2021">
        <f t="shared" si="158"/>
        <v>503625</v>
      </c>
      <c r="G257" s="2021">
        <f t="shared" si="158"/>
        <v>41517740</v>
      </c>
      <c r="H257" s="2021">
        <f t="shared" si="158"/>
        <v>26375160</v>
      </c>
      <c r="I257" s="2021"/>
      <c r="J257" s="2021"/>
      <c r="K257" s="2021"/>
      <c r="L257" s="2021"/>
      <c r="M257" s="2022">
        <f>+M258</f>
        <v>68396525</v>
      </c>
      <c r="N257" s="2022">
        <f>+N258</f>
        <v>67892900</v>
      </c>
      <c r="O257" s="2949"/>
    </row>
    <row r="258" spans="1:16" s="269" customFormat="1">
      <c r="A258" s="2932"/>
      <c r="B258" s="2496" t="s">
        <v>21</v>
      </c>
      <c r="C258" s="2953"/>
      <c r="D258" s="1926">
        <f>E258+F258+G258+H258+I258+J258+K258+L258</f>
        <v>68396525</v>
      </c>
      <c r="E258" s="1990">
        <v>0</v>
      </c>
      <c r="F258" s="2046">
        <v>503625</v>
      </c>
      <c r="G258" s="2046">
        <v>41517740</v>
      </c>
      <c r="H258" s="2046">
        <v>26375160</v>
      </c>
      <c r="I258" s="2046"/>
      <c r="J258" s="2046"/>
      <c r="K258" s="2046"/>
      <c r="L258" s="2046"/>
      <c r="M258" s="2047">
        <f>SUM(F258:K258)</f>
        <v>68396525</v>
      </c>
      <c r="N258" s="2047">
        <f>SUM(G258:L258)</f>
        <v>67892900</v>
      </c>
      <c r="O258" s="2950"/>
    </row>
    <row r="259" spans="1:16" s="269" customFormat="1">
      <c r="A259" s="2932"/>
      <c r="B259" s="538" t="s">
        <v>22</v>
      </c>
      <c r="C259" s="702"/>
      <c r="D259" s="2018">
        <f>+D262+D260</f>
        <v>68396525</v>
      </c>
      <c r="E259" s="2018">
        <f t="shared" ref="E259:H259" si="159">+E262+E260</f>
        <v>0</v>
      </c>
      <c r="F259" s="2018">
        <f t="shared" si="159"/>
        <v>0</v>
      </c>
      <c r="G259" s="2018">
        <f t="shared" si="159"/>
        <v>38021365</v>
      </c>
      <c r="H259" s="2018">
        <f t="shared" si="159"/>
        <v>30375160</v>
      </c>
      <c r="I259" s="2018"/>
      <c r="J259" s="2018"/>
      <c r="K259" s="2018"/>
      <c r="L259" s="2018"/>
      <c r="M259" s="2867" t="s">
        <v>23</v>
      </c>
      <c r="N259" s="2867" t="s">
        <v>23</v>
      </c>
      <c r="O259" s="2971" t="s">
        <v>102</v>
      </c>
    </row>
    <row r="260" spans="1:16" s="269" customFormat="1" hidden="1">
      <c r="A260" s="2932"/>
      <c r="B260" s="2025" t="s">
        <v>24</v>
      </c>
      <c r="C260" s="2920" t="s">
        <v>196</v>
      </c>
      <c r="D260" s="2021">
        <f>+D261</f>
        <v>0</v>
      </c>
      <c r="E260" s="2021">
        <f t="shared" ref="E260:G260" si="160">+E261</f>
        <v>0</v>
      </c>
      <c r="F260" s="2021">
        <f t="shared" si="160"/>
        <v>0</v>
      </c>
      <c r="G260" s="2021">
        <f t="shared" si="160"/>
        <v>0</v>
      </c>
      <c r="H260" s="2021"/>
      <c r="I260" s="2021"/>
      <c r="J260" s="2021"/>
      <c r="K260" s="2021"/>
      <c r="L260" s="2021"/>
      <c r="M260" s="2868"/>
      <c r="N260" s="2868"/>
      <c r="O260" s="2916"/>
    </row>
    <row r="261" spans="1:16" s="269" customFormat="1" hidden="1">
      <c r="A261" s="2932"/>
      <c r="B261" s="2061" t="s">
        <v>15</v>
      </c>
      <c r="C261" s="2947"/>
      <c r="D261" s="1926">
        <f>E261+F261+G261+H261+I261+J261+K261+L261</f>
        <v>0</v>
      </c>
      <c r="E261" s="2050"/>
      <c r="F261" s="2050"/>
      <c r="G261" s="2050"/>
      <c r="H261" s="2050"/>
      <c r="I261" s="2050"/>
      <c r="J261" s="2050"/>
      <c r="K261" s="2050"/>
      <c r="L261" s="2050"/>
      <c r="M261" s="2868"/>
      <c r="N261" s="2868"/>
      <c r="O261" s="2916"/>
    </row>
    <row r="262" spans="1:16" s="269" customFormat="1">
      <c r="A262" s="2932"/>
      <c r="B262" s="738" t="s">
        <v>18</v>
      </c>
      <c r="C262" s="2947"/>
      <c r="D262" s="2051">
        <f>+D263</f>
        <v>68396525</v>
      </c>
      <c r="E262" s="2051">
        <f t="shared" ref="E262:H262" si="161">+E263</f>
        <v>0</v>
      </c>
      <c r="F262" s="2051">
        <f t="shared" si="161"/>
        <v>0</v>
      </c>
      <c r="G262" s="2051">
        <f t="shared" si="161"/>
        <v>38021365</v>
      </c>
      <c r="H262" s="2051">
        <f t="shared" si="161"/>
        <v>30375160</v>
      </c>
      <c r="I262" s="2051"/>
      <c r="J262" s="2051"/>
      <c r="K262" s="2051"/>
      <c r="L262" s="2051"/>
      <c r="M262" s="2868"/>
      <c r="N262" s="2868"/>
      <c r="O262" s="2916"/>
    </row>
    <row r="263" spans="1:16" s="269" customFormat="1" ht="13.5" thickBot="1">
      <c r="A263" s="2957"/>
      <c r="B263" s="1072" t="s">
        <v>21</v>
      </c>
      <c r="C263" s="2935"/>
      <c r="D263" s="2222">
        <f>E263+F263+G263+H263+I263+J263+K263+L263</f>
        <v>68396525</v>
      </c>
      <c r="E263" s="2222">
        <v>0</v>
      </c>
      <c r="F263" s="526"/>
      <c r="G263" s="526">
        <v>38021365</v>
      </c>
      <c r="H263" s="526">
        <v>30375160</v>
      </c>
      <c r="I263" s="526"/>
      <c r="J263" s="526"/>
      <c r="K263" s="526"/>
      <c r="L263" s="526"/>
      <c r="M263" s="2869"/>
      <c r="N263" s="2869"/>
      <c r="O263" s="2917"/>
    </row>
    <row r="264" spans="1:16" ht="23.25" customHeight="1">
      <c r="A264" s="2931" t="s">
        <v>99</v>
      </c>
      <c r="B264" s="287" t="s">
        <v>512</v>
      </c>
      <c r="C264" s="59" t="s">
        <v>81</v>
      </c>
      <c r="D264" s="904"/>
      <c r="E264" s="44"/>
      <c r="F264" s="44"/>
      <c r="G264" s="44"/>
      <c r="H264" s="44"/>
      <c r="I264" s="44"/>
      <c r="J264" s="44"/>
      <c r="K264" s="44"/>
      <c r="L264" s="44"/>
      <c r="M264" s="45"/>
      <c r="N264" s="45"/>
      <c r="O264" s="2942" t="s">
        <v>86</v>
      </c>
      <c r="P264" s="237" t="s">
        <v>285</v>
      </c>
    </row>
    <row r="265" spans="1:16" ht="12" customHeight="1">
      <c r="A265" s="2932"/>
      <c r="B265" s="2016" t="s">
        <v>10</v>
      </c>
      <c r="C265" s="2053"/>
      <c r="D265" s="2609">
        <f t="shared" ref="D265" si="162">+D266+D269</f>
        <v>9472920</v>
      </c>
      <c r="E265" s="1945">
        <f t="shared" ref="E265" si="163">+E266+E269</f>
        <v>0</v>
      </c>
      <c r="F265" s="1945">
        <f>+F266+F269</f>
        <v>2834279</v>
      </c>
      <c r="G265" s="1945">
        <f>+G266+G269</f>
        <v>6638641</v>
      </c>
      <c r="H265" s="1945"/>
      <c r="I265" s="1945"/>
      <c r="J265" s="1945"/>
      <c r="K265" s="1945"/>
      <c r="L265" s="1945"/>
      <c r="M265" s="1947">
        <f>M266+M269</f>
        <v>9472920</v>
      </c>
      <c r="N265" s="1947">
        <f>N266+N269</f>
        <v>6638641</v>
      </c>
      <c r="O265" s="2949"/>
      <c r="P265" s="491"/>
    </row>
    <row r="266" spans="1:16" ht="13.5" customHeight="1">
      <c r="A266" s="2932"/>
      <c r="B266" s="2025" t="s">
        <v>24</v>
      </c>
      <c r="C266" s="2920" t="s">
        <v>84</v>
      </c>
      <c r="D266" s="1949">
        <f>+D267+D268</f>
        <v>8558831</v>
      </c>
      <c r="E266" s="1936">
        <f t="shared" ref="E266:G266" si="164">+E267</f>
        <v>0</v>
      </c>
      <c r="F266" s="1949">
        <f t="shared" si="164"/>
        <v>1920190</v>
      </c>
      <c r="G266" s="1936">
        <f t="shared" si="164"/>
        <v>6638641</v>
      </c>
      <c r="H266" s="1949"/>
      <c r="I266" s="1949"/>
      <c r="J266" s="2044"/>
      <c r="K266" s="2044"/>
      <c r="L266" s="2044"/>
      <c r="M266" s="2022">
        <f>M267</f>
        <v>8558831</v>
      </c>
      <c r="N266" s="2022">
        <f>N267</f>
        <v>6638641</v>
      </c>
      <c r="O266" s="2949"/>
      <c r="P266" s="491"/>
    </row>
    <row r="267" spans="1:16" ht="12" customHeight="1">
      <c r="A267" s="2932"/>
      <c r="B267" s="2061" t="s">
        <v>12</v>
      </c>
      <c r="C267" s="2945"/>
      <c r="D267" s="1926">
        <f>E267+F267+G267+H267+I267+J267+K267+L267</f>
        <v>8558831</v>
      </c>
      <c r="E267" s="1990">
        <v>0</v>
      </c>
      <c r="F267" s="2046">
        <f>3200000-1940000+1520081+249090-73261-57720-385500-592500</f>
        <v>1920190</v>
      </c>
      <c r="G267" s="2046">
        <f>4984499+500000+710922+57720+385500</f>
        <v>6638641</v>
      </c>
      <c r="H267" s="2046"/>
      <c r="I267" s="2046"/>
      <c r="J267" s="2046"/>
      <c r="K267" s="2046"/>
      <c r="L267" s="2046"/>
      <c r="M267" s="1065">
        <f>SUM(F267:K267)</f>
        <v>8558831</v>
      </c>
      <c r="N267" s="1065">
        <f>SUM(G267:L267)</f>
        <v>6638641</v>
      </c>
      <c r="O267" s="2949"/>
    </row>
    <row r="268" spans="1:16" hidden="1">
      <c r="A268" s="2932"/>
      <c r="B268" s="94" t="s">
        <v>15</v>
      </c>
      <c r="C268" s="2945"/>
      <c r="D268" s="1926">
        <f>E268+F268+G268+H268+I268+J268+K268+L268</f>
        <v>0</v>
      </c>
      <c r="E268" s="2073">
        <v>0</v>
      </c>
      <c r="F268" s="2074"/>
      <c r="G268" s="2074"/>
      <c r="H268" s="2074"/>
      <c r="I268" s="2074"/>
      <c r="J268" s="206"/>
      <c r="K268" s="206"/>
      <c r="L268" s="206"/>
      <c r="M268" s="70"/>
      <c r="N268" s="70"/>
      <c r="O268" s="2949"/>
    </row>
    <row r="269" spans="1:16" ht="13.5" customHeight="1">
      <c r="A269" s="2932"/>
      <c r="B269" s="2077" t="s">
        <v>18</v>
      </c>
      <c r="C269" s="2945"/>
      <c r="D269" s="2021">
        <f>+D270</f>
        <v>914089</v>
      </c>
      <c r="E269" s="1957">
        <f t="shared" ref="E269:G269" si="165">+E270</f>
        <v>0</v>
      </c>
      <c r="F269" s="1949">
        <f t="shared" si="165"/>
        <v>914089</v>
      </c>
      <c r="G269" s="2610">
        <f t="shared" si="165"/>
        <v>0</v>
      </c>
      <c r="H269" s="1957"/>
      <c r="I269" s="1957"/>
      <c r="J269" s="2021"/>
      <c r="K269" s="2021"/>
      <c r="L269" s="2021"/>
      <c r="M269" s="2022">
        <f>M270</f>
        <v>914089</v>
      </c>
      <c r="N269" s="2022">
        <f>N270</f>
        <v>0</v>
      </c>
      <c r="O269" s="2949"/>
    </row>
    <row r="270" spans="1:16">
      <c r="A270" s="2932"/>
      <c r="B270" s="811" t="s">
        <v>21</v>
      </c>
      <c r="C270" s="2946"/>
      <c r="D270" s="2075">
        <f>E270+F270+G270+H270+I270+J270+K270+L270</f>
        <v>914089</v>
      </c>
      <c r="E270" s="1990">
        <v>0</v>
      </c>
      <c r="F270" s="2046">
        <f>1617722-288485-415148</f>
        <v>914089</v>
      </c>
      <c r="G270" s="2085">
        <v>0</v>
      </c>
      <c r="H270" s="2046"/>
      <c r="I270" s="2046"/>
      <c r="J270" s="2046"/>
      <c r="K270" s="2046"/>
      <c r="L270" s="2046"/>
      <c r="M270" s="1065">
        <f>SUM(F270:K270)</f>
        <v>914089</v>
      </c>
      <c r="N270" s="1065">
        <f>SUM(G270:L270)</f>
        <v>0</v>
      </c>
      <c r="O270" s="2950"/>
    </row>
    <row r="271" spans="1:16" ht="12" customHeight="1">
      <c r="A271" s="2933"/>
      <c r="B271" s="2016" t="s">
        <v>22</v>
      </c>
      <c r="C271" s="92"/>
      <c r="D271" s="104">
        <f>+D274+D272</f>
        <v>914089</v>
      </c>
      <c r="E271" s="104">
        <f t="shared" ref="E271" si="166">+E274+E272</f>
        <v>0</v>
      </c>
      <c r="F271" s="961">
        <f t="shared" ref="F271:G271" si="167">+F274+F272</f>
        <v>0</v>
      </c>
      <c r="G271" s="104">
        <f t="shared" si="167"/>
        <v>914089</v>
      </c>
      <c r="H271" s="104"/>
      <c r="I271" s="104"/>
      <c r="J271" s="104"/>
      <c r="K271" s="104"/>
      <c r="L271" s="104"/>
      <c r="M271" s="2909" t="s">
        <v>23</v>
      </c>
      <c r="N271" s="2909" t="s">
        <v>23</v>
      </c>
      <c r="O271" s="3003" t="s">
        <v>102</v>
      </c>
    </row>
    <row r="272" spans="1:16" ht="13.5" hidden="1" customHeight="1">
      <c r="A272" s="2933"/>
      <c r="B272" s="2025" t="s">
        <v>24</v>
      </c>
      <c r="C272" s="2920" t="s">
        <v>196</v>
      </c>
      <c r="D272" s="53">
        <f>+D273</f>
        <v>0</v>
      </c>
      <c r="E272" s="53">
        <f t="shared" ref="E272" si="168">+E273</f>
        <v>0</v>
      </c>
      <c r="F272" s="271"/>
      <c r="G272" s="53"/>
      <c r="H272" s="53"/>
      <c r="I272" s="53"/>
      <c r="J272" s="53"/>
      <c r="K272" s="53"/>
      <c r="L272" s="53"/>
      <c r="M272" s="2910"/>
      <c r="N272" s="2910"/>
      <c r="O272" s="2968"/>
    </row>
    <row r="273" spans="1:18" ht="12.75" hidden="1" customHeight="1">
      <c r="A273" s="2933"/>
      <c r="B273" s="94" t="s">
        <v>15</v>
      </c>
      <c r="C273" s="2947"/>
      <c r="D273" s="1926">
        <f>E273+F273+G273+H273+I273+J273+K273+L273</f>
        <v>0</v>
      </c>
      <c r="E273" s="1956">
        <v>0</v>
      </c>
      <c r="F273" s="2076"/>
      <c r="G273" s="1956"/>
      <c r="H273" s="1956"/>
      <c r="I273" s="1956"/>
      <c r="J273" s="1956"/>
      <c r="K273" s="1956"/>
      <c r="L273" s="1956"/>
      <c r="M273" s="2910"/>
      <c r="N273" s="2910"/>
      <c r="O273" s="2968"/>
    </row>
    <row r="274" spans="1:18" ht="12" customHeight="1">
      <c r="A274" s="2933"/>
      <c r="B274" s="2077" t="s">
        <v>18</v>
      </c>
      <c r="C274" s="2947"/>
      <c r="D274" s="2021">
        <f t="shared" ref="D274:G274" si="169">+D275</f>
        <v>914089</v>
      </c>
      <c r="E274" s="1957">
        <f t="shared" si="169"/>
        <v>0</v>
      </c>
      <c r="F274" s="2610">
        <f t="shared" si="169"/>
        <v>0</v>
      </c>
      <c r="G274" s="1957">
        <f t="shared" si="169"/>
        <v>914089</v>
      </c>
      <c r="H274" s="1957"/>
      <c r="I274" s="1957"/>
      <c r="J274" s="1957"/>
      <c r="K274" s="1957"/>
      <c r="L274" s="1957"/>
      <c r="M274" s="2910"/>
      <c r="N274" s="2910"/>
      <c r="O274" s="2968"/>
    </row>
    <row r="275" spans="1:18" ht="13.5" customHeight="1" thickBot="1">
      <c r="A275" s="2934"/>
      <c r="B275" s="1072" t="s">
        <v>21</v>
      </c>
      <c r="C275" s="2935"/>
      <c r="D275" s="1027">
        <f>E275+F275+G275+H275+I275+J275+K275+L275</f>
        <v>914089</v>
      </c>
      <c r="E275" s="1027">
        <v>0</v>
      </c>
      <c r="F275" s="448">
        <f>1900090-569500-416501-914089</f>
        <v>0</v>
      </c>
      <c r="G275" s="58">
        <v>914089</v>
      </c>
      <c r="H275" s="58"/>
      <c r="I275" s="533"/>
      <c r="J275" s="533"/>
      <c r="K275" s="533"/>
      <c r="L275" s="533"/>
      <c r="M275" s="2911"/>
      <c r="N275" s="2911"/>
      <c r="O275" s="2969"/>
    </row>
    <row r="276" spans="1:18" ht="27.75" hidden="1" customHeight="1">
      <c r="A276" s="2931"/>
      <c r="B276" s="75"/>
      <c r="C276" s="59" t="s">
        <v>109</v>
      </c>
      <c r="D276" s="60"/>
      <c r="E276" s="44"/>
      <c r="F276" s="44"/>
      <c r="G276" s="44"/>
      <c r="H276" s="44"/>
      <c r="I276" s="44"/>
      <c r="J276" s="44"/>
      <c r="K276" s="44"/>
      <c r="L276" s="44"/>
      <c r="M276" s="45"/>
      <c r="N276" s="45"/>
      <c r="O276" s="2961" t="s">
        <v>102</v>
      </c>
      <c r="P276" s="3009" t="s">
        <v>284</v>
      </c>
      <c r="Q276" s="3010"/>
      <c r="R276" s="3010"/>
    </row>
    <row r="277" spans="1:18" ht="15" hidden="1" customHeight="1">
      <c r="A277" s="2932"/>
      <c r="B277" s="438" t="s">
        <v>10</v>
      </c>
      <c r="C277" s="22"/>
      <c r="D277" s="427">
        <f>+D278+D281</f>
        <v>0</v>
      </c>
      <c r="E277" s="427">
        <v>0</v>
      </c>
      <c r="F277" s="427"/>
      <c r="G277" s="427"/>
      <c r="H277" s="427"/>
      <c r="I277" s="427"/>
      <c r="J277" s="427"/>
      <c r="K277" s="427"/>
      <c r="L277" s="427"/>
      <c r="M277" s="414">
        <f>M278+M281</f>
        <v>0</v>
      </c>
      <c r="N277" s="414">
        <f>N278+N281</f>
        <v>0</v>
      </c>
      <c r="O277" s="2916"/>
      <c r="P277" s="491"/>
    </row>
    <row r="278" spans="1:18" ht="13.5" hidden="1" customHeight="1">
      <c r="A278" s="2932"/>
      <c r="B278" s="485" t="s">
        <v>24</v>
      </c>
      <c r="C278" s="2962" t="s">
        <v>84</v>
      </c>
      <c r="D278" s="79">
        <f>+D279+D280</f>
        <v>0</v>
      </c>
      <c r="E278" s="79">
        <v>0</v>
      </c>
      <c r="F278" s="79"/>
      <c r="G278" s="79"/>
      <c r="H278" s="79"/>
      <c r="I278" s="79"/>
      <c r="J278" s="79"/>
      <c r="K278" s="79"/>
      <c r="L278" s="79"/>
      <c r="M278" s="429">
        <f>+M279+M280</f>
        <v>0</v>
      </c>
      <c r="N278" s="429">
        <f>+N279+N280</f>
        <v>0</v>
      </c>
      <c r="O278" s="2916"/>
      <c r="P278" s="491"/>
    </row>
    <row r="279" spans="1:18" ht="11.25" hidden="1" customHeight="1">
      <c r="A279" s="2932"/>
      <c r="B279" s="959" t="s">
        <v>12</v>
      </c>
      <c r="C279" s="2945"/>
      <c r="D279" s="251">
        <f t="shared" ref="D279:D280" si="170">E279+F279+G279+H279+I279+J279+K279+L279</f>
        <v>0</v>
      </c>
      <c r="E279" s="498">
        <v>0</v>
      </c>
      <c r="F279" s="518"/>
      <c r="G279" s="518"/>
      <c r="H279" s="518"/>
      <c r="I279" s="518"/>
      <c r="J279" s="518"/>
      <c r="K279" s="518"/>
      <c r="L279" s="518"/>
      <c r="M279" s="519">
        <f>SUM(E279:H279)</f>
        <v>0</v>
      </c>
      <c r="N279" s="519">
        <f>SUM(F279:I279)</f>
        <v>0</v>
      </c>
      <c r="O279" s="2916"/>
    </row>
    <row r="280" spans="1:18" ht="11.25" hidden="1" customHeight="1">
      <c r="A280" s="2932"/>
      <c r="B280" s="650" t="s">
        <v>106</v>
      </c>
      <c r="C280" s="2945"/>
      <c r="D280" s="251">
        <f t="shared" si="170"/>
        <v>0</v>
      </c>
      <c r="E280" s="498">
        <v>0</v>
      </c>
      <c r="F280" s="430"/>
      <c r="G280" s="430"/>
      <c r="H280" s="430"/>
      <c r="I280" s="430"/>
      <c r="J280" s="430"/>
      <c r="K280" s="430"/>
      <c r="L280" s="430"/>
      <c r="M280" s="432">
        <f>SUM(E280:H280)</f>
        <v>0</v>
      </c>
      <c r="N280" s="432">
        <f>SUM(F280:I280)</f>
        <v>0</v>
      </c>
      <c r="O280" s="2916"/>
    </row>
    <row r="281" spans="1:18" ht="13.5" hidden="1" thickBot="1">
      <c r="A281" s="2932"/>
      <c r="B281" s="499" t="s">
        <v>18</v>
      </c>
      <c r="C281" s="2945"/>
      <c r="D281" s="433">
        <f>+D282</f>
        <v>0</v>
      </c>
      <c r="E281" s="433">
        <v>0</v>
      </c>
      <c r="F281" s="433"/>
      <c r="G281" s="433"/>
      <c r="H281" s="433"/>
      <c r="I281" s="433"/>
      <c r="J281" s="433"/>
      <c r="K281" s="433"/>
      <c r="L281" s="433"/>
      <c r="M281" s="429">
        <f>M282</f>
        <v>0</v>
      </c>
      <c r="N281" s="429">
        <f>N282</f>
        <v>0</v>
      </c>
      <c r="O281" s="2916"/>
    </row>
    <row r="282" spans="1:18" ht="13.5" hidden="1" thickBot="1">
      <c r="A282" s="2932"/>
      <c r="B282" s="521" t="s">
        <v>21</v>
      </c>
      <c r="C282" s="2945"/>
      <c r="D282" s="251">
        <f>E282+F282+G282+H282+I282+J282+K282+L282</f>
        <v>0</v>
      </c>
      <c r="E282" s="1024">
        <v>0</v>
      </c>
      <c r="F282" s="430"/>
      <c r="G282" s="430"/>
      <c r="H282" s="430"/>
      <c r="I282" s="430"/>
      <c r="J282" s="430"/>
      <c r="K282" s="430"/>
      <c r="L282" s="430"/>
      <c r="M282" s="36">
        <f>SUM(E282:K282)</f>
        <v>0</v>
      </c>
      <c r="N282" s="36">
        <f>SUM(F282:L282)</f>
        <v>0</v>
      </c>
      <c r="O282" s="2916"/>
    </row>
    <row r="283" spans="1:18" ht="15.75" hidden="1" customHeight="1">
      <c r="A283" s="2933"/>
      <c r="B283" s="21" t="s">
        <v>22</v>
      </c>
      <c r="C283" s="22"/>
      <c r="D283" s="444">
        <f>+D286+D284</f>
        <v>0</v>
      </c>
      <c r="E283" s="444">
        <v>0</v>
      </c>
      <c r="F283" s="444"/>
      <c r="G283" s="444"/>
      <c r="H283" s="444"/>
      <c r="I283" s="444"/>
      <c r="J283" s="444"/>
      <c r="K283" s="444"/>
      <c r="L283" s="444"/>
      <c r="M283" s="2870" t="s">
        <v>23</v>
      </c>
      <c r="N283" s="2870" t="s">
        <v>23</v>
      </c>
      <c r="O283" s="2916"/>
    </row>
    <row r="284" spans="1:18" ht="12.75" hidden="1" customHeight="1">
      <c r="A284" s="2933"/>
      <c r="B284" s="485" t="s">
        <v>24</v>
      </c>
      <c r="C284" s="2962" t="s">
        <v>379</v>
      </c>
      <c r="D284" s="962">
        <f>D285</f>
        <v>0</v>
      </c>
      <c r="E284" s="962">
        <v>0</v>
      </c>
      <c r="F284" s="962"/>
      <c r="G284" s="962"/>
      <c r="H284" s="962"/>
      <c r="I284" s="962"/>
      <c r="J284" s="962"/>
      <c r="K284" s="962"/>
      <c r="L284" s="962"/>
      <c r="M284" s="2868"/>
      <c r="N284" s="2868"/>
      <c r="O284" s="2916"/>
    </row>
    <row r="285" spans="1:18" ht="12.75" hidden="1" customHeight="1">
      <c r="A285" s="2933"/>
      <c r="B285" s="650" t="s">
        <v>106</v>
      </c>
      <c r="C285" s="2947"/>
      <c r="D285" s="251">
        <f>E285+F285+G285+H285+I285+J285+K285+L285</f>
        <v>0</v>
      </c>
      <c r="E285" s="498">
        <v>0</v>
      </c>
      <c r="F285" s="962"/>
      <c r="G285" s="962"/>
      <c r="H285" s="962"/>
      <c r="I285" s="962"/>
      <c r="J285" s="962"/>
      <c r="K285" s="962"/>
      <c r="L285" s="962"/>
      <c r="M285" s="2868"/>
      <c r="N285" s="2868"/>
      <c r="O285" s="2916"/>
    </row>
    <row r="286" spans="1:18" s="269" customFormat="1" ht="16.5" hidden="1" customHeight="1">
      <c r="A286" s="2933"/>
      <c r="B286" s="499" t="s">
        <v>18</v>
      </c>
      <c r="C286" s="2947"/>
      <c r="D286" s="523">
        <f>+D287</f>
        <v>0</v>
      </c>
      <c r="E286" s="523">
        <v>0</v>
      </c>
      <c r="F286" s="524"/>
      <c r="G286" s="524"/>
      <c r="H286" s="524"/>
      <c r="I286" s="524"/>
      <c r="J286" s="524"/>
      <c r="K286" s="524"/>
      <c r="L286" s="524"/>
      <c r="M286" s="2868"/>
      <c r="N286" s="2868"/>
      <c r="O286" s="2916"/>
    </row>
    <row r="287" spans="1:18" s="269" customFormat="1" ht="17.25" hidden="1" customHeight="1" thickBot="1">
      <c r="A287" s="2934"/>
      <c r="B287" s="368" t="s">
        <v>21</v>
      </c>
      <c r="C287" s="2935"/>
      <c r="D287" s="251">
        <f>E287+F287+G287+H287+I287+J287+K287+L287</f>
        <v>0</v>
      </c>
      <c r="E287" s="1024">
        <v>0</v>
      </c>
      <c r="F287" s="526"/>
      <c r="G287" s="526"/>
      <c r="H287" s="526"/>
      <c r="I287" s="526"/>
      <c r="J287" s="526"/>
      <c r="K287" s="526"/>
      <c r="L287" s="526"/>
      <c r="M287" s="2869"/>
      <c r="N287" s="2869"/>
      <c r="O287" s="2917"/>
    </row>
    <row r="288" spans="1:18" ht="29.25" hidden="1" customHeight="1">
      <c r="A288" s="2931"/>
      <c r="B288" s="75" t="s">
        <v>397</v>
      </c>
      <c r="C288" s="59" t="s">
        <v>81</v>
      </c>
      <c r="D288" s="904"/>
      <c r="E288" s="449"/>
      <c r="F288" s="449"/>
      <c r="G288" s="449"/>
      <c r="H288" s="449"/>
      <c r="I288" s="449"/>
      <c r="J288" s="44"/>
      <c r="K288" s="44"/>
      <c r="L288" s="44"/>
      <c r="M288" s="45"/>
      <c r="N288" s="45"/>
      <c r="O288" s="2961" t="s">
        <v>102</v>
      </c>
      <c r="P288" s="237" t="s">
        <v>285</v>
      </c>
    </row>
    <row r="289" spans="1:17" ht="13.5" hidden="1" customHeight="1">
      <c r="A289" s="2932"/>
      <c r="B289" s="732" t="s">
        <v>10</v>
      </c>
      <c r="C289" s="829"/>
      <c r="D289" s="780">
        <f t="shared" ref="D289" si="171">+D290+D293</f>
        <v>0</v>
      </c>
      <c r="E289" s="799">
        <v>0</v>
      </c>
      <c r="F289" s="781">
        <f>+F290+F293</f>
        <v>0</v>
      </c>
      <c r="G289" s="781"/>
      <c r="H289" s="781"/>
      <c r="I289" s="781"/>
      <c r="J289" s="781"/>
      <c r="K289" s="781"/>
      <c r="L289" s="781"/>
      <c r="M289" s="1042">
        <f>M290+M293</f>
        <v>0</v>
      </c>
      <c r="N289" s="1042">
        <f>N290+N293</f>
        <v>0</v>
      </c>
      <c r="O289" s="2916"/>
      <c r="P289" s="491"/>
    </row>
    <row r="290" spans="1:17" ht="14.25" hidden="1" customHeight="1">
      <c r="A290" s="2932"/>
      <c r="B290" s="1440" t="s">
        <v>24</v>
      </c>
      <c r="C290" s="2887" t="s">
        <v>98</v>
      </c>
      <c r="D290" s="974">
        <f t="shared" ref="D290" si="172">+D291+D292</f>
        <v>0</v>
      </c>
      <c r="E290" s="749">
        <v>0</v>
      </c>
      <c r="F290" s="974">
        <f>+F291+F292</f>
        <v>0</v>
      </c>
      <c r="G290" s="974"/>
      <c r="H290" s="974"/>
      <c r="I290" s="974"/>
      <c r="J290" s="974"/>
      <c r="K290" s="974"/>
      <c r="L290" s="974"/>
      <c r="M290" s="707">
        <f>+M291+M292</f>
        <v>0</v>
      </c>
      <c r="N290" s="707">
        <f>+N291+N292</f>
        <v>0</v>
      </c>
      <c r="O290" s="2916"/>
      <c r="P290" s="491"/>
    </row>
    <row r="291" spans="1:17" ht="12.75" hidden="1" customHeight="1">
      <c r="A291" s="2932"/>
      <c r="B291" s="1441" t="s">
        <v>12</v>
      </c>
      <c r="C291" s="2945"/>
      <c r="D291" s="1034">
        <f>SUM(E291:L291)</f>
        <v>0</v>
      </c>
      <c r="E291" s="742"/>
      <c r="F291" s="793"/>
      <c r="G291" s="793"/>
      <c r="H291" s="793"/>
      <c r="I291" s="793"/>
      <c r="J291" s="793"/>
      <c r="K291" s="793"/>
      <c r="L291" s="793"/>
      <c r="M291" s="1442"/>
      <c r="N291" s="1442"/>
      <c r="O291" s="2916"/>
    </row>
    <row r="292" spans="1:17" ht="11.25" hidden="1" customHeight="1">
      <c r="A292" s="2932"/>
      <c r="B292" s="650" t="s">
        <v>106</v>
      </c>
      <c r="C292" s="2945"/>
      <c r="D292" s="251">
        <f>E292+F292+G292+H292+I292+J292+K292+L292</f>
        <v>0</v>
      </c>
      <c r="E292" s="742">
        <v>0</v>
      </c>
      <c r="F292" s="794">
        <f>5400000-5400000</f>
        <v>0</v>
      </c>
      <c r="G292" s="793"/>
      <c r="H292" s="793"/>
      <c r="I292" s="794"/>
      <c r="J292" s="793"/>
      <c r="K292" s="793"/>
      <c r="L292" s="793"/>
      <c r="M292" s="1065">
        <f>SUM(E292:K292)</f>
        <v>0</v>
      </c>
      <c r="N292" s="1065">
        <f>SUM(F292:L292)</f>
        <v>0</v>
      </c>
      <c r="O292" s="2916"/>
    </row>
    <row r="293" spans="1:17" ht="11.25" hidden="1" customHeight="1">
      <c r="A293" s="2932"/>
      <c r="B293" s="1443" t="s">
        <v>18</v>
      </c>
      <c r="C293" s="2945"/>
      <c r="D293" s="711">
        <f t="shared" ref="D293:F293" si="173">+D294</f>
        <v>0</v>
      </c>
      <c r="E293" s="1075">
        <v>0</v>
      </c>
      <c r="F293" s="1048">
        <f t="shared" si="173"/>
        <v>0</v>
      </c>
      <c r="G293" s="1048"/>
      <c r="H293" s="1048"/>
      <c r="I293" s="1048"/>
      <c r="J293" s="1048"/>
      <c r="K293" s="1048"/>
      <c r="L293" s="1048"/>
      <c r="M293" s="707">
        <f>M294</f>
        <v>0</v>
      </c>
      <c r="N293" s="707">
        <f>N294</f>
        <v>0</v>
      </c>
      <c r="O293" s="2916"/>
    </row>
    <row r="294" spans="1:17" ht="13.5" hidden="1" customHeight="1">
      <c r="A294" s="2932"/>
      <c r="B294" s="1444" t="s">
        <v>21</v>
      </c>
      <c r="C294" s="2946"/>
      <c r="D294" s="251">
        <f>E294+F294+G294+H294+I294+J294+K294+L294</f>
        <v>0</v>
      </c>
      <c r="E294" s="742">
        <v>0</v>
      </c>
      <c r="F294" s="793">
        <f>30600000-30600000</f>
        <v>0</v>
      </c>
      <c r="G294" s="793"/>
      <c r="H294" s="792"/>
      <c r="I294" s="793"/>
      <c r="J294" s="792"/>
      <c r="K294" s="792"/>
      <c r="L294" s="792"/>
      <c r="M294" s="1065">
        <f>SUM(E294:K294)</f>
        <v>0</v>
      </c>
      <c r="N294" s="1065">
        <f>SUM(F294:L294)</f>
        <v>0</v>
      </c>
      <c r="O294" s="2916"/>
    </row>
    <row r="295" spans="1:17" ht="13.5" hidden="1" customHeight="1">
      <c r="A295" s="2933"/>
      <c r="B295" s="1445" t="s">
        <v>22</v>
      </c>
      <c r="C295" s="92"/>
      <c r="D295" s="104">
        <f>+D298+D296</f>
        <v>0</v>
      </c>
      <c r="E295" s="961">
        <v>0</v>
      </c>
      <c r="F295" s="104">
        <f t="shared" ref="F295" si="174">+F298+F296</f>
        <v>0</v>
      </c>
      <c r="G295" s="104"/>
      <c r="H295" s="104"/>
      <c r="I295" s="104"/>
      <c r="J295" s="104"/>
      <c r="K295" s="104"/>
      <c r="L295" s="104"/>
      <c r="M295" s="2908" t="s">
        <v>23</v>
      </c>
      <c r="N295" s="2908" t="s">
        <v>23</v>
      </c>
      <c r="O295" s="2916"/>
    </row>
    <row r="296" spans="1:17" ht="13.5" hidden="1" customHeight="1">
      <c r="A296" s="2933"/>
      <c r="B296" s="1071" t="s">
        <v>24</v>
      </c>
      <c r="C296" s="2887" t="s">
        <v>283</v>
      </c>
      <c r="D296" s="901">
        <f>D297</f>
        <v>0</v>
      </c>
      <c r="E296" s="1446">
        <v>0</v>
      </c>
      <c r="F296" s="901">
        <f t="shared" ref="F296" si="175">F297</f>
        <v>0</v>
      </c>
      <c r="G296" s="901"/>
      <c r="H296" s="901"/>
      <c r="I296" s="901"/>
      <c r="J296" s="901"/>
      <c r="K296" s="901"/>
      <c r="L296" s="901"/>
      <c r="M296" s="2874"/>
      <c r="N296" s="2874"/>
      <c r="O296" s="2916"/>
    </row>
    <row r="297" spans="1:17" ht="13.5" hidden="1" customHeight="1">
      <c r="A297" s="2933"/>
      <c r="B297" s="650" t="s">
        <v>106</v>
      </c>
      <c r="C297" s="2947"/>
      <c r="D297" s="251">
        <f>E297+F297+G297+H297+I297+J297+K297+L297</f>
        <v>0</v>
      </c>
      <c r="E297" s="742">
        <v>0</v>
      </c>
      <c r="F297" s="1447">
        <v>0</v>
      </c>
      <c r="G297" s="901"/>
      <c r="H297" s="1447"/>
      <c r="I297" s="1447"/>
      <c r="J297" s="901"/>
      <c r="K297" s="901"/>
      <c r="L297" s="901"/>
      <c r="M297" s="2874"/>
      <c r="N297" s="2874"/>
      <c r="O297" s="2916"/>
    </row>
    <row r="298" spans="1:17" ht="12" hidden="1" customHeight="1">
      <c r="A298" s="2933"/>
      <c r="B298" s="743" t="s">
        <v>18</v>
      </c>
      <c r="C298" s="2947"/>
      <c r="D298" s="711">
        <f>+D299</f>
        <v>0</v>
      </c>
      <c r="E298" s="1075">
        <v>0</v>
      </c>
      <c r="F298" s="1048">
        <f t="shared" ref="F298" si="176">+F299</f>
        <v>0</v>
      </c>
      <c r="G298" s="1048"/>
      <c r="H298" s="1048"/>
      <c r="I298" s="1048"/>
      <c r="J298" s="1048"/>
      <c r="K298" s="1048"/>
      <c r="L298" s="1048"/>
      <c r="M298" s="2874"/>
      <c r="N298" s="2874"/>
      <c r="O298" s="2916"/>
    </row>
    <row r="299" spans="1:17" ht="13.5" hidden="1" customHeight="1" thickBot="1">
      <c r="A299" s="2934"/>
      <c r="B299" s="1072" t="s">
        <v>21</v>
      </c>
      <c r="C299" s="2935"/>
      <c r="D299" s="251">
        <f>E299+F299+G299+H299+I299+J299+K299+L299</f>
        <v>0</v>
      </c>
      <c r="E299" s="745">
        <v>0</v>
      </c>
      <c r="F299" s="58">
        <f>30600000-30600000</f>
        <v>0</v>
      </c>
      <c r="G299" s="58"/>
      <c r="H299" s="58"/>
      <c r="I299" s="58"/>
      <c r="J299" s="58"/>
      <c r="K299" s="58"/>
      <c r="L299" s="58"/>
      <c r="M299" s="2875"/>
      <c r="N299" s="2875"/>
      <c r="O299" s="2917"/>
    </row>
    <row r="300" spans="1:17" ht="27" customHeight="1">
      <c r="A300" s="2931" t="s">
        <v>268</v>
      </c>
      <c r="B300" s="75" t="s">
        <v>398</v>
      </c>
      <c r="C300" s="59" t="s">
        <v>81</v>
      </c>
      <c r="D300" s="1592"/>
      <c r="E300" s="96"/>
      <c r="F300" s="97"/>
      <c r="G300" s="97"/>
      <c r="H300" s="97"/>
      <c r="I300" s="97"/>
      <c r="J300" s="97"/>
      <c r="K300" s="97"/>
      <c r="L300" s="97"/>
      <c r="M300" s="45"/>
      <c r="N300" s="45"/>
      <c r="O300" s="2961" t="s">
        <v>102</v>
      </c>
      <c r="P300" s="237" t="s">
        <v>285</v>
      </c>
    </row>
    <row r="301" spans="1:17" ht="13.5" customHeight="1">
      <c r="A301" s="2932"/>
      <c r="B301" s="2016" t="s">
        <v>10</v>
      </c>
      <c r="C301" s="2053"/>
      <c r="D301" s="2124">
        <f t="shared" ref="D301" si="177">+D302+D306</f>
        <v>326610000</v>
      </c>
      <c r="E301" s="1593">
        <f t="shared" ref="E301" si="178">+E302+E306</f>
        <v>0</v>
      </c>
      <c r="F301" s="2125">
        <f>+F302+F306</f>
        <v>142545000</v>
      </c>
      <c r="G301" s="2125">
        <f>+G302+G306</f>
        <v>184065000</v>
      </c>
      <c r="H301" s="2126">
        <f>+H302+H306</f>
        <v>0</v>
      </c>
      <c r="I301" s="2126">
        <f>+I302+I306</f>
        <v>0</v>
      </c>
      <c r="J301" s="2125"/>
      <c r="K301" s="2125"/>
      <c r="L301" s="2125"/>
      <c r="M301" s="2019">
        <f>+M302+M306</f>
        <v>326610000</v>
      </c>
      <c r="N301" s="2019">
        <f>+N302+N306</f>
        <v>184065000</v>
      </c>
      <c r="O301" s="2916"/>
      <c r="Q301" s="491"/>
    </row>
    <row r="302" spans="1:17" ht="13.5" customHeight="1">
      <c r="A302" s="2932"/>
      <c r="B302" s="2025" t="s">
        <v>24</v>
      </c>
      <c r="C302" s="2887" t="s">
        <v>98</v>
      </c>
      <c r="D302" s="1594">
        <f>+D303+D305+D304</f>
        <v>48991500</v>
      </c>
      <c r="E302" s="1594">
        <f t="shared" ref="E302" si="179">+E303+E305+E304</f>
        <v>0</v>
      </c>
      <c r="F302" s="1594">
        <f t="shared" ref="F302:G302" si="180">+F303+F305+F304</f>
        <v>21381750</v>
      </c>
      <c r="G302" s="1594">
        <f t="shared" si="180"/>
        <v>27609750</v>
      </c>
      <c r="H302" s="1595">
        <f>+H303+H305+H304</f>
        <v>0</v>
      </c>
      <c r="I302" s="1595">
        <f>+I303+I305+I304</f>
        <v>0</v>
      </c>
      <c r="J302" s="1594"/>
      <c r="K302" s="1594"/>
      <c r="L302" s="1594"/>
      <c r="M302" s="2022">
        <f>+M303+M305+M304</f>
        <v>48991500</v>
      </c>
      <c r="N302" s="2022">
        <f>+N303+N305+N304</f>
        <v>27609750</v>
      </c>
      <c r="O302" s="2916"/>
      <c r="Q302" s="491"/>
    </row>
    <row r="303" spans="1:17" ht="12.75" customHeight="1">
      <c r="A303" s="2932"/>
      <c r="B303" s="2061" t="s">
        <v>12</v>
      </c>
      <c r="C303" s="2945"/>
      <c r="D303" s="1034">
        <f>E303+F303+G303+H303+I303+J303+K303+L303</f>
        <v>48991500</v>
      </c>
      <c r="E303" s="1990">
        <v>0</v>
      </c>
      <c r="F303" s="2046">
        <v>21381750</v>
      </c>
      <c r="G303" s="2045">
        <v>27609750</v>
      </c>
      <c r="H303" s="2085">
        <v>0</v>
      </c>
      <c r="I303" s="1973">
        <v>0</v>
      </c>
      <c r="J303" s="2046"/>
      <c r="K303" s="2046"/>
      <c r="L303" s="2046"/>
      <c r="M303" s="2047">
        <f>SUM(F303:K303)</f>
        <v>48991500</v>
      </c>
      <c r="N303" s="2047">
        <f>SUM(G303:L303)</f>
        <v>27609750</v>
      </c>
      <c r="O303" s="2916"/>
    </row>
    <row r="304" spans="1:17" ht="12.75" hidden="1" customHeight="1">
      <c r="A304" s="2932"/>
      <c r="B304" s="650" t="s">
        <v>106</v>
      </c>
      <c r="C304" s="2945"/>
      <c r="D304" s="1034">
        <f>E304+F304+G304+H304+I304+J304+K304+L304</f>
        <v>0</v>
      </c>
      <c r="E304" s="2063">
        <v>0</v>
      </c>
      <c r="F304" s="1080">
        <f>15546856-2076856-13470000</f>
        <v>0</v>
      </c>
      <c r="G304" s="1785">
        <f>8419285+6619715-15039000</f>
        <v>0</v>
      </c>
      <c r="H304" s="1545">
        <v>0</v>
      </c>
      <c r="I304" s="2127">
        <f>2076000-2076000</f>
        <v>0</v>
      </c>
      <c r="J304" s="1080"/>
      <c r="K304" s="1080"/>
      <c r="L304" s="1080"/>
      <c r="M304" s="2047">
        <f>SUM(E304:K304)</f>
        <v>0</v>
      </c>
      <c r="N304" s="2047">
        <f>SUM(F304:L304)</f>
        <v>0</v>
      </c>
      <c r="O304" s="2916"/>
    </row>
    <row r="305" spans="1:17" ht="13.5" hidden="1" customHeight="1">
      <c r="A305" s="2932"/>
      <c r="B305" s="94" t="s">
        <v>15</v>
      </c>
      <c r="C305" s="2945"/>
      <c r="D305" s="1034">
        <f>SUM(E305:I305)</f>
        <v>0</v>
      </c>
      <c r="E305" s="2063"/>
      <c r="F305" s="1080">
        <v>0</v>
      </c>
      <c r="G305" s="1080">
        <v>0</v>
      </c>
      <c r="H305" s="1545"/>
      <c r="I305" s="1545"/>
      <c r="J305" s="1080"/>
      <c r="K305" s="1080"/>
      <c r="L305" s="1080"/>
      <c r="M305" s="70"/>
      <c r="N305" s="70"/>
      <c r="O305" s="2916"/>
    </row>
    <row r="306" spans="1:17" ht="13.5" customHeight="1">
      <c r="A306" s="2932"/>
      <c r="B306" s="2077" t="s">
        <v>18</v>
      </c>
      <c r="C306" s="2945"/>
      <c r="D306" s="2021">
        <f>+D307</f>
        <v>277618500</v>
      </c>
      <c r="E306" s="2027">
        <f t="shared" ref="E306:N306" si="181">+E307</f>
        <v>0</v>
      </c>
      <c r="F306" s="2027">
        <f t="shared" si="181"/>
        <v>121163250</v>
      </c>
      <c r="G306" s="2027">
        <f t="shared" si="181"/>
        <v>156455250</v>
      </c>
      <c r="H306" s="2128">
        <f t="shared" si="181"/>
        <v>0</v>
      </c>
      <c r="I306" s="2128">
        <f t="shared" si="181"/>
        <v>0</v>
      </c>
      <c r="J306" s="2027"/>
      <c r="K306" s="2027"/>
      <c r="L306" s="2027"/>
      <c r="M306" s="2022">
        <f t="shared" si="181"/>
        <v>277618500</v>
      </c>
      <c r="N306" s="2022">
        <f t="shared" si="181"/>
        <v>156455250</v>
      </c>
      <c r="O306" s="2916"/>
    </row>
    <row r="307" spans="1:17" ht="13.5" customHeight="1">
      <c r="A307" s="2932"/>
      <c r="B307" s="744" t="s">
        <v>21</v>
      </c>
      <c r="C307" s="2946"/>
      <c r="D307" s="1034">
        <f>E307+F307+G307+H307+I307+J307+K307+L307</f>
        <v>277618500</v>
      </c>
      <c r="E307" s="1990">
        <v>0</v>
      </c>
      <c r="F307" s="1080">
        <f>112200000-35870000+44833250</f>
        <v>121163250</v>
      </c>
      <c r="G307" s="1080">
        <f>96900000-11679000+71234250</f>
        <v>156455250</v>
      </c>
      <c r="H307" s="1545">
        <v>0</v>
      </c>
      <c r="I307" s="1545">
        <f>11764000-11764000</f>
        <v>0</v>
      </c>
      <c r="J307" s="1080"/>
      <c r="K307" s="1080"/>
      <c r="L307" s="1080"/>
      <c r="M307" s="2047">
        <f>SUM(F307:K307)</f>
        <v>277618500</v>
      </c>
      <c r="N307" s="2047">
        <f>SUM(G307:L307)</f>
        <v>156455250</v>
      </c>
      <c r="O307" s="2916"/>
    </row>
    <row r="308" spans="1:17" ht="16.5" customHeight="1">
      <c r="A308" s="2933"/>
      <c r="B308" s="2016" t="s">
        <v>22</v>
      </c>
      <c r="C308" s="2053"/>
      <c r="D308" s="2018">
        <f>+D309+D312</f>
        <v>277618500</v>
      </c>
      <c r="E308" s="2129">
        <f t="shared" ref="E308" si="182">+E309+E312</f>
        <v>0</v>
      </c>
      <c r="F308" s="2129">
        <f t="shared" ref="F308:I308" si="183">+F309+F312</f>
        <v>121163250</v>
      </c>
      <c r="G308" s="2129">
        <f t="shared" si="183"/>
        <v>156455250</v>
      </c>
      <c r="H308" s="2130">
        <f t="shared" si="183"/>
        <v>0</v>
      </c>
      <c r="I308" s="2130">
        <f t="shared" si="183"/>
        <v>0</v>
      </c>
      <c r="J308" s="2129"/>
      <c r="K308" s="2129"/>
      <c r="L308" s="2129"/>
      <c r="M308" s="1596"/>
      <c r="N308" s="1596"/>
      <c r="O308" s="2916"/>
    </row>
    <row r="309" spans="1:17" hidden="1">
      <c r="A309" s="2933"/>
      <c r="B309" s="2025" t="s">
        <v>24</v>
      </c>
      <c r="C309" s="2958" t="s">
        <v>379</v>
      </c>
      <c r="D309" s="53">
        <f>+D311+D310</f>
        <v>0</v>
      </c>
      <c r="E309" s="53">
        <f t="shared" ref="E309" si="184">+E311+E310</f>
        <v>0</v>
      </c>
      <c r="F309" s="53">
        <f t="shared" ref="F309" si="185">+F311+F310</f>
        <v>0</v>
      </c>
      <c r="G309" s="53">
        <f t="shared" ref="G309" si="186">+G311+G310</f>
        <v>0</v>
      </c>
      <c r="H309" s="271">
        <f>+H311+H310</f>
        <v>0</v>
      </c>
      <c r="I309" s="271">
        <f>+I311+I310</f>
        <v>0</v>
      </c>
      <c r="J309" s="53"/>
      <c r="K309" s="53"/>
      <c r="L309" s="53"/>
      <c r="M309" s="2196"/>
      <c r="N309" s="2196"/>
      <c r="O309" s="2916"/>
    </row>
    <row r="310" spans="1:17" ht="13.5" hidden="1" customHeight="1">
      <c r="A310" s="2933"/>
      <c r="B310" s="650" t="s">
        <v>106</v>
      </c>
      <c r="C310" s="3018"/>
      <c r="D310" s="1034">
        <f>E310+F310+G310+H310+I310+J310+K310+L310</f>
        <v>0</v>
      </c>
      <c r="E310" s="53"/>
      <c r="F310" s="1597">
        <f>8419285-8419285</f>
        <v>0</v>
      </c>
      <c r="G310" s="1597">
        <f>8419285-8419285</f>
        <v>0</v>
      </c>
      <c r="H310" s="1598">
        <v>0</v>
      </c>
      <c r="I310" s="271">
        <v>0</v>
      </c>
      <c r="J310" s="53"/>
      <c r="K310" s="53"/>
      <c r="L310" s="53"/>
      <c r="M310" s="2196"/>
      <c r="N310" s="2196"/>
      <c r="O310" s="2916"/>
    </row>
    <row r="311" spans="1:17" ht="12.75" hidden="1" customHeight="1">
      <c r="A311" s="2933"/>
      <c r="B311" s="94" t="s">
        <v>15</v>
      </c>
      <c r="C311" s="2959"/>
      <c r="D311" s="1034">
        <f>SUM(E311:I311)</f>
        <v>0</v>
      </c>
      <c r="E311" s="2050">
        <v>0</v>
      </c>
      <c r="F311" s="98"/>
      <c r="G311" s="98"/>
      <c r="H311" s="1599"/>
      <c r="I311" s="1599"/>
      <c r="J311" s="98"/>
      <c r="K311" s="98"/>
      <c r="L311" s="98"/>
      <c r="M311" s="2196"/>
      <c r="N311" s="2196"/>
      <c r="O311" s="2916"/>
    </row>
    <row r="312" spans="1:17" ht="14.25" customHeight="1">
      <c r="A312" s="2933"/>
      <c r="B312" s="2077" t="s">
        <v>18</v>
      </c>
      <c r="C312" s="2959"/>
      <c r="D312" s="2021">
        <f t="shared" ref="D312:I312" si="187">+D313</f>
        <v>277618500</v>
      </c>
      <c r="E312" s="2027">
        <f t="shared" si="187"/>
        <v>0</v>
      </c>
      <c r="F312" s="2027">
        <f t="shared" si="187"/>
        <v>121163250</v>
      </c>
      <c r="G312" s="2027">
        <f t="shared" si="187"/>
        <v>156455250</v>
      </c>
      <c r="H312" s="2128">
        <f t="shared" si="187"/>
        <v>0</v>
      </c>
      <c r="I312" s="2128">
        <f t="shared" si="187"/>
        <v>0</v>
      </c>
      <c r="J312" s="2027"/>
      <c r="K312" s="2027"/>
      <c r="L312" s="2027"/>
      <c r="M312" s="2196"/>
      <c r="N312" s="2196"/>
      <c r="O312" s="2916"/>
    </row>
    <row r="313" spans="1:17" ht="12.75" customHeight="1" thickBot="1">
      <c r="A313" s="2934"/>
      <c r="B313" s="1072" t="s">
        <v>21</v>
      </c>
      <c r="C313" s="2960"/>
      <c r="D313" s="1027">
        <f>E313+F313+G313+H313+I313+J313+K313+L313</f>
        <v>277618500</v>
      </c>
      <c r="E313" s="1027">
        <v>0</v>
      </c>
      <c r="F313" s="58">
        <f>112200000-35870000+44833250</f>
        <v>121163250</v>
      </c>
      <c r="G313" s="58">
        <f>96900000-11679000+71234250</f>
        <v>156455250</v>
      </c>
      <c r="H313" s="448">
        <v>0</v>
      </c>
      <c r="I313" s="448">
        <f>11764000-11764000</f>
        <v>0</v>
      </c>
      <c r="J313" s="58"/>
      <c r="K313" s="58"/>
      <c r="L313" s="58"/>
      <c r="M313" s="2197"/>
      <c r="N313" s="2197"/>
      <c r="O313" s="2917"/>
    </row>
    <row r="314" spans="1:17" ht="20.25" customHeight="1">
      <c r="A314" s="2963" t="s">
        <v>202</v>
      </c>
      <c r="B314" s="117" t="s">
        <v>213</v>
      </c>
      <c r="C314" s="963"/>
      <c r="D314" s="118"/>
      <c r="E314" s="119"/>
      <c r="F314" s="119"/>
      <c r="G314" s="119"/>
      <c r="H314" s="119"/>
      <c r="I314" s="119"/>
      <c r="J314" s="309"/>
      <c r="K314" s="310"/>
      <c r="L314" s="310"/>
      <c r="M314" s="120"/>
      <c r="N314" s="120"/>
      <c r="O314" s="2954"/>
    </row>
    <row r="315" spans="1:17" s="965" customFormat="1" ht="14.25" customHeight="1">
      <c r="A315" s="2964"/>
      <c r="B315" s="1090" t="s">
        <v>10</v>
      </c>
      <c r="C315" s="92"/>
      <c r="D315" s="121">
        <f>+D316+D319</f>
        <v>47036305</v>
      </c>
      <c r="E315" s="121">
        <f t="shared" ref="E315:N315" si="188">+E316+E319</f>
        <v>843115</v>
      </c>
      <c r="F315" s="121">
        <f t="shared" si="188"/>
        <v>9083400</v>
      </c>
      <c r="G315" s="121">
        <f t="shared" si="188"/>
        <v>29131523</v>
      </c>
      <c r="H315" s="121">
        <f t="shared" si="188"/>
        <v>7896095</v>
      </c>
      <c r="I315" s="121">
        <f t="shared" si="188"/>
        <v>82172</v>
      </c>
      <c r="J315" s="121">
        <f t="shared" si="188"/>
        <v>0</v>
      </c>
      <c r="K315" s="121">
        <f t="shared" si="188"/>
        <v>0</v>
      </c>
      <c r="L315" s="121">
        <f t="shared" si="188"/>
        <v>0</v>
      </c>
      <c r="M315" s="1039">
        <f t="shared" ref="M315" si="189">+M316+M319</f>
        <v>46193190</v>
      </c>
      <c r="N315" s="1039">
        <f t="shared" si="188"/>
        <v>37109790</v>
      </c>
      <c r="O315" s="2955"/>
      <c r="P315" s="491"/>
      <c r="Q315" s="964"/>
    </row>
    <row r="316" spans="1:17" s="966" customFormat="1" ht="13.5" customHeight="1">
      <c r="A316" s="2964"/>
      <c r="B316" s="122" t="s">
        <v>11</v>
      </c>
      <c r="C316" s="123"/>
      <c r="D316" s="1092">
        <f>+D317+D318</f>
        <v>13720469</v>
      </c>
      <c r="E316" s="1092">
        <f>+E317+E318</f>
        <v>510058</v>
      </c>
      <c r="F316" s="1092">
        <f t="shared" ref="F316:L316" si="190">+F317</f>
        <v>2226265</v>
      </c>
      <c r="G316" s="1092">
        <f t="shared" si="190"/>
        <v>9107003</v>
      </c>
      <c r="H316" s="1092">
        <f t="shared" si="190"/>
        <v>1864477</v>
      </c>
      <c r="I316" s="1092">
        <f t="shared" si="190"/>
        <v>12666</v>
      </c>
      <c r="J316" s="1092">
        <f t="shared" si="190"/>
        <v>0</v>
      </c>
      <c r="K316" s="1092">
        <f t="shared" si="190"/>
        <v>0</v>
      </c>
      <c r="L316" s="1092">
        <f t="shared" si="190"/>
        <v>0</v>
      </c>
      <c r="M316" s="707">
        <f>+M317</f>
        <v>13210411</v>
      </c>
      <c r="N316" s="707">
        <f>+N317</f>
        <v>10984146</v>
      </c>
      <c r="O316" s="2955"/>
      <c r="Q316" s="964"/>
    </row>
    <row r="317" spans="1:17" s="965" customFormat="1" ht="11.25" customHeight="1">
      <c r="A317" s="2964"/>
      <c r="B317" s="38" t="s">
        <v>12</v>
      </c>
      <c r="C317" s="39"/>
      <c r="D317" s="1093">
        <f>+D329+D339+D396++D348+D360+D369+D378+D387+D411</f>
        <v>13663466</v>
      </c>
      <c r="E317" s="1093">
        <f t="shared" ref="E317:J317" si="191">+E329+E339+E396++E348+E360+E369+E378+E387+E411</f>
        <v>453055</v>
      </c>
      <c r="F317" s="1093">
        <f t="shared" si="191"/>
        <v>2226265</v>
      </c>
      <c r="G317" s="1093">
        <f t="shared" si="191"/>
        <v>9107003</v>
      </c>
      <c r="H317" s="1093">
        <f t="shared" si="191"/>
        <v>1864477</v>
      </c>
      <c r="I317" s="1093">
        <f t="shared" si="191"/>
        <v>12666</v>
      </c>
      <c r="J317" s="1093">
        <f t="shared" si="191"/>
        <v>0</v>
      </c>
      <c r="K317" s="1093">
        <f t="shared" ref="K317:L317" si="192">+K329+K339+K396++K348+K360+K369+K378+K387</f>
        <v>0</v>
      </c>
      <c r="L317" s="1093">
        <f t="shared" si="192"/>
        <v>0</v>
      </c>
      <c r="M317" s="1065">
        <f>SUM(F317:K317)</f>
        <v>13210411</v>
      </c>
      <c r="N317" s="1065">
        <f>SUM(G317:L317)</f>
        <v>10984146</v>
      </c>
      <c r="O317" s="2955"/>
      <c r="P317" s="964"/>
      <c r="Q317" s="964"/>
    </row>
    <row r="318" spans="1:17" s="965" customFormat="1" ht="11.25" customHeight="1">
      <c r="A318" s="2964"/>
      <c r="B318" s="38" t="s">
        <v>15</v>
      </c>
      <c r="C318" s="39"/>
      <c r="D318" s="1093">
        <f>+D349</f>
        <v>57003</v>
      </c>
      <c r="E318" s="1093">
        <f t="shared" ref="E318:L318" si="193">+E349</f>
        <v>57003</v>
      </c>
      <c r="F318" s="1093">
        <f t="shared" si="193"/>
        <v>0</v>
      </c>
      <c r="G318" s="1093">
        <f t="shared" si="193"/>
        <v>0</v>
      </c>
      <c r="H318" s="1093">
        <f t="shared" si="193"/>
        <v>0</v>
      </c>
      <c r="I318" s="1093">
        <f t="shared" si="193"/>
        <v>0</v>
      </c>
      <c r="J318" s="1093">
        <f t="shared" si="193"/>
        <v>0</v>
      </c>
      <c r="K318" s="1093">
        <f t="shared" si="193"/>
        <v>0</v>
      </c>
      <c r="L318" s="1093">
        <f t="shared" si="193"/>
        <v>0</v>
      </c>
      <c r="M318" s="1065">
        <f>SUM(F318:K318)</f>
        <v>0</v>
      </c>
      <c r="N318" s="1065">
        <f>SUM(G318:L318)</f>
        <v>0</v>
      </c>
      <c r="O318" s="2955"/>
      <c r="P318" s="964"/>
      <c r="Q318" s="964"/>
    </row>
    <row r="319" spans="1:17" s="966" customFormat="1" ht="13.5" customHeight="1">
      <c r="A319" s="2964"/>
      <c r="B319" s="1094" t="s">
        <v>100</v>
      </c>
      <c r="C319" s="1095"/>
      <c r="D319" s="1096">
        <f>+D320</f>
        <v>33315836</v>
      </c>
      <c r="E319" s="1096">
        <f t="shared" ref="E319:L319" si="194">+E320</f>
        <v>333057</v>
      </c>
      <c r="F319" s="1096">
        <f t="shared" si="194"/>
        <v>6857135</v>
      </c>
      <c r="G319" s="1096">
        <f t="shared" si="194"/>
        <v>20024520</v>
      </c>
      <c r="H319" s="1096">
        <f t="shared" si="194"/>
        <v>6031618</v>
      </c>
      <c r="I319" s="1096">
        <f t="shared" si="194"/>
        <v>69506</v>
      </c>
      <c r="J319" s="1096">
        <f t="shared" si="194"/>
        <v>0</v>
      </c>
      <c r="K319" s="1096">
        <f t="shared" si="194"/>
        <v>0</v>
      </c>
      <c r="L319" s="1096">
        <f t="shared" si="194"/>
        <v>0</v>
      </c>
      <c r="M319" s="707">
        <f>+M320</f>
        <v>32982779</v>
      </c>
      <c r="N319" s="707">
        <f>+N320</f>
        <v>26125644</v>
      </c>
      <c r="O319" s="2955"/>
      <c r="Q319" s="964"/>
    </row>
    <row r="320" spans="1:17" s="965" customFormat="1" ht="12.75" customHeight="1">
      <c r="A320" s="2964"/>
      <c r="B320" s="38" t="s">
        <v>20</v>
      </c>
      <c r="C320" s="39"/>
      <c r="D320" s="1093">
        <f>+D331+D341+D401+D351+D362+D371+D380+D389+D416</f>
        <v>33315836</v>
      </c>
      <c r="E320" s="1093">
        <f t="shared" ref="E320:K320" si="195">+E331+E341+E401+E351+E362+E371+E380+E389+E416</f>
        <v>333057</v>
      </c>
      <c r="F320" s="1093">
        <f t="shared" si="195"/>
        <v>6857135</v>
      </c>
      <c r="G320" s="1093">
        <f t="shared" si="195"/>
        <v>20024520</v>
      </c>
      <c r="H320" s="1093">
        <f t="shared" si="195"/>
        <v>6031618</v>
      </c>
      <c r="I320" s="1093">
        <f t="shared" si="195"/>
        <v>69506</v>
      </c>
      <c r="J320" s="1093">
        <f t="shared" si="195"/>
        <v>0</v>
      </c>
      <c r="K320" s="1093">
        <f t="shared" si="195"/>
        <v>0</v>
      </c>
      <c r="L320" s="1093">
        <f t="shared" ref="L320" si="196">+L331+L341+L401+L351+L362+L371+L380+L389</f>
        <v>0</v>
      </c>
      <c r="M320" s="1065">
        <f>SUM(F320:K320)</f>
        <v>32982779</v>
      </c>
      <c r="N320" s="1065">
        <f>SUM(G320:L320)</f>
        <v>26125644</v>
      </c>
      <c r="O320" s="2955"/>
      <c r="P320" s="964"/>
      <c r="Q320" s="964"/>
    </row>
    <row r="321" spans="1:16" s="965" customFormat="1" ht="12" customHeight="1">
      <c r="A321" s="2965"/>
      <c r="B321" s="728" t="s">
        <v>22</v>
      </c>
      <c r="C321" s="829"/>
      <c r="D321" s="1063">
        <f>+D324+D322</f>
        <v>33372839</v>
      </c>
      <c r="E321" s="1063">
        <f t="shared" ref="E321:L321" si="197">+E324+E322</f>
        <v>57003</v>
      </c>
      <c r="F321" s="1063">
        <f t="shared" si="197"/>
        <v>45897</v>
      </c>
      <c r="G321" s="1063">
        <f t="shared" si="197"/>
        <v>17908775</v>
      </c>
      <c r="H321" s="1063">
        <f t="shared" si="197"/>
        <v>12227102</v>
      </c>
      <c r="I321" s="1063">
        <f t="shared" si="197"/>
        <v>3134062</v>
      </c>
      <c r="J321" s="1063">
        <f t="shared" si="197"/>
        <v>0</v>
      </c>
      <c r="K321" s="1063">
        <f t="shared" si="197"/>
        <v>0</v>
      </c>
      <c r="L321" s="1063">
        <f t="shared" si="197"/>
        <v>0</v>
      </c>
      <c r="M321" s="2871" t="s">
        <v>23</v>
      </c>
      <c r="N321" s="2871" t="s">
        <v>23</v>
      </c>
      <c r="O321" s="125"/>
      <c r="P321" s="964"/>
    </row>
    <row r="322" spans="1:16" s="965" customFormat="1" ht="12" customHeight="1">
      <c r="A322" s="2965"/>
      <c r="B322" s="122" t="s">
        <v>24</v>
      </c>
      <c r="C322" s="123"/>
      <c r="D322" s="1092">
        <f>+D323</f>
        <v>57003</v>
      </c>
      <c r="E322" s="1092">
        <v>57003</v>
      </c>
      <c r="F322" s="1092"/>
      <c r="G322" s="1092"/>
      <c r="H322" s="1092"/>
      <c r="I322" s="1092"/>
      <c r="J322" s="1092"/>
      <c r="K322" s="1092"/>
      <c r="L322" s="1092"/>
      <c r="M322" s="2868"/>
      <c r="N322" s="2868"/>
      <c r="O322" s="125"/>
      <c r="P322" s="964"/>
    </row>
    <row r="323" spans="1:16" s="965" customFormat="1" ht="12" customHeight="1">
      <c r="A323" s="2965"/>
      <c r="B323" s="38" t="s">
        <v>15</v>
      </c>
      <c r="C323" s="39"/>
      <c r="D323" s="1093">
        <f>+D354</f>
        <v>57003</v>
      </c>
      <c r="E323" s="1093">
        <f>+E349</f>
        <v>57003</v>
      </c>
      <c r="F323" s="1093">
        <f>+F349</f>
        <v>0</v>
      </c>
      <c r="G323" s="1093">
        <f t="shared" ref="G323:K323" si="198">+G349</f>
        <v>0</v>
      </c>
      <c r="H323" s="1093">
        <f t="shared" si="198"/>
        <v>0</v>
      </c>
      <c r="I323" s="1093">
        <f t="shared" si="198"/>
        <v>0</v>
      </c>
      <c r="J323" s="1093">
        <f t="shared" si="198"/>
        <v>0</v>
      </c>
      <c r="K323" s="1093">
        <f t="shared" si="198"/>
        <v>0</v>
      </c>
      <c r="L323" s="1093">
        <f t="shared" ref="L323" si="199">+L354</f>
        <v>0</v>
      </c>
      <c r="M323" s="2868"/>
      <c r="N323" s="2868"/>
      <c r="O323" s="125"/>
      <c r="P323" s="964"/>
    </row>
    <row r="324" spans="1:16" s="965" customFormat="1" ht="12.75" customHeight="1">
      <c r="A324" s="2965"/>
      <c r="B324" s="1097" t="s">
        <v>18</v>
      </c>
      <c r="C324" s="967"/>
      <c r="D324" s="126">
        <f>+D325</f>
        <v>33315836</v>
      </c>
      <c r="E324" s="126">
        <v>0</v>
      </c>
      <c r="F324" s="126">
        <f t="shared" ref="F324:I324" si="200">+F325</f>
        <v>45897</v>
      </c>
      <c r="G324" s="126">
        <f t="shared" si="200"/>
        <v>17908775</v>
      </c>
      <c r="H324" s="126">
        <f t="shared" si="200"/>
        <v>12227102</v>
      </c>
      <c r="I324" s="126">
        <f t="shared" si="200"/>
        <v>3134062</v>
      </c>
      <c r="J324" s="126">
        <f>+J325</f>
        <v>0</v>
      </c>
      <c r="K324" s="126">
        <f>+K325</f>
        <v>0</v>
      </c>
      <c r="L324" s="126">
        <f>+L325</f>
        <v>0</v>
      </c>
      <c r="M324" s="2868"/>
      <c r="N324" s="2868"/>
      <c r="O324" s="2539"/>
      <c r="P324" s="964"/>
    </row>
    <row r="325" spans="1:16" s="965" customFormat="1" ht="13.5" customHeight="1" thickBot="1">
      <c r="A325" s="2966"/>
      <c r="B325" s="968" t="s">
        <v>20</v>
      </c>
      <c r="C325" s="969"/>
      <c r="D325" s="127">
        <f>+D334+D344+D407+D356+D365+D374+D383+D392+D422</f>
        <v>33315836</v>
      </c>
      <c r="E325" s="127">
        <f t="shared" ref="E325:L325" si="201">+E334+E344+E407+E356+E365+E374+E383+E392+E422</f>
        <v>0</v>
      </c>
      <c r="F325" s="127">
        <f t="shared" si="201"/>
        <v>45897</v>
      </c>
      <c r="G325" s="127">
        <f t="shared" si="201"/>
        <v>17908775</v>
      </c>
      <c r="H325" s="127">
        <f t="shared" si="201"/>
        <v>12227102</v>
      </c>
      <c r="I325" s="127">
        <f t="shared" si="201"/>
        <v>3134062</v>
      </c>
      <c r="J325" s="127">
        <f t="shared" si="201"/>
        <v>0</v>
      </c>
      <c r="K325" s="127">
        <f t="shared" si="201"/>
        <v>0</v>
      </c>
      <c r="L325" s="127">
        <f t="shared" si="201"/>
        <v>0</v>
      </c>
      <c r="M325" s="2869"/>
      <c r="N325" s="2869"/>
      <c r="O325" s="128"/>
      <c r="P325" s="964">
        <f>D325-D320</f>
        <v>0</v>
      </c>
    </row>
    <row r="326" spans="1:16" ht="13.5" hidden="1" thickBot="1">
      <c r="A326" s="2931"/>
      <c r="B326" s="287"/>
      <c r="C326" s="59" t="s">
        <v>81</v>
      </c>
      <c r="D326" s="131"/>
      <c r="E326" s="42"/>
      <c r="F326" s="44"/>
      <c r="G326" s="44"/>
      <c r="H326" s="293"/>
      <c r="I326" s="43"/>
      <c r="J326" s="293"/>
      <c r="K326" s="293"/>
      <c r="L326" s="293"/>
      <c r="M326" s="294"/>
      <c r="N326" s="294"/>
      <c r="O326" s="2884" t="s">
        <v>101</v>
      </c>
    </row>
    <row r="327" spans="1:16" ht="13.5" hidden="1" thickBot="1">
      <c r="A327" s="2932"/>
      <c r="B327" s="21" t="s">
        <v>10</v>
      </c>
      <c r="C327" s="22"/>
      <c r="D327" s="129">
        <f>+D328+D330</f>
        <v>0</v>
      </c>
      <c r="E327" s="129">
        <v>0</v>
      </c>
      <c r="F327" s="129"/>
      <c r="G327" s="129"/>
      <c r="H327" s="129"/>
      <c r="I327" s="129"/>
      <c r="J327" s="129"/>
      <c r="K327" s="129"/>
      <c r="L327" s="129"/>
      <c r="M327" s="66">
        <f>+M328+M330</f>
        <v>0</v>
      </c>
      <c r="N327" s="66">
        <f>+N328+N330</f>
        <v>0</v>
      </c>
      <c r="O327" s="2885"/>
    </row>
    <row r="328" spans="1:16" ht="13.5" hidden="1" thickBot="1">
      <c r="A328" s="2932"/>
      <c r="B328" s="174" t="s">
        <v>24</v>
      </c>
      <c r="C328" s="2893" t="s">
        <v>84</v>
      </c>
      <c r="D328" s="130">
        <f>+D329</f>
        <v>0</v>
      </c>
      <c r="E328" s="130">
        <v>0</v>
      </c>
      <c r="F328" s="130"/>
      <c r="G328" s="130"/>
      <c r="H328" s="130"/>
      <c r="I328" s="130"/>
      <c r="J328" s="130"/>
      <c r="K328" s="130"/>
      <c r="L328" s="130"/>
      <c r="M328" s="80">
        <f>+M329</f>
        <v>0</v>
      </c>
      <c r="N328" s="80">
        <f>+N329</f>
        <v>0</v>
      </c>
      <c r="O328" s="2885"/>
    </row>
    <row r="329" spans="1:16" ht="13.5" hidden="1" thickBot="1">
      <c r="A329" s="2932"/>
      <c r="B329" s="456" t="s">
        <v>12</v>
      </c>
      <c r="C329" s="2894"/>
      <c r="D329" s="251">
        <f>E329+F329+G329+H329+I329+J329+K329+L329</f>
        <v>0</v>
      </c>
      <c r="E329" s="289">
        <v>0</v>
      </c>
      <c r="F329" s="88"/>
      <c r="G329" s="88"/>
      <c r="H329" s="88"/>
      <c r="I329" s="88"/>
      <c r="J329" s="88"/>
      <c r="K329" s="88"/>
      <c r="L329" s="88"/>
      <c r="M329" s="36">
        <f>SUM(E329:H329)</f>
        <v>0</v>
      </c>
      <c r="N329" s="36">
        <f>SUM(F329:I329)</f>
        <v>0</v>
      </c>
      <c r="O329" s="2885"/>
    </row>
    <row r="330" spans="1:16" ht="12.75" hidden="1" customHeight="1">
      <c r="A330" s="2932"/>
      <c r="B330" s="499" t="s">
        <v>18</v>
      </c>
      <c r="C330" s="2894"/>
      <c r="D330" s="50">
        <f>+D331</f>
        <v>0</v>
      </c>
      <c r="E330" s="50">
        <v>0</v>
      </c>
      <c r="F330" s="50"/>
      <c r="G330" s="50"/>
      <c r="H330" s="50"/>
      <c r="I330" s="50"/>
      <c r="J330" s="50"/>
      <c r="K330" s="50"/>
      <c r="L330" s="50"/>
      <c r="M330" s="80">
        <f>+M331</f>
        <v>0</v>
      </c>
      <c r="N330" s="80">
        <f>+N331</f>
        <v>0</v>
      </c>
      <c r="O330" s="2885"/>
    </row>
    <row r="331" spans="1:16" ht="13.5" hidden="1" thickBot="1">
      <c r="A331" s="2932"/>
      <c r="B331" s="955" t="s">
        <v>214</v>
      </c>
      <c r="C331" s="2956"/>
      <c r="D331" s="251">
        <f>E331+F331+G331+H331+I331+J331+K331+L331</f>
        <v>0</v>
      </c>
      <c r="E331" s="289"/>
      <c r="F331" s="88"/>
      <c r="G331" s="88"/>
      <c r="H331" s="88"/>
      <c r="I331" s="88"/>
      <c r="J331" s="88"/>
      <c r="K331" s="88"/>
      <c r="L331" s="88"/>
      <c r="M331" s="36">
        <f>SUM(E331:H331)</f>
        <v>0</v>
      </c>
      <c r="N331" s="36">
        <f>SUM(F331:I331)</f>
        <v>0</v>
      </c>
      <c r="O331" s="2899"/>
      <c r="P331" s="491"/>
    </row>
    <row r="332" spans="1:16" ht="10.5" hidden="1" customHeight="1">
      <c r="A332" s="2933"/>
      <c r="B332" s="21" t="s">
        <v>22</v>
      </c>
      <c r="C332" s="22"/>
      <c r="D332" s="200">
        <f>+D333</f>
        <v>0</v>
      </c>
      <c r="E332" s="200">
        <v>0</v>
      </c>
      <c r="F332" s="200"/>
      <c r="G332" s="200"/>
      <c r="H332" s="200"/>
      <c r="I332" s="200"/>
      <c r="J332" s="200"/>
      <c r="K332" s="200"/>
      <c r="L332" s="200"/>
      <c r="M332" s="2872" t="s">
        <v>23</v>
      </c>
      <c r="N332" s="2872" t="s">
        <v>23</v>
      </c>
      <c r="O332" s="2915" t="s">
        <v>102</v>
      </c>
    </row>
    <row r="333" spans="1:16" s="269" customFormat="1" ht="12.75" hidden="1" customHeight="1">
      <c r="A333" s="2933"/>
      <c r="B333" s="499" t="s">
        <v>18</v>
      </c>
      <c r="C333" s="2893" t="s">
        <v>84</v>
      </c>
      <c r="D333" s="846">
        <f>+D334</f>
        <v>0</v>
      </c>
      <c r="E333" s="949">
        <v>0</v>
      </c>
      <c r="F333" s="846"/>
      <c r="G333" s="846"/>
      <c r="H333" s="846"/>
      <c r="I333" s="846"/>
      <c r="J333" s="846"/>
      <c r="K333" s="846"/>
      <c r="L333" s="846"/>
      <c r="M333" s="2868"/>
      <c r="N333" s="2868"/>
      <c r="O333" s="2916"/>
    </row>
    <row r="334" spans="1:16" ht="12" hidden="1" customHeight="1" thickBot="1">
      <c r="A334" s="2934"/>
      <c r="B334" s="56" t="s">
        <v>20</v>
      </c>
      <c r="C334" s="2921"/>
      <c r="D334" s="251">
        <f>E334+F334+G334+H334+I334+J334+K334+L334</f>
        <v>0</v>
      </c>
      <c r="E334" s="289">
        <v>0</v>
      </c>
      <c r="F334" s="73"/>
      <c r="G334" s="73"/>
      <c r="H334" s="73"/>
      <c r="I334" s="73"/>
      <c r="J334" s="73"/>
      <c r="K334" s="73"/>
      <c r="L334" s="73"/>
      <c r="M334" s="2869"/>
      <c r="N334" s="2869"/>
      <c r="O334" s="2917"/>
    </row>
    <row r="335" spans="1:16" ht="20.25" customHeight="1" thickBot="1">
      <c r="A335" s="295"/>
      <c r="B335" s="284" t="s">
        <v>215</v>
      </c>
      <c r="C335" s="209"/>
      <c r="D335" s="970"/>
      <c r="E335" s="207"/>
      <c r="F335" s="971"/>
      <c r="G335" s="971"/>
      <c r="H335" s="972"/>
      <c r="I335" s="210"/>
      <c r="J335" s="972"/>
      <c r="K335" s="972"/>
      <c r="L335" s="972"/>
      <c r="M335" s="296"/>
      <c r="N335" s="296"/>
      <c r="O335" s="297"/>
    </row>
    <row r="336" spans="1:16" ht="28.5" customHeight="1">
      <c r="A336" s="2931" t="s">
        <v>104</v>
      </c>
      <c r="B336" s="287" t="s">
        <v>341</v>
      </c>
      <c r="C336" s="59" t="s">
        <v>81</v>
      </c>
      <c r="D336" s="131"/>
      <c r="E336" s="42"/>
      <c r="F336" s="44"/>
      <c r="G336" s="44"/>
      <c r="H336" s="241"/>
      <c r="I336" s="43"/>
      <c r="J336" s="241"/>
      <c r="K336" s="241"/>
      <c r="L336" s="241"/>
      <c r="M336" s="63"/>
      <c r="N336" s="63"/>
      <c r="O336" s="2884" t="s">
        <v>86</v>
      </c>
      <c r="P336" s="237" t="s">
        <v>285</v>
      </c>
    </row>
    <row r="337" spans="1:16">
      <c r="A337" s="2932"/>
      <c r="B337" s="728" t="s">
        <v>10</v>
      </c>
      <c r="C337" s="2017"/>
      <c r="D337" s="2054">
        <f>+D338+D340</f>
        <v>13000000</v>
      </c>
      <c r="E337" s="2054">
        <f t="shared" ref="E337" si="202">+E338+E340</f>
        <v>20256</v>
      </c>
      <c r="F337" s="2054">
        <f>+F338+F340</f>
        <v>8627420</v>
      </c>
      <c r="G337" s="2054">
        <f>+G338+G340</f>
        <v>4352324</v>
      </c>
      <c r="H337" s="2054"/>
      <c r="I337" s="2054"/>
      <c r="J337" s="2054"/>
      <c r="K337" s="2054"/>
      <c r="L337" s="2054"/>
      <c r="M337" s="2019">
        <f>+M338+M340</f>
        <v>12979744</v>
      </c>
      <c r="N337" s="2019">
        <f>+N338+N340</f>
        <v>4352324</v>
      </c>
      <c r="O337" s="2885"/>
    </row>
    <row r="338" spans="1:16">
      <c r="A338" s="2932"/>
      <c r="B338" s="694" t="s">
        <v>24</v>
      </c>
      <c r="C338" s="2920" t="s">
        <v>84</v>
      </c>
      <c r="D338" s="2055">
        <f>+D339</f>
        <v>5392942</v>
      </c>
      <c r="E338" s="2055">
        <f t="shared" ref="E338:G338" si="203">+E339</f>
        <v>20256</v>
      </c>
      <c r="F338" s="2055">
        <f t="shared" si="203"/>
        <v>2106885</v>
      </c>
      <c r="G338" s="2055">
        <f t="shared" si="203"/>
        <v>3265801</v>
      </c>
      <c r="H338" s="2055"/>
      <c r="I338" s="2055"/>
      <c r="J338" s="2055"/>
      <c r="K338" s="2055"/>
      <c r="L338" s="2055"/>
      <c r="M338" s="2022">
        <f>+M339</f>
        <v>5372686</v>
      </c>
      <c r="N338" s="2022">
        <f>+N339</f>
        <v>3265801</v>
      </c>
      <c r="O338" s="2885"/>
    </row>
    <row r="339" spans="1:16">
      <c r="A339" s="2932"/>
      <c r="B339" s="1073" t="s">
        <v>12</v>
      </c>
      <c r="C339" s="2894"/>
      <c r="D339" s="1926">
        <f>E339+F339+G339+H339+I339+J339+K339+L339</f>
        <v>5392942</v>
      </c>
      <c r="E339" s="1990">
        <f>20256</f>
        <v>20256</v>
      </c>
      <c r="F339" s="2045">
        <f>1743624+383940+1505122+240000-1765801</f>
        <v>2106885</v>
      </c>
      <c r="G339" s="2045">
        <v>3265801</v>
      </c>
      <c r="H339" s="2045"/>
      <c r="I339" s="2045"/>
      <c r="J339" s="2045"/>
      <c r="K339" s="2045"/>
      <c r="L339" s="2045"/>
      <c r="M339" s="2047">
        <f>SUM(F339:K339)</f>
        <v>5372686</v>
      </c>
      <c r="N339" s="2047">
        <f>SUM(G339:L339)</f>
        <v>3265801</v>
      </c>
      <c r="O339" s="2885"/>
    </row>
    <row r="340" spans="1:16">
      <c r="A340" s="2932"/>
      <c r="B340" s="1069" t="s">
        <v>18</v>
      </c>
      <c r="C340" s="2894"/>
      <c r="D340" s="2021">
        <f>+D341</f>
        <v>7607058</v>
      </c>
      <c r="E340" s="2487">
        <f t="shared" ref="E340:G340" si="204">+E341</f>
        <v>0</v>
      </c>
      <c r="F340" s="2021">
        <f t="shared" si="204"/>
        <v>6520535</v>
      </c>
      <c r="G340" s="2021">
        <f t="shared" si="204"/>
        <v>1086523</v>
      </c>
      <c r="H340" s="2021"/>
      <c r="I340" s="2021"/>
      <c r="J340" s="2021"/>
      <c r="K340" s="2021"/>
      <c r="L340" s="2021"/>
      <c r="M340" s="2022">
        <f>+M341</f>
        <v>7607058</v>
      </c>
      <c r="N340" s="2022">
        <f>+N341</f>
        <v>1086523</v>
      </c>
      <c r="O340" s="2885"/>
    </row>
    <row r="341" spans="1:16">
      <c r="A341" s="2932"/>
      <c r="B341" s="2488" t="s">
        <v>214</v>
      </c>
      <c r="C341" s="2956"/>
      <c r="D341" s="1926">
        <f>E341+F341+G341+H341+I341+J341+K341+L341</f>
        <v>7607058</v>
      </c>
      <c r="E341" s="2063">
        <v>0</v>
      </c>
      <c r="F341" s="2045">
        <f>5576376+1196060+74622+760000-1086523</f>
        <v>6520535</v>
      </c>
      <c r="G341" s="2045">
        <v>1086523</v>
      </c>
      <c r="H341" s="2045"/>
      <c r="I341" s="2045"/>
      <c r="J341" s="2045"/>
      <c r="K341" s="2045"/>
      <c r="L341" s="2045"/>
      <c r="M341" s="2047">
        <f>SUM(F341:K341)</f>
        <v>7607058</v>
      </c>
      <c r="N341" s="2047">
        <f>SUM(G341:L341)</f>
        <v>1086523</v>
      </c>
      <c r="O341" s="2899"/>
      <c r="P341" s="491"/>
    </row>
    <row r="342" spans="1:16">
      <c r="A342" s="2933"/>
      <c r="B342" s="728" t="s">
        <v>22</v>
      </c>
      <c r="C342" s="2017"/>
      <c r="D342" s="2018">
        <f>+D343</f>
        <v>7607058</v>
      </c>
      <c r="E342" s="2489">
        <f t="shared" ref="E342:G343" si="205">+E343</f>
        <v>0</v>
      </c>
      <c r="F342" s="2489">
        <f t="shared" si="205"/>
        <v>0</v>
      </c>
      <c r="G342" s="2018">
        <f t="shared" si="205"/>
        <v>7607058</v>
      </c>
      <c r="H342" s="2018"/>
      <c r="I342" s="2018"/>
      <c r="J342" s="2018"/>
      <c r="K342" s="2018"/>
      <c r="L342" s="2018"/>
      <c r="M342" s="2867" t="s">
        <v>23</v>
      </c>
      <c r="N342" s="2867" t="s">
        <v>23</v>
      </c>
      <c r="O342" s="2971" t="s">
        <v>102</v>
      </c>
      <c r="P342" s="491"/>
    </row>
    <row r="343" spans="1:16" s="269" customFormat="1" ht="12.75" customHeight="1">
      <c r="A343" s="2933"/>
      <c r="B343" s="1069" t="s">
        <v>18</v>
      </c>
      <c r="C343" s="2920" t="s">
        <v>84</v>
      </c>
      <c r="D343" s="2051">
        <f>+D344</f>
        <v>7607058</v>
      </c>
      <c r="E343" s="2497">
        <v>0</v>
      </c>
      <c r="F343" s="2497">
        <f t="shared" si="205"/>
        <v>0</v>
      </c>
      <c r="G343" s="2059">
        <f t="shared" si="205"/>
        <v>7607058</v>
      </c>
      <c r="H343" s="2051"/>
      <c r="I343" s="2051"/>
      <c r="J343" s="2051"/>
      <c r="K343" s="2051"/>
      <c r="L343" s="2051"/>
      <c r="M343" s="2868"/>
      <c r="N343" s="2868"/>
      <c r="O343" s="2916"/>
    </row>
    <row r="344" spans="1:16" ht="12" customHeight="1" thickBot="1">
      <c r="A344" s="2934"/>
      <c r="B344" s="908" t="s">
        <v>20</v>
      </c>
      <c r="C344" s="2921"/>
      <c r="D344" s="2222">
        <f>E344+F344+G344+H344+I344+J344+K344+L344</f>
        <v>7607058</v>
      </c>
      <c r="E344" s="2498">
        <v>0</v>
      </c>
      <c r="F344" s="2500">
        <v>0</v>
      </c>
      <c r="G344" s="2499">
        <f>2861124+4745934</f>
        <v>7607058</v>
      </c>
      <c r="H344" s="2499"/>
      <c r="I344" s="2499"/>
      <c r="J344" s="2499"/>
      <c r="K344" s="2499"/>
      <c r="L344" s="2499"/>
      <c r="M344" s="2869"/>
      <c r="N344" s="2869"/>
      <c r="O344" s="2917"/>
    </row>
    <row r="345" spans="1:16" ht="24">
      <c r="A345" s="2931" t="s">
        <v>269</v>
      </c>
      <c r="B345" s="287" t="s">
        <v>441</v>
      </c>
      <c r="C345" s="59" t="s">
        <v>81</v>
      </c>
      <c r="D345" s="131"/>
      <c r="E345" s="42"/>
      <c r="F345" s="44"/>
      <c r="G345" s="44"/>
      <c r="H345" s="241"/>
      <c r="I345" s="43"/>
      <c r="J345" s="241"/>
      <c r="K345" s="241"/>
      <c r="L345" s="241"/>
      <c r="M345" s="63"/>
      <c r="N345" s="63"/>
      <c r="O345" s="2884" t="s">
        <v>86</v>
      </c>
      <c r="P345" s="237" t="s">
        <v>285</v>
      </c>
    </row>
    <row r="346" spans="1:16">
      <c r="A346" s="2932"/>
      <c r="B346" s="728" t="s">
        <v>10</v>
      </c>
      <c r="C346" s="2053"/>
      <c r="D346" s="2054">
        <f>+D347+D350</f>
        <v>8417660</v>
      </c>
      <c r="E346" s="2054">
        <f t="shared" ref="E346" si="206">+E347+E350</f>
        <v>395660</v>
      </c>
      <c r="F346" s="2054">
        <f t="shared" ref="F346:G346" si="207">+F347+F350</f>
        <v>0</v>
      </c>
      <c r="G346" s="2054">
        <f t="shared" si="207"/>
        <v>8022000</v>
      </c>
      <c r="H346" s="2054"/>
      <c r="I346" s="2054"/>
      <c r="J346" s="2054"/>
      <c r="K346" s="2054"/>
      <c r="L346" s="2054"/>
      <c r="M346" s="1947">
        <f>+M347+M350</f>
        <v>8022000</v>
      </c>
      <c r="N346" s="1947">
        <f>+N347+N350</f>
        <v>8022000</v>
      </c>
      <c r="O346" s="2885"/>
    </row>
    <row r="347" spans="1:16">
      <c r="A347" s="2932"/>
      <c r="B347" s="694" t="s">
        <v>24</v>
      </c>
      <c r="C347" s="2920" t="s">
        <v>84</v>
      </c>
      <c r="D347" s="2055">
        <f>+D348+D349</f>
        <v>2306501</v>
      </c>
      <c r="E347" s="2055">
        <f t="shared" ref="E347" si="208">+E348+E349</f>
        <v>395660</v>
      </c>
      <c r="F347" s="2058">
        <v>0</v>
      </c>
      <c r="G347" s="2055">
        <f>+G348+G349</f>
        <v>1910841</v>
      </c>
      <c r="H347" s="2055"/>
      <c r="I347" s="2055"/>
      <c r="J347" s="2055"/>
      <c r="K347" s="2055"/>
      <c r="L347" s="2055"/>
      <c r="M347" s="2022">
        <f>+M348</f>
        <v>1910841</v>
      </c>
      <c r="N347" s="2022">
        <f>+N348</f>
        <v>1910841</v>
      </c>
      <c r="O347" s="2885"/>
    </row>
    <row r="348" spans="1:16">
      <c r="A348" s="2932"/>
      <c r="B348" s="1073" t="s">
        <v>12</v>
      </c>
      <c r="C348" s="2894"/>
      <c r="D348" s="1926">
        <f>E348+F348+G348+H348+I348+J348+K348+L348</f>
        <v>2249498</v>
      </c>
      <c r="E348" s="1990">
        <v>338657</v>
      </c>
      <c r="F348" s="2056">
        <v>0</v>
      </c>
      <c r="G348" s="2045">
        <f>1887021+23820</f>
        <v>1910841</v>
      </c>
      <c r="H348" s="2045"/>
      <c r="I348" s="2045"/>
      <c r="J348" s="2045"/>
      <c r="K348" s="2045"/>
      <c r="L348" s="2045"/>
      <c r="M348" s="1065">
        <f>SUM(F348:K348)</f>
        <v>1910841</v>
      </c>
      <c r="N348" s="1065">
        <f>SUM(G348:L348)</f>
        <v>1910841</v>
      </c>
      <c r="O348" s="2885"/>
    </row>
    <row r="349" spans="1:16" ht="12" customHeight="1">
      <c r="A349" s="2932"/>
      <c r="B349" s="1073" t="s">
        <v>15</v>
      </c>
      <c r="C349" s="2894"/>
      <c r="D349" s="1926">
        <f>E349+F349+G349+H349+I349+J349+K349+L349</f>
        <v>57003</v>
      </c>
      <c r="E349" s="1990">
        <v>57003</v>
      </c>
      <c r="F349" s="2056">
        <v>0</v>
      </c>
      <c r="G349" s="2056">
        <v>0</v>
      </c>
      <c r="H349" s="2056"/>
      <c r="I349" s="2056"/>
      <c r="J349" s="2056"/>
      <c r="K349" s="2056"/>
      <c r="L349" s="2056"/>
      <c r="M349" s="1065">
        <f>SUM(F349:K349)</f>
        <v>0</v>
      </c>
      <c r="N349" s="1065">
        <f>SUM(G349:L349)</f>
        <v>0</v>
      </c>
      <c r="O349" s="2885"/>
    </row>
    <row r="350" spans="1:16">
      <c r="A350" s="2932"/>
      <c r="B350" s="1069" t="s">
        <v>18</v>
      </c>
      <c r="C350" s="2894"/>
      <c r="D350" s="2021">
        <f>+D351</f>
        <v>6111159</v>
      </c>
      <c r="E350" s="2021">
        <f t="shared" ref="E350:G350" si="209">+E351</f>
        <v>0</v>
      </c>
      <c r="F350" s="2058">
        <v>0</v>
      </c>
      <c r="G350" s="2021">
        <f t="shared" si="209"/>
        <v>6111159</v>
      </c>
      <c r="H350" s="2021"/>
      <c r="I350" s="2021"/>
      <c r="J350" s="2021"/>
      <c r="K350" s="2021"/>
      <c r="L350" s="2021"/>
      <c r="M350" s="2022">
        <f>+M351</f>
        <v>6111159</v>
      </c>
      <c r="N350" s="2022">
        <f>+N351</f>
        <v>6111159</v>
      </c>
      <c r="O350" s="2885"/>
    </row>
    <row r="351" spans="1:16" ht="12" customHeight="1">
      <c r="A351" s="2932"/>
      <c r="B351" s="2057" t="s">
        <v>214</v>
      </c>
      <c r="C351" s="2956"/>
      <c r="D351" s="1926">
        <f>E351+F351+G351+H351+I351+J351+K351+L351</f>
        <v>6111159</v>
      </c>
      <c r="E351" s="1990">
        <v>0</v>
      </c>
      <c r="F351" s="2056">
        <v>0</v>
      </c>
      <c r="G351" s="2045">
        <f>6034979+76180</f>
        <v>6111159</v>
      </c>
      <c r="H351" s="2045"/>
      <c r="I351" s="2045"/>
      <c r="J351" s="2045"/>
      <c r="K351" s="2045"/>
      <c r="L351" s="2045"/>
      <c r="M351" s="1065">
        <f>SUM(F351:K351)</f>
        <v>6111159</v>
      </c>
      <c r="N351" s="1065">
        <f>SUM(G351:L351)</f>
        <v>6111159</v>
      </c>
      <c r="O351" s="2899"/>
      <c r="P351" s="491"/>
    </row>
    <row r="352" spans="1:16" ht="11.25" customHeight="1">
      <c r="A352" s="2933"/>
      <c r="B352" s="728" t="s">
        <v>22</v>
      </c>
      <c r="C352" s="2053"/>
      <c r="D352" s="2018">
        <f>+D353+D355</f>
        <v>6168162</v>
      </c>
      <c r="E352" s="2018">
        <f t="shared" ref="E352" si="210">+E353+E355</f>
        <v>57003</v>
      </c>
      <c r="F352" s="2489">
        <f t="shared" ref="F352:H352" si="211">+F353+F355</f>
        <v>0</v>
      </c>
      <c r="G352" s="2018">
        <f t="shared" si="211"/>
        <v>3697167</v>
      </c>
      <c r="H352" s="2018">
        <f t="shared" si="211"/>
        <v>2413992</v>
      </c>
      <c r="I352" s="2018"/>
      <c r="J352" s="2018"/>
      <c r="K352" s="2018"/>
      <c r="L352" s="2018"/>
      <c r="M352" s="2867" t="s">
        <v>23</v>
      </c>
      <c r="N352" s="2867" t="s">
        <v>23</v>
      </c>
      <c r="O352" s="2971" t="s">
        <v>102</v>
      </c>
    </row>
    <row r="353" spans="1:16">
      <c r="A353" s="2933"/>
      <c r="B353" s="1069" t="s">
        <v>24</v>
      </c>
      <c r="C353" s="3019" t="s">
        <v>84</v>
      </c>
      <c r="D353" s="2055">
        <f>+D354</f>
        <v>57003</v>
      </c>
      <c r="E353" s="2055">
        <f t="shared" ref="E353" si="212">+E354</f>
        <v>57003</v>
      </c>
      <c r="F353" s="2058">
        <v>0</v>
      </c>
      <c r="G353" s="2058">
        <v>0</v>
      </c>
      <c r="H353" s="2058">
        <v>0</v>
      </c>
      <c r="I353" s="2058"/>
      <c r="J353" s="2058"/>
      <c r="K353" s="2058"/>
      <c r="L353" s="2058"/>
      <c r="M353" s="2868"/>
      <c r="N353" s="2868"/>
      <c r="O353" s="2916"/>
    </row>
    <row r="354" spans="1:16">
      <c r="A354" s="2933"/>
      <c r="B354" s="2057" t="s">
        <v>15</v>
      </c>
      <c r="C354" s="3020"/>
      <c r="D354" s="1926">
        <f>E354+F354+G354+H354+I354+J354+K354+L354</f>
        <v>57003</v>
      </c>
      <c r="E354" s="1990">
        <v>57003</v>
      </c>
      <c r="F354" s="2056">
        <v>0</v>
      </c>
      <c r="G354" s="2056">
        <v>0</v>
      </c>
      <c r="H354" s="2056">
        <v>0</v>
      </c>
      <c r="I354" s="2056"/>
      <c r="J354" s="2056"/>
      <c r="K354" s="2056"/>
      <c r="L354" s="2056"/>
      <c r="M354" s="2868"/>
      <c r="N354" s="2868"/>
      <c r="O354" s="2916"/>
    </row>
    <row r="355" spans="1:16" s="269" customFormat="1" ht="12.75" customHeight="1">
      <c r="A355" s="2933"/>
      <c r="B355" s="1069" t="s">
        <v>18</v>
      </c>
      <c r="C355" s="3020"/>
      <c r="D355" s="2051">
        <f>+D356</f>
        <v>6111159</v>
      </c>
      <c r="E355" s="1697">
        <f t="shared" ref="E355:H355" si="213">+E356</f>
        <v>0</v>
      </c>
      <c r="F355" s="2058">
        <v>0</v>
      </c>
      <c r="G355" s="2059">
        <f t="shared" si="213"/>
        <v>3697167</v>
      </c>
      <c r="H355" s="2059">
        <f t="shared" si="213"/>
        <v>2413992</v>
      </c>
      <c r="I355" s="2051"/>
      <c r="J355" s="2051"/>
      <c r="K355" s="2051"/>
      <c r="L355" s="2051"/>
      <c r="M355" s="2868"/>
      <c r="N355" s="2868"/>
      <c r="O355" s="2916"/>
    </row>
    <row r="356" spans="1:16" ht="12" customHeight="1" thickBot="1">
      <c r="A356" s="2934"/>
      <c r="B356" s="908" t="s">
        <v>20</v>
      </c>
      <c r="C356" s="3021"/>
      <c r="D356" s="1027">
        <f>E356+F356+G356+H356+I356+J356+K356+L356</f>
        <v>6111159</v>
      </c>
      <c r="E356" s="1027">
        <v>0</v>
      </c>
      <c r="F356" s="2056">
        <v>0</v>
      </c>
      <c r="G356" s="533">
        <f>2555629+1141538</f>
        <v>3697167</v>
      </c>
      <c r="H356" s="533">
        <v>2413992</v>
      </c>
      <c r="I356" s="533"/>
      <c r="J356" s="533"/>
      <c r="K356" s="533"/>
      <c r="L356" s="533"/>
      <c r="M356" s="2869"/>
      <c r="N356" s="2869"/>
      <c r="O356" s="2917"/>
    </row>
    <row r="357" spans="1:16" ht="22.5" customHeight="1">
      <c r="A357" s="2931" t="s">
        <v>197</v>
      </c>
      <c r="B357" s="287" t="s">
        <v>442</v>
      </c>
      <c r="C357" s="59" t="s">
        <v>81</v>
      </c>
      <c r="D357" s="131"/>
      <c r="E357" s="705"/>
      <c r="F357" s="44"/>
      <c r="G357" s="44"/>
      <c r="H357" s="241"/>
      <c r="I357" s="43"/>
      <c r="J357" s="241"/>
      <c r="K357" s="241"/>
      <c r="L357" s="241"/>
      <c r="M357" s="63"/>
      <c r="N357" s="63"/>
      <c r="O357" s="2884" t="s">
        <v>86</v>
      </c>
      <c r="P357" s="237" t="s">
        <v>285</v>
      </c>
    </row>
    <row r="358" spans="1:16">
      <c r="A358" s="2932"/>
      <c r="B358" s="21" t="s">
        <v>10</v>
      </c>
      <c r="C358" s="22"/>
      <c r="D358" s="439">
        <f>+D359+D361</f>
        <v>8042058</v>
      </c>
      <c r="E358" s="439">
        <f t="shared" ref="E358" si="214">+E359+E361</f>
        <v>5520</v>
      </c>
      <c r="F358" s="439">
        <f t="shared" ref="F358:G358" si="215">+F359+F361</f>
        <v>40833</v>
      </c>
      <c r="G358" s="439">
        <f t="shared" si="215"/>
        <v>7995705</v>
      </c>
      <c r="H358" s="439"/>
      <c r="I358" s="439"/>
      <c r="J358" s="439"/>
      <c r="K358" s="439"/>
      <c r="L358" s="439"/>
      <c r="M358" s="414">
        <f>+M359+M361</f>
        <v>8036538</v>
      </c>
      <c r="N358" s="414">
        <f>+N359+N361</f>
        <v>7995705</v>
      </c>
      <c r="O358" s="2885"/>
    </row>
    <row r="359" spans="1:16">
      <c r="A359" s="2932"/>
      <c r="B359" s="174" t="s">
        <v>24</v>
      </c>
      <c r="C359" s="2962" t="s">
        <v>84</v>
      </c>
      <c r="D359" s="440">
        <f>+D360</f>
        <v>1913818</v>
      </c>
      <c r="E359" s="440">
        <f t="shared" ref="E359:G359" si="216">+E360</f>
        <v>1315</v>
      </c>
      <c r="F359" s="440">
        <f t="shared" si="216"/>
        <v>40833</v>
      </c>
      <c r="G359" s="440">
        <f t="shared" si="216"/>
        <v>1871670</v>
      </c>
      <c r="H359" s="440"/>
      <c r="I359" s="440"/>
      <c r="J359" s="440"/>
      <c r="K359" s="440"/>
      <c r="L359" s="440"/>
      <c r="M359" s="429">
        <f>+M360</f>
        <v>1912503</v>
      </c>
      <c r="N359" s="429">
        <f>+N360</f>
        <v>1871670</v>
      </c>
      <c r="O359" s="2885"/>
    </row>
    <row r="360" spans="1:16">
      <c r="A360" s="2932"/>
      <c r="B360" s="456" t="s">
        <v>12</v>
      </c>
      <c r="C360" s="2894"/>
      <c r="D360" s="251">
        <f>E360+F360+G360+H360+I360+J360+K360+L360</f>
        <v>1913818</v>
      </c>
      <c r="E360" s="289">
        <v>1315</v>
      </c>
      <c r="F360" s="431">
        <f>1853686+256180+42637-2094503-17167</f>
        <v>40833</v>
      </c>
      <c r="G360" s="431">
        <f>1854503+17167</f>
        <v>1871670</v>
      </c>
      <c r="H360" s="431"/>
      <c r="I360" s="431"/>
      <c r="J360" s="431"/>
      <c r="K360" s="431"/>
      <c r="L360" s="431"/>
      <c r="M360" s="1065">
        <f>SUM(F360:K360)</f>
        <v>1912503</v>
      </c>
      <c r="N360" s="1065">
        <f>SUM(G360:L360)</f>
        <v>1871670</v>
      </c>
      <c r="O360" s="2885"/>
    </row>
    <row r="361" spans="1:16">
      <c r="A361" s="2932"/>
      <c r="B361" s="499" t="s">
        <v>18</v>
      </c>
      <c r="C361" s="2894"/>
      <c r="D361" s="433">
        <f>+D362</f>
        <v>6128240</v>
      </c>
      <c r="E361" s="433">
        <f t="shared" ref="E361:G361" si="217">+E362</f>
        <v>4205</v>
      </c>
      <c r="F361" s="433">
        <f t="shared" si="217"/>
        <v>0</v>
      </c>
      <c r="G361" s="433">
        <f t="shared" si="217"/>
        <v>6124035</v>
      </c>
      <c r="H361" s="433"/>
      <c r="I361" s="433"/>
      <c r="J361" s="433"/>
      <c r="K361" s="433"/>
      <c r="L361" s="433"/>
      <c r="M361" s="429">
        <f>+M362</f>
        <v>6124035</v>
      </c>
      <c r="N361" s="429">
        <f>+N362</f>
        <v>6124035</v>
      </c>
      <c r="O361" s="2885"/>
    </row>
    <row r="362" spans="1:16">
      <c r="A362" s="2932"/>
      <c r="B362" s="973" t="s">
        <v>214</v>
      </c>
      <c r="C362" s="2956"/>
      <c r="D362" s="251">
        <f>E362+F362+G362+H362+I362+J362+K362+L362</f>
        <v>6128240</v>
      </c>
      <c r="E362" s="289">
        <v>4205</v>
      </c>
      <c r="F362" s="431">
        <f>5928372+953820+1843-6884035</f>
        <v>0</v>
      </c>
      <c r="G362" s="431">
        <v>6124035</v>
      </c>
      <c r="H362" s="431"/>
      <c r="I362" s="431"/>
      <c r="J362" s="431"/>
      <c r="K362" s="431"/>
      <c r="L362" s="431"/>
      <c r="M362" s="1065">
        <f>SUM(F362:K362)</f>
        <v>6124035</v>
      </c>
      <c r="N362" s="1065">
        <f>SUM(G362:L362)</f>
        <v>6124035</v>
      </c>
      <c r="O362" s="2899"/>
      <c r="P362" s="491"/>
    </row>
    <row r="363" spans="1:16">
      <c r="A363" s="2933"/>
      <c r="B363" s="21" t="s">
        <v>22</v>
      </c>
      <c r="C363" s="22"/>
      <c r="D363" s="444">
        <f>+D364</f>
        <v>6128240</v>
      </c>
      <c r="E363" s="444">
        <f t="shared" ref="E363:H364" si="218">+E364</f>
        <v>0</v>
      </c>
      <c r="F363" s="444">
        <f t="shared" si="218"/>
        <v>0</v>
      </c>
      <c r="G363" s="444">
        <f t="shared" si="218"/>
        <v>3909880</v>
      </c>
      <c r="H363" s="444">
        <f t="shared" si="218"/>
        <v>2218360</v>
      </c>
      <c r="I363" s="444"/>
      <c r="J363" s="444"/>
      <c r="K363" s="444"/>
      <c r="L363" s="444"/>
      <c r="M363" s="2870" t="s">
        <v>23</v>
      </c>
      <c r="N363" s="2870" t="s">
        <v>23</v>
      </c>
      <c r="O363" s="2970" t="s">
        <v>102</v>
      </c>
    </row>
    <row r="364" spans="1:16" s="269" customFormat="1" ht="12.75" customHeight="1">
      <c r="A364" s="2933"/>
      <c r="B364" s="499" t="s">
        <v>18</v>
      </c>
      <c r="C364" s="2962" t="s">
        <v>84</v>
      </c>
      <c r="D364" s="524">
        <f>+D365</f>
        <v>6128240</v>
      </c>
      <c r="E364" s="523">
        <f t="shared" si="218"/>
        <v>0</v>
      </c>
      <c r="F364" s="523">
        <f t="shared" si="218"/>
        <v>0</v>
      </c>
      <c r="G364" s="523">
        <f t="shared" si="218"/>
        <v>3909880</v>
      </c>
      <c r="H364" s="523">
        <f t="shared" si="218"/>
        <v>2218360</v>
      </c>
      <c r="I364" s="524"/>
      <c r="J364" s="524"/>
      <c r="K364" s="524"/>
      <c r="L364" s="524"/>
      <c r="M364" s="2868"/>
      <c r="N364" s="2868"/>
      <c r="O364" s="2916"/>
    </row>
    <row r="365" spans="1:16" ht="13.5" thickBot="1">
      <c r="A365" s="2934"/>
      <c r="B365" s="56" t="s">
        <v>20</v>
      </c>
      <c r="C365" s="2921"/>
      <c r="D365" s="251">
        <f>E365+F365+G365+H365+I365+J365+K365+L365</f>
        <v>6128240</v>
      </c>
      <c r="E365" s="289">
        <v>0</v>
      </c>
      <c r="F365" s="73">
        <f>3909880-3909880</f>
        <v>0</v>
      </c>
      <c r="G365" s="73">
        <f>2978360+931520</f>
        <v>3909880</v>
      </c>
      <c r="H365" s="73">
        <v>2218360</v>
      </c>
      <c r="I365" s="73"/>
      <c r="J365" s="73"/>
      <c r="K365" s="73"/>
      <c r="L365" s="73"/>
      <c r="M365" s="2869"/>
      <c r="N365" s="2869"/>
      <c r="O365" s="2917"/>
    </row>
    <row r="366" spans="1:16" ht="22.5" customHeight="1">
      <c r="A366" s="2931" t="s">
        <v>198</v>
      </c>
      <c r="B366" s="287" t="s">
        <v>443</v>
      </c>
      <c r="C366" s="59" t="s">
        <v>81</v>
      </c>
      <c r="D366" s="131"/>
      <c r="E366" s="705"/>
      <c r="F366" s="44"/>
      <c r="G366" s="44"/>
      <c r="H366" s="241"/>
      <c r="I366" s="43"/>
      <c r="J366" s="241"/>
      <c r="K366" s="241"/>
      <c r="L366" s="241"/>
      <c r="M366" s="63"/>
      <c r="N366" s="63"/>
      <c r="O366" s="2884" t="s">
        <v>86</v>
      </c>
      <c r="P366" s="237" t="s">
        <v>285</v>
      </c>
    </row>
    <row r="367" spans="1:16" ht="12" customHeight="1">
      <c r="A367" s="2932"/>
      <c r="B367" s="728" t="s">
        <v>10</v>
      </c>
      <c r="C367" s="2053"/>
      <c r="D367" s="2054">
        <f>+D368+D370</f>
        <v>4410000</v>
      </c>
      <c r="E367" s="2054">
        <f t="shared" ref="E367" si="219">+E368+E370</f>
        <v>373305</v>
      </c>
      <c r="F367" s="2054">
        <f t="shared" ref="F367:G367" si="220">+F368+F370</f>
        <v>78417</v>
      </c>
      <c r="G367" s="2054">
        <f t="shared" si="220"/>
        <v>3958278</v>
      </c>
      <c r="H367" s="2054"/>
      <c r="I367" s="2054"/>
      <c r="J367" s="2054"/>
      <c r="K367" s="2054"/>
      <c r="L367" s="2054"/>
      <c r="M367" s="2019">
        <f>+M368+M370</f>
        <v>4036695</v>
      </c>
      <c r="N367" s="2019">
        <f>+N368+N370</f>
        <v>3958278</v>
      </c>
      <c r="O367" s="2885"/>
    </row>
    <row r="368" spans="1:16">
      <c r="A368" s="2932"/>
      <c r="B368" s="694" t="s">
        <v>24</v>
      </c>
      <c r="C368" s="2887" t="s">
        <v>84</v>
      </c>
      <c r="D368" s="2055">
        <f>+D369</f>
        <v>1050462</v>
      </c>
      <c r="E368" s="2055">
        <f t="shared" ref="E368:G368" si="221">+E369</f>
        <v>85279</v>
      </c>
      <c r="F368" s="2055">
        <f t="shared" si="221"/>
        <v>26847</v>
      </c>
      <c r="G368" s="2055">
        <f t="shared" si="221"/>
        <v>938336</v>
      </c>
      <c r="H368" s="2055"/>
      <c r="I368" s="2055"/>
      <c r="J368" s="2055"/>
      <c r="K368" s="2055"/>
      <c r="L368" s="2055"/>
      <c r="M368" s="2022">
        <f>+M369</f>
        <v>965183</v>
      </c>
      <c r="N368" s="2022">
        <f>+N369</f>
        <v>938336</v>
      </c>
      <c r="O368" s="2885"/>
    </row>
    <row r="369" spans="1:16">
      <c r="A369" s="2932"/>
      <c r="B369" s="1073" t="s">
        <v>12</v>
      </c>
      <c r="C369" s="2894"/>
      <c r="D369" s="1034">
        <f>E369+F369+G369+H369+I369+J369+K369+L369</f>
        <v>1050462</v>
      </c>
      <c r="E369" s="1990">
        <v>85279</v>
      </c>
      <c r="F369" s="2045">
        <f>630277+321489+13417-938336</f>
        <v>26847</v>
      </c>
      <c r="G369" s="2045">
        <v>938336</v>
      </c>
      <c r="H369" s="2045"/>
      <c r="I369" s="2045"/>
      <c r="J369" s="2045"/>
      <c r="K369" s="2045"/>
      <c r="L369" s="2045"/>
      <c r="M369" s="2047">
        <f>SUM(F369:K369)</f>
        <v>965183</v>
      </c>
      <c r="N369" s="2047">
        <f>SUM(G369:L369)</f>
        <v>938336</v>
      </c>
      <c r="O369" s="2885"/>
    </row>
    <row r="370" spans="1:16">
      <c r="A370" s="2932"/>
      <c r="B370" s="1069" t="s">
        <v>18</v>
      </c>
      <c r="C370" s="2894"/>
      <c r="D370" s="2021">
        <f>+D371</f>
        <v>3359538</v>
      </c>
      <c r="E370" s="2021">
        <f t="shared" ref="E370:G370" si="222">+E371</f>
        <v>288026</v>
      </c>
      <c r="F370" s="2021">
        <f t="shared" si="222"/>
        <v>51570</v>
      </c>
      <c r="G370" s="2021">
        <f t="shared" si="222"/>
        <v>3019942</v>
      </c>
      <c r="H370" s="2021"/>
      <c r="I370" s="2021"/>
      <c r="J370" s="2021"/>
      <c r="K370" s="2021"/>
      <c r="L370" s="2021"/>
      <c r="M370" s="2022">
        <f>+M371</f>
        <v>3071512</v>
      </c>
      <c r="N370" s="2022">
        <f>+N371</f>
        <v>3019942</v>
      </c>
      <c r="O370" s="2885"/>
    </row>
    <row r="371" spans="1:16">
      <c r="A371" s="2932"/>
      <c r="B371" s="894" t="s">
        <v>214</v>
      </c>
      <c r="C371" s="2956"/>
      <c r="D371" s="1034">
        <f>E371+F371+G371+H371+I371+J371+K371+L371</f>
        <v>3359538</v>
      </c>
      <c r="E371" s="1990">
        <v>288026</v>
      </c>
      <c r="F371" s="2045">
        <f>2015723+1001511+47569+6709-3019942</f>
        <v>51570</v>
      </c>
      <c r="G371" s="2045">
        <v>3019942</v>
      </c>
      <c r="H371" s="2045"/>
      <c r="I371" s="2045"/>
      <c r="J371" s="2045"/>
      <c r="K371" s="2045"/>
      <c r="L371" s="2045"/>
      <c r="M371" s="2047">
        <f>SUM(F371:K371)</f>
        <v>3071512</v>
      </c>
      <c r="N371" s="2047">
        <f>SUM(G371:L371)</f>
        <v>3019942</v>
      </c>
      <c r="O371" s="2899"/>
      <c r="P371" s="491"/>
    </row>
    <row r="372" spans="1:16">
      <c r="A372" s="2933"/>
      <c r="B372" s="728" t="s">
        <v>22</v>
      </c>
      <c r="C372" s="2053"/>
      <c r="D372" s="2018">
        <f>+D373</f>
        <v>3359538</v>
      </c>
      <c r="E372" s="2018">
        <f t="shared" ref="E372:H373" si="223">+E373</f>
        <v>0</v>
      </c>
      <c r="F372" s="2018">
        <f t="shared" si="223"/>
        <v>0</v>
      </c>
      <c r="G372" s="2018">
        <f t="shared" si="223"/>
        <v>2334228</v>
      </c>
      <c r="H372" s="2018">
        <f t="shared" si="223"/>
        <v>1025310</v>
      </c>
      <c r="I372" s="2018"/>
      <c r="J372" s="2018"/>
      <c r="K372" s="2018"/>
      <c r="L372" s="2018"/>
      <c r="M372" s="2871" t="s">
        <v>23</v>
      </c>
      <c r="N372" s="2871" t="s">
        <v>23</v>
      </c>
      <c r="O372" s="2936" t="s">
        <v>102</v>
      </c>
    </row>
    <row r="373" spans="1:16" s="269" customFormat="1" ht="12.75" customHeight="1">
      <c r="A373" s="2933"/>
      <c r="B373" s="1069" t="s">
        <v>18</v>
      </c>
      <c r="C373" s="2887" t="s">
        <v>84</v>
      </c>
      <c r="D373" s="2051">
        <f>+D374</f>
        <v>3359538</v>
      </c>
      <c r="E373" s="2059">
        <f t="shared" si="223"/>
        <v>0</v>
      </c>
      <c r="F373" s="2059">
        <f t="shared" si="223"/>
        <v>0</v>
      </c>
      <c r="G373" s="2059">
        <f t="shared" si="223"/>
        <v>2334228</v>
      </c>
      <c r="H373" s="2059">
        <f t="shared" si="223"/>
        <v>1025310</v>
      </c>
      <c r="I373" s="2051"/>
      <c r="J373" s="2051"/>
      <c r="K373" s="2051"/>
      <c r="L373" s="2051"/>
      <c r="M373" s="2868"/>
      <c r="N373" s="2868"/>
      <c r="O373" s="2916"/>
    </row>
    <row r="374" spans="1:16" ht="12" customHeight="1" thickBot="1">
      <c r="A374" s="2934"/>
      <c r="B374" s="908" t="s">
        <v>20</v>
      </c>
      <c r="C374" s="2921"/>
      <c r="D374" s="1027">
        <f>E374+F374+G374+H374+I374+J374+K374+L374</f>
        <v>3359538</v>
      </c>
      <c r="E374" s="1027">
        <v>0</v>
      </c>
      <c r="F374" s="533">
        <f>2334228-2334228</f>
        <v>0</v>
      </c>
      <c r="G374" s="533">
        <f>1025310+1308918</f>
        <v>2334228</v>
      </c>
      <c r="H374" s="533">
        <v>1025310</v>
      </c>
      <c r="I374" s="533"/>
      <c r="J374" s="533"/>
      <c r="K374" s="533"/>
      <c r="L374" s="533"/>
      <c r="M374" s="2869"/>
      <c r="N374" s="2869"/>
      <c r="O374" s="2917"/>
    </row>
    <row r="375" spans="1:16" ht="23.25" customHeight="1">
      <c r="A375" s="2931" t="s">
        <v>263</v>
      </c>
      <c r="B375" s="287" t="s">
        <v>279</v>
      </c>
      <c r="C375" s="59" t="s">
        <v>81</v>
      </c>
      <c r="D375" s="131"/>
      <c r="E375" s="705"/>
      <c r="F375" s="44"/>
      <c r="G375" s="44"/>
      <c r="H375" s="241"/>
      <c r="I375" s="43"/>
      <c r="J375" s="241"/>
      <c r="K375" s="241"/>
      <c r="L375" s="100"/>
      <c r="M375" s="63"/>
      <c r="N375" s="63"/>
      <c r="O375" s="2884" t="s">
        <v>86</v>
      </c>
      <c r="P375" s="237" t="s">
        <v>285</v>
      </c>
    </row>
    <row r="376" spans="1:16">
      <c r="A376" s="2932"/>
      <c r="B376" s="21" t="s">
        <v>10</v>
      </c>
      <c r="C376" s="22"/>
      <c r="D376" s="439">
        <f>+D377+D379</f>
        <v>7056000</v>
      </c>
      <c r="E376" s="439">
        <f t="shared" ref="E376:F376" si="224">+E377+E379</f>
        <v>0</v>
      </c>
      <c r="F376" s="703">
        <f t="shared" si="224"/>
        <v>0</v>
      </c>
      <c r="G376" s="439">
        <f>+G377+G379</f>
        <v>2610720</v>
      </c>
      <c r="H376" s="439">
        <f>+H377+H379</f>
        <v>4445280</v>
      </c>
      <c r="I376" s="439"/>
      <c r="J376" s="439"/>
      <c r="K376" s="439"/>
      <c r="L376" s="708"/>
      <c r="M376" s="706">
        <f>+M377+M379</f>
        <v>7056000</v>
      </c>
      <c r="N376" s="706">
        <f>+N377+N379</f>
        <v>7056000</v>
      </c>
      <c r="O376" s="2885"/>
    </row>
    <row r="377" spans="1:16" ht="13.5" customHeight="1">
      <c r="A377" s="2932"/>
      <c r="B377" s="174" t="s">
        <v>24</v>
      </c>
      <c r="C377" s="2962" t="s">
        <v>84</v>
      </c>
      <c r="D377" s="440">
        <f>+D378</f>
        <v>1680740</v>
      </c>
      <c r="E377" s="440">
        <f t="shared" ref="E377:H377" si="225">+E378</f>
        <v>0</v>
      </c>
      <c r="F377" s="704">
        <f t="shared" si="225"/>
        <v>0</v>
      </c>
      <c r="G377" s="440">
        <f t="shared" si="225"/>
        <v>621874</v>
      </c>
      <c r="H377" s="440">
        <f t="shared" si="225"/>
        <v>1058866</v>
      </c>
      <c r="I377" s="440"/>
      <c r="J377" s="440"/>
      <c r="K377" s="440"/>
      <c r="L377" s="709"/>
      <c r="M377" s="707">
        <f>+M378</f>
        <v>1680740</v>
      </c>
      <c r="N377" s="707">
        <f>+N378</f>
        <v>1680740</v>
      </c>
      <c r="O377" s="2885"/>
    </row>
    <row r="378" spans="1:16">
      <c r="A378" s="2932"/>
      <c r="B378" s="456" t="s">
        <v>12</v>
      </c>
      <c r="C378" s="2894"/>
      <c r="D378" s="251">
        <f>E378+F378+G378+H378+I378+J378+K378+L378</f>
        <v>1680740</v>
      </c>
      <c r="E378" s="289">
        <v>0</v>
      </c>
      <c r="F378" s="520">
        <v>0</v>
      </c>
      <c r="G378" s="431">
        <v>621874</v>
      </c>
      <c r="H378" s="431">
        <v>1058866</v>
      </c>
      <c r="I378" s="431"/>
      <c r="J378" s="431"/>
      <c r="K378" s="431"/>
      <c r="L378" s="710"/>
      <c r="M378" s="1065">
        <f>SUM(F378:K378)</f>
        <v>1680740</v>
      </c>
      <c r="N378" s="1065">
        <f>SUM(G378:L378)</f>
        <v>1680740</v>
      </c>
      <c r="O378" s="2885"/>
    </row>
    <row r="379" spans="1:16">
      <c r="A379" s="2932"/>
      <c r="B379" s="499" t="s">
        <v>18</v>
      </c>
      <c r="C379" s="2894"/>
      <c r="D379" s="433">
        <f>+D380</f>
        <v>5375260</v>
      </c>
      <c r="E379" s="433">
        <f t="shared" ref="E379:H379" si="226">+E380</f>
        <v>0</v>
      </c>
      <c r="F379" s="516">
        <f t="shared" si="226"/>
        <v>0</v>
      </c>
      <c r="G379" s="433">
        <f t="shared" si="226"/>
        <v>1988846</v>
      </c>
      <c r="H379" s="433">
        <f t="shared" si="226"/>
        <v>3386414</v>
      </c>
      <c r="I379" s="433"/>
      <c r="J379" s="433"/>
      <c r="K379" s="433"/>
      <c r="L379" s="711"/>
      <c r="M379" s="707">
        <f>+M380</f>
        <v>5375260</v>
      </c>
      <c r="N379" s="707">
        <f>+N380</f>
        <v>5375260</v>
      </c>
      <c r="O379" s="2885"/>
    </row>
    <row r="380" spans="1:16" ht="11.25" customHeight="1">
      <c r="A380" s="2932"/>
      <c r="B380" s="973" t="s">
        <v>214</v>
      </c>
      <c r="C380" s="2956"/>
      <c r="D380" s="251">
        <f>E380+F380+G380+H380+I380+J380+K380+L380</f>
        <v>5375260</v>
      </c>
      <c r="E380" s="289">
        <v>0</v>
      </c>
      <c r="F380" s="520">
        <v>0</v>
      </c>
      <c r="G380" s="431">
        <v>1988846</v>
      </c>
      <c r="H380" s="431">
        <v>3386414</v>
      </c>
      <c r="I380" s="431"/>
      <c r="J380" s="431"/>
      <c r="K380" s="431"/>
      <c r="L380" s="710"/>
      <c r="M380" s="1065">
        <f>SUM(F380:K380)</f>
        <v>5375260</v>
      </c>
      <c r="N380" s="1065">
        <f>SUM(G380:L380)</f>
        <v>5375260</v>
      </c>
      <c r="O380" s="2899"/>
      <c r="P380" s="491"/>
    </row>
    <row r="381" spans="1:16">
      <c r="A381" s="2933"/>
      <c r="B381" s="21" t="s">
        <v>22</v>
      </c>
      <c r="C381" s="22"/>
      <c r="D381" s="444">
        <f>+D382</f>
        <v>5375260</v>
      </c>
      <c r="E381" s="444">
        <f t="shared" ref="E381:I382" si="227">+E382</f>
        <v>0</v>
      </c>
      <c r="F381" s="522">
        <f t="shared" si="227"/>
        <v>0</v>
      </c>
      <c r="G381" s="444">
        <f t="shared" si="227"/>
        <v>0</v>
      </c>
      <c r="H381" s="444">
        <f t="shared" si="227"/>
        <v>3657763</v>
      </c>
      <c r="I381" s="444">
        <f t="shared" si="227"/>
        <v>1717497</v>
      </c>
      <c r="J381" s="444"/>
      <c r="K381" s="444"/>
      <c r="L381" s="780"/>
      <c r="M381" s="3006" t="s">
        <v>23</v>
      </c>
      <c r="N381" s="3006" t="s">
        <v>23</v>
      </c>
      <c r="O381" s="2970" t="s">
        <v>102</v>
      </c>
    </row>
    <row r="382" spans="1:16" s="269" customFormat="1">
      <c r="A382" s="2933"/>
      <c r="B382" s="499" t="s">
        <v>18</v>
      </c>
      <c r="C382" s="2962" t="s">
        <v>84</v>
      </c>
      <c r="D382" s="524">
        <f>+D383</f>
        <v>5375260</v>
      </c>
      <c r="E382" s="523">
        <f t="shared" si="227"/>
        <v>0</v>
      </c>
      <c r="F382" s="525">
        <f t="shared" si="227"/>
        <v>0</v>
      </c>
      <c r="G382" s="523">
        <f t="shared" si="227"/>
        <v>0</v>
      </c>
      <c r="H382" s="523">
        <f t="shared" si="227"/>
        <v>3657763</v>
      </c>
      <c r="I382" s="523">
        <f t="shared" si="227"/>
        <v>1717497</v>
      </c>
      <c r="J382" s="524"/>
      <c r="K382" s="524"/>
      <c r="L382" s="974"/>
      <c r="M382" s="3007"/>
      <c r="N382" s="3007"/>
      <c r="O382" s="2916"/>
    </row>
    <row r="383" spans="1:16" ht="12" customHeight="1" thickBot="1">
      <c r="A383" s="2934"/>
      <c r="B383" s="56" t="s">
        <v>20</v>
      </c>
      <c r="C383" s="2921"/>
      <c r="D383" s="251">
        <f>E383+F383+G383+H383+I383+J383+K383+L383</f>
        <v>5375260</v>
      </c>
      <c r="E383" s="289">
        <v>0</v>
      </c>
      <c r="F383" s="291">
        <v>0</v>
      </c>
      <c r="G383" s="73">
        <v>0</v>
      </c>
      <c r="H383" s="73">
        <v>3657763</v>
      </c>
      <c r="I383" s="73">
        <v>1717497</v>
      </c>
      <c r="J383" s="73"/>
      <c r="K383" s="73"/>
      <c r="L383" s="533"/>
      <c r="M383" s="3008"/>
      <c r="N383" s="3008"/>
      <c r="O383" s="2917"/>
    </row>
    <row r="384" spans="1:16" ht="21.75" customHeight="1">
      <c r="A384" s="2931" t="s">
        <v>482</v>
      </c>
      <c r="B384" s="287" t="s">
        <v>280</v>
      </c>
      <c r="C384" s="59" t="s">
        <v>81</v>
      </c>
      <c r="D384" s="131"/>
      <c r="E384" s="705"/>
      <c r="F384" s="527"/>
      <c r="G384" s="44"/>
      <c r="H384" s="241"/>
      <c r="I384" s="43"/>
      <c r="J384" s="241"/>
      <c r="K384" s="241"/>
      <c r="L384" s="100"/>
      <c r="M384" s="63"/>
      <c r="N384" s="63"/>
      <c r="O384" s="2884" t="s">
        <v>86</v>
      </c>
      <c r="P384" s="237" t="s">
        <v>285</v>
      </c>
    </row>
    <row r="385" spans="1:16" ht="10.5" customHeight="1">
      <c r="A385" s="2932"/>
      <c r="B385" s="728" t="s">
        <v>10</v>
      </c>
      <c r="C385" s="2017"/>
      <c r="D385" s="2054">
        <f>+D386+D388</f>
        <v>5166000</v>
      </c>
      <c r="E385" s="2054">
        <f t="shared" ref="E385" si="228">+E386+E388</f>
        <v>0</v>
      </c>
      <c r="F385" s="2060">
        <f t="shared" ref="F385:H385" si="229">+F386+F388</f>
        <v>0</v>
      </c>
      <c r="G385" s="2054">
        <f t="shared" si="229"/>
        <v>1911420</v>
      </c>
      <c r="H385" s="2054">
        <f t="shared" si="229"/>
        <v>3254580</v>
      </c>
      <c r="I385" s="2054"/>
      <c r="J385" s="2054"/>
      <c r="K385" s="2054"/>
      <c r="L385" s="2054"/>
      <c r="M385" s="2131">
        <f>+M386+M388</f>
        <v>5166000</v>
      </c>
      <c r="N385" s="2131">
        <f>+N386+N388</f>
        <v>5166000</v>
      </c>
      <c r="O385" s="2885"/>
    </row>
    <row r="386" spans="1:16">
      <c r="A386" s="2932"/>
      <c r="B386" s="694" t="s">
        <v>24</v>
      </c>
      <c r="C386" s="2920" t="s">
        <v>84</v>
      </c>
      <c r="D386" s="2055">
        <f>+D387</f>
        <v>1230541</v>
      </c>
      <c r="E386" s="2055">
        <f t="shared" ref="E386:H386" si="230">+E387</f>
        <v>0</v>
      </c>
      <c r="F386" s="2058">
        <f t="shared" si="230"/>
        <v>0</v>
      </c>
      <c r="G386" s="2055">
        <f t="shared" si="230"/>
        <v>455300</v>
      </c>
      <c r="H386" s="2055">
        <f t="shared" si="230"/>
        <v>775241</v>
      </c>
      <c r="I386" s="2055"/>
      <c r="J386" s="2055"/>
      <c r="K386" s="2055"/>
      <c r="L386" s="2055"/>
      <c r="M386" s="2022">
        <f>+M387</f>
        <v>1230541</v>
      </c>
      <c r="N386" s="2022">
        <f>+N387</f>
        <v>1230541</v>
      </c>
      <c r="O386" s="2885"/>
    </row>
    <row r="387" spans="1:16" ht="11.25" customHeight="1">
      <c r="A387" s="2932"/>
      <c r="B387" s="1073" t="s">
        <v>12</v>
      </c>
      <c r="C387" s="2894"/>
      <c r="D387" s="1926">
        <f>E387+F387+G387+H387+I387+J387+K387+L387</f>
        <v>1230541</v>
      </c>
      <c r="E387" s="2045">
        <f>47545-47545</f>
        <v>0</v>
      </c>
      <c r="F387" s="1973">
        <v>0</v>
      </c>
      <c r="G387" s="2045">
        <v>455300</v>
      </c>
      <c r="H387" s="2045">
        <v>775241</v>
      </c>
      <c r="I387" s="2045"/>
      <c r="J387" s="2045"/>
      <c r="K387" s="2045"/>
      <c r="L387" s="2045"/>
      <c r="M387" s="2047">
        <f>SUM(F387:K387)</f>
        <v>1230541</v>
      </c>
      <c r="N387" s="2047">
        <f>SUM(G387:L387)</f>
        <v>1230541</v>
      </c>
      <c r="O387" s="2885"/>
    </row>
    <row r="388" spans="1:16">
      <c r="A388" s="2932"/>
      <c r="B388" s="1069" t="s">
        <v>18</v>
      </c>
      <c r="C388" s="2894"/>
      <c r="D388" s="2021">
        <f>+D389</f>
        <v>3935459</v>
      </c>
      <c r="E388" s="2021">
        <f t="shared" ref="E388:H388" si="231">+E389</f>
        <v>0</v>
      </c>
      <c r="F388" s="2487">
        <f t="shared" si="231"/>
        <v>0</v>
      </c>
      <c r="G388" s="2021">
        <f t="shared" si="231"/>
        <v>1456120</v>
      </c>
      <c r="H388" s="2021">
        <f t="shared" si="231"/>
        <v>2479339</v>
      </c>
      <c r="I388" s="2021"/>
      <c r="J388" s="2021"/>
      <c r="K388" s="2021"/>
      <c r="L388" s="2021"/>
      <c r="M388" s="2022">
        <f>+M389</f>
        <v>3935459</v>
      </c>
      <c r="N388" s="2022">
        <f>+N389</f>
        <v>3935459</v>
      </c>
      <c r="O388" s="2885"/>
    </row>
    <row r="389" spans="1:16">
      <c r="A389" s="2932"/>
      <c r="B389" s="2488" t="s">
        <v>214</v>
      </c>
      <c r="C389" s="2956"/>
      <c r="D389" s="1926">
        <f>E389+F389+G389+H389+I389+J389+K389+L389</f>
        <v>3935459</v>
      </c>
      <c r="E389" s="1990">
        <v>0</v>
      </c>
      <c r="F389" s="1973">
        <v>0</v>
      </c>
      <c r="G389" s="2045">
        <v>1456120</v>
      </c>
      <c r="H389" s="2045">
        <v>2479339</v>
      </c>
      <c r="I389" s="2045"/>
      <c r="J389" s="2045"/>
      <c r="K389" s="2045"/>
      <c r="L389" s="2045"/>
      <c r="M389" s="2047">
        <f>SUM(F389:K389)</f>
        <v>3935459</v>
      </c>
      <c r="N389" s="2047">
        <f>SUM(G389:L389)</f>
        <v>3935459</v>
      </c>
      <c r="O389" s="2899"/>
      <c r="P389" s="491"/>
    </row>
    <row r="390" spans="1:16" ht="12" customHeight="1">
      <c r="A390" s="2933"/>
      <c r="B390" s="728" t="s">
        <v>22</v>
      </c>
      <c r="C390" s="2017"/>
      <c r="D390" s="2018">
        <f>+D391</f>
        <v>3935459</v>
      </c>
      <c r="E390" s="2018">
        <f t="shared" ref="E390:I391" si="232">+E391</f>
        <v>0</v>
      </c>
      <c r="F390" s="2489">
        <f t="shared" si="232"/>
        <v>0</v>
      </c>
      <c r="G390" s="2018">
        <f t="shared" si="232"/>
        <v>0</v>
      </c>
      <c r="H390" s="2018">
        <f t="shared" si="232"/>
        <v>2671398</v>
      </c>
      <c r="I390" s="2018">
        <f t="shared" si="232"/>
        <v>1264061</v>
      </c>
      <c r="J390" s="2018"/>
      <c r="K390" s="2018"/>
      <c r="L390" s="2018"/>
      <c r="M390" s="2867" t="s">
        <v>23</v>
      </c>
      <c r="N390" s="2867" t="s">
        <v>23</v>
      </c>
      <c r="O390" s="2971" t="s">
        <v>102</v>
      </c>
    </row>
    <row r="391" spans="1:16" s="269" customFormat="1" ht="12.75" customHeight="1">
      <c r="A391" s="2933"/>
      <c r="B391" s="1069" t="s">
        <v>18</v>
      </c>
      <c r="C391" s="2920" t="s">
        <v>84</v>
      </c>
      <c r="D391" s="2051">
        <f>+D392</f>
        <v>3935459</v>
      </c>
      <c r="E391" s="2059">
        <f t="shared" si="232"/>
        <v>0</v>
      </c>
      <c r="F391" s="2497">
        <f t="shared" si="232"/>
        <v>0</v>
      </c>
      <c r="G391" s="2059">
        <f t="shared" si="232"/>
        <v>0</v>
      </c>
      <c r="H391" s="2059">
        <f t="shared" si="232"/>
        <v>2671398</v>
      </c>
      <c r="I391" s="2059">
        <f t="shared" si="232"/>
        <v>1264061</v>
      </c>
      <c r="J391" s="2051"/>
      <c r="K391" s="2051"/>
      <c r="L391" s="2051"/>
      <c r="M391" s="2868"/>
      <c r="N391" s="2868"/>
      <c r="O391" s="2916"/>
    </row>
    <row r="392" spans="1:16" ht="12" customHeight="1" thickBot="1">
      <c r="A392" s="2934"/>
      <c r="B392" s="908" t="s">
        <v>20</v>
      </c>
      <c r="C392" s="2921"/>
      <c r="D392" s="2222">
        <f>E392+F392+G392+H392+I392+J392+K392+L392</f>
        <v>3935459</v>
      </c>
      <c r="E392" s="2222">
        <v>0</v>
      </c>
      <c r="F392" s="2500">
        <v>0</v>
      </c>
      <c r="G392" s="2499">
        <v>0</v>
      </c>
      <c r="H392" s="2499">
        <v>2671398</v>
      </c>
      <c r="I392" s="2499">
        <v>1264061</v>
      </c>
      <c r="J392" s="2499"/>
      <c r="K392" s="2499"/>
      <c r="L392" s="2499"/>
      <c r="M392" s="2869"/>
      <c r="N392" s="2869"/>
      <c r="O392" s="2917"/>
    </row>
    <row r="393" spans="1:16" ht="27.75" customHeight="1">
      <c r="A393" s="3011" t="s">
        <v>483</v>
      </c>
      <c r="B393" s="287" t="s">
        <v>513</v>
      </c>
      <c r="C393" s="59" t="s">
        <v>109</v>
      </c>
      <c r="D393" s="44"/>
      <c r="E393" s="705"/>
      <c r="F393" s="44"/>
      <c r="G393" s="44"/>
      <c r="H393" s="44"/>
      <c r="I393" s="43"/>
      <c r="J393" s="241"/>
      <c r="K393" s="241"/>
      <c r="L393" s="241"/>
      <c r="M393" s="63"/>
      <c r="N393" s="63"/>
      <c r="O393" s="2884" t="s">
        <v>288</v>
      </c>
    </row>
    <row r="394" spans="1:16" ht="15.75" customHeight="1">
      <c r="A394" s="3012"/>
      <c r="B394" s="728" t="s">
        <v>10</v>
      </c>
      <c r="C394" s="2053"/>
      <c r="D394" s="2054">
        <f>+D395+D400</f>
        <v>454666</v>
      </c>
      <c r="E394" s="2054">
        <f t="shared" ref="E394" si="233">+E395+E400</f>
        <v>48374</v>
      </c>
      <c r="F394" s="2054">
        <f>+F395+F400</f>
        <v>262063</v>
      </c>
      <c r="G394" s="2054">
        <f>+G395+G400</f>
        <v>115985</v>
      </c>
      <c r="H394" s="2054">
        <f>+H395+H400</f>
        <v>28244</v>
      </c>
      <c r="I394" s="2060">
        <v>0</v>
      </c>
      <c r="J394" s="2060">
        <v>0</v>
      </c>
      <c r="K394" s="2060">
        <v>0</v>
      </c>
      <c r="L394" s="2060">
        <v>0</v>
      </c>
      <c r="M394" s="1947">
        <f>+M395+M400</f>
        <v>406292</v>
      </c>
      <c r="N394" s="1947">
        <f>+N395+N400</f>
        <v>144229</v>
      </c>
      <c r="O394" s="2885"/>
    </row>
    <row r="395" spans="1:16" ht="12.75" customHeight="1">
      <c r="A395" s="3012"/>
      <c r="B395" s="694" t="s">
        <v>24</v>
      </c>
      <c r="C395" s="2920" t="s">
        <v>402</v>
      </c>
      <c r="D395" s="2055">
        <f>+D396</f>
        <v>70277</v>
      </c>
      <c r="E395" s="2055">
        <f t="shared" ref="E395" si="234">+E396</f>
        <v>7548</v>
      </c>
      <c r="F395" s="2055">
        <f>+F396</f>
        <v>40160</v>
      </c>
      <c r="G395" s="2055">
        <f>+G396</f>
        <v>17908</v>
      </c>
      <c r="H395" s="2055">
        <f>+H396</f>
        <v>4661</v>
      </c>
      <c r="I395" s="2058">
        <v>0</v>
      </c>
      <c r="J395" s="2058">
        <v>0</v>
      </c>
      <c r="K395" s="2058">
        <v>0</v>
      </c>
      <c r="L395" s="2058">
        <v>0</v>
      </c>
      <c r="M395" s="2022">
        <f>M396</f>
        <v>62729</v>
      </c>
      <c r="N395" s="2022">
        <f>N396</f>
        <v>22569</v>
      </c>
      <c r="O395" s="2885"/>
    </row>
    <row r="396" spans="1:16" ht="12.75" customHeight="1">
      <c r="A396" s="3012"/>
      <c r="B396" s="1073" t="s">
        <v>12</v>
      </c>
      <c r="C396" s="2894"/>
      <c r="D396" s="1926">
        <f>E396+F396+G396+H396+I396+J396+K396+L396</f>
        <v>70277</v>
      </c>
      <c r="E396" s="1990">
        <f>+E398+E399</f>
        <v>7548</v>
      </c>
      <c r="F396" s="2045">
        <f>+F398+F399</f>
        <v>40160</v>
      </c>
      <c r="G396" s="2045">
        <f>+G398+G399</f>
        <v>17908</v>
      </c>
      <c r="H396" s="2045">
        <f>+H398+H399</f>
        <v>4661</v>
      </c>
      <c r="I396" s="1973">
        <v>0</v>
      </c>
      <c r="J396" s="1973">
        <v>0</v>
      </c>
      <c r="K396" s="1973">
        <v>0</v>
      </c>
      <c r="L396" s="1973">
        <v>0</v>
      </c>
      <c r="M396" s="1065">
        <f>SUM(F396:L396)</f>
        <v>62729</v>
      </c>
      <c r="N396" s="1065">
        <f>SUM(G396:L396)</f>
        <v>22569</v>
      </c>
      <c r="O396" s="2885"/>
    </row>
    <row r="397" spans="1:16" ht="12.75" hidden="1" customHeight="1">
      <c r="A397" s="3012"/>
      <c r="B397" s="1073" t="s">
        <v>150</v>
      </c>
      <c r="C397" s="2894"/>
      <c r="D397" s="1926"/>
      <c r="E397" s="2063"/>
      <c r="F397" s="2045"/>
      <c r="G397" s="2045"/>
      <c r="H397" s="2045"/>
      <c r="I397" s="1973"/>
      <c r="J397" s="1973"/>
      <c r="K397" s="1973"/>
      <c r="L397" s="1973"/>
      <c r="M397" s="2047"/>
      <c r="N397" s="2047"/>
      <c r="O397" s="2885"/>
    </row>
    <row r="398" spans="1:16" ht="18" hidden="1" customHeight="1">
      <c r="A398" s="3012"/>
      <c r="B398" s="1073" t="s">
        <v>110</v>
      </c>
      <c r="C398" s="2894"/>
      <c r="D398" s="1926">
        <f>SUM(E398:H398)</f>
        <v>54138</v>
      </c>
      <c r="E398" s="2045">
        <v>3466</v>
      </c>
      <c r="F398" s="2045">
        <f>35747+1841-2300</f>
        <v>35288</v>
      </c>
      <c r="G398" s="2045">
        <f>12993+600-951</f>
        <v>12642</v>
      </c>
      <c r="H398" s="2045">
        <f>2242+500</f>
        <v>2742</v>
      </c>
      <c r="I398" s="1973"/>
      <c r="J398" s="1973"/>
      <c r="K398" s="1973"/>
      <c r="L398" s="1973"/>
      <c r="M398" s="2047">
        <f>SUM(E398:G398)</f>
        <v>51396</v>
      </c>
      <c r="N398" s="2047">
        <f>SUM(F398:H398)</f>
        <v>50672</v>
      </c>
      <c r="O398" s="2885"/>
    </row>
    <row r="399" spans="1:16" ht="18" hidden="1" customHeight="1">
      <c r="A399" s="3012"/>
      <c r="B399" s="1073" t="s">
        <v>270</v>
      </c>
      <c r="C399" s="2894"/>
      <c r="D399" s="1926">
        <f>SUM(E399:H399)</f>
        <v>16139</v>
      </c>
      <c r="E399" s="2045">
        <f>3291+791</f>
        <v>4082</v>
      </c>
      <c r="F399" s="2045">
        <f>4259+28+585</f>
        <v>4872</v>
      </c>
      <c r="G399" s="2045">
        <f>4315+951</f>
        <v>5266</v>
      </c>
      <c r="H399" s="2045">
        <f>995+924</f>
        <v>1919</v>
      </c>
      <c r="I399" s="1973"/>
      <c r="J399" s="1973"/>
      <c r="K399" s="1973"/>
      <c r="L399" s="1973"/>
      <c r="M399" s="2047">
        <f>SUM(E399:G399)</f>
        <v>14220</v>
      </c>
      <c r="N399" s="2047">
        <f>SUM(F399:H399)</f>
        <v>12057</v>
      </c>
      <c r="O399" s="2885"/>
    </row>
    <row r="400" spans="1:16" ht="12.75" customHeight="1">
      <c r="A400" s="3012"/>
      <c r="B400" s="1069" t="s">
        <v>18</v>
      </c>
      <c r="C400" s="2894"/>
      <c r="D400" s="2021">
        <f>+D401</f>
        <v>384389</v>
      </c>
      <c r="E400" s="2021">
        <f t="shared" ref="E400" si="235">+E401</f>
        <v>40826</v>
      </c>
      <c r="F400" s="2021">
        <f>+F401</f>
        <v>221903</v>
      </c>
      <c r="G400" s="2021">
        <f>+G401</f>
        <v>98077</v>
      </c>
      <c r="H400" s="2021">
        <f>+H401</f>
        <v>23583</v>
      </c>
      <c r="I400" s="2487">
        <v>0</v>
      </c>
      <c r="J400" s="2487">
        <v>0</v>
      </c>
      <c r="K400" s="2487">
        <v>0</v>
      </c>
      <c r="L400" s="2487">
        <v>0</v>
      </c>
      <c r="M400" s="2022">
        <f>+M401</f>
        <v>343563</v>
      </c>
      <c r="N400" s="2022">
        <f>+N401</f>
        <v>121660</v>
      </c>
      <c r="O400" s="2885"/>
    </row>
    <row r="401" spans="1:16" ht="12.75" customHeight="1">
      <c r="A401" s="3012"/>
      <c r="B401" s="2057" t="s">
        <v>214</v>
      </c>
      <c r="C401" s="2956"/>
      <c r="D401" s="1926">
        <f>E401+F401+G401+H401+I401+J401+K401+L401</f>
        <v>384389</v>
      </c>
      <c r="E401" s="1990">
        <f>+E403+E404</f>
        <v>40826</v>
      </c>
      <c r="F401" s="2045">
        <f>+F403+F404</f>
        <v>221903</v>
      </c>
      <c r="G401" s="2045">
        <f>+G403+G404</f>
        <v>98077</v>
      </c>
      <c r="H401" s="2045">
        <f>+H403+H404</f>
        <v>23583</v>
      </c>
      <c r="I401" s="1973">
        <v>0</v>
      </c>
      <c r="J401" s="1973">
        <v>0</v>
      </c>
      <c r="K401" s="1973">
        <v>0</v>
      </c>
      <c r="L401" s="1973">
        <v>0</v>
      </c>
      <c r="M401" s="1065">
        <f>SUM(F401:L401)</f>
        <v>343563</v>
      </c>
      <c r="N401" s="1065">
        <f>SUM(G401:L401)</f>
        <v>121660</v>
      </c>
      <c r="O401" s="2885"/>
    </row>
    <row r="402" spans="1:16" ht="12.75" hidden="1" customHeight="1">
      <c r="A402" s="3012"/>
      <c r="B402" s="1073" t="s">
        <v>150</v>
      </c>
      <c r="C402" s="2531"/>
      <c r="D402" s="1926"/>
      <c r="E402" s="2063"/>
      <c r="F402" s="2045"/>
      <c r="G402" s="2045"/>
      <c r="H402" s="2045"/>
      <c r="I402" s="1973"/>
      <c r="J402" s="1973"/>
      <c r="K402" s="1973"/>
      <c r="L402" s="1973"/>
      <c r="M402" s="2611"/>
      <c r="N402" s="2611"/>
      <c r="O402" s="2885"/>
    </row>
    <row r="403" spans="1:16" ht="21" hidden="1" customHeight="1">
      <c r="A403" s="3012"/>
      <c r="B403" s="1073" t="s">
        <v>110</v>
      </c>
      <c r="C403" s="2612"/>
      <c r="D403" s="1926">
        <f>+F403+G403+H403+E403</f>
        <v>292933</v>
      </c>
      <c r="E403" s="2045">
        <v>17695</v>
      </c>
      <c r="F403" s="2045">
        <f>202561+4760-13035</f>
        <v>194286</v>
      </c>
      <c r="G403" s="2045">
        <f>73627-5379</f>
        <v>68248</v>
      </c>
      <c r="H403" s="2045">
        <v>12704</v>
      </c>
      <c r="I403" s="1973"/>
      <c r="J403" s="1973"/>
      <c r="K403" s="1973"/>
      <c r="L403" s="1973"/>
      <c r="M403" s="2047">
        <f>SUM(E403:G403)</f>
        <v>280229</v>
      </c>
      <c r="N403" s="2047">
        <f>SUM(F403:H403)</f>
        <v>275238</v>
      </c>
      <c r="O403" s="2885"/>
    </row>
    <row r="404" spans="1:16" ht="14.25" hidden="1" customHeight="1">
      <c r="A404" s="3012"/>
      <c r="B404" s="1073" t="s">
        <v>270</v>
      </c>
      <c r="C404" s="2612"/>
      <c r="D404" s="1926">
        <f>+F404+G404+H404+E404</f>
        <v>91456</v>
      </c>
      <c r="E404" s="2045">
        <f>18646+4485</f>
        <v>23131</v>
      </c>
      <c r="F404" s="2045">
        <f>24139+163+3315</f>
        <v>27617</v>
      </c>
      <c r="G404" s="2045">
        <f>24450+5379</f>
        <v>29829</v>
      </c>
      <c r="H404" s="2045">
        <f>5644+5235</f>
        <v>10879</v>
      </c>
      <c r="I404" s="1973"/>
      <c r="J404" s="1973"/>
      <c r="K404" s="1973"/>
      <c r="L404" s="1973"/>
      <c r="M404" s="2047">
        <f>SUM(E404:G404)</f>
        <v>80577</v>
      </c>
      <c r="N404" s="2047">
        <f>SUM(F404:H404)</f>
        <v>68325</v>
      </c>
      <c r="O404" s="2885"/>
    </row>
    <row r="405" spans="1:16" ht="15.75" customHeight="1">
      <c r="A405" s="3012"/>
      <c r="B405" s="728" t="s">
        <v>22</v>
      </c>
      <c r="C405" s="2053"/>
      <c r="D405" s="2018">
        <f>SUM(E405:L405)</f>
        <v>384389</v>
      </c>
      <c r="E405" s="2018">
        <v>0</v>
      </c>
      <c r="F405" s="2018">
        <f t="shared" ref="F405:I406" si="236">+F406</f>
        <v>45897</v>
      </c>
      <c r="G405" s="2018">
        <f t="shared" si="236"/>
        <v>239058</v>
      </c>
      <c r="H405" s="2018">
        <f t="shared" si="236"/>
        <v>99434</v>
      </c>
      <c r="I405" s="2489">
        <f t="shared" si="236"/>
        <v>0</v>
      </c>
      <c r="J405" s="2489">
        <v>0</v>
      </c>
      <c r="K405" s="2489">
        <v>0</v>
      </c>
      <c r="L405" s="2489">
        <v>0</v>
      </c>
      <c r="M405" s="2867" t="s">
        <v>23</v>
      </c>
      <c r="N405" s="2867" t="s">
        <v>23</v>
      </c>
      <c r="O405" s="2885"/>
    </row>
    <row r="406" spans="1:16" ht="12.75" customHeight="1">
      <c r="A406" s="3012"/>
      <c r="B406" s="1069" t="s">
        <v>18</v>
      </c>
      <c r="C406" s="2920" t="s">
        <v>111</v>
      </c>
      <c r="D406" s="2051">
        <f>+D407</f>
        <v>384389</v>
      </c>
      <c r="E406" s="2051">
        <v>0</v>
      </c>
      <c r="F406" s="2059">
        <f t="shared" si="236"/>
        <v>45897</v>
      </c>
      <c r="G406" s="2059">
        <f t="shared" si="236"/>
        <v>239058</v>
      </c>
      <c r="H406" s="2059">
        <f t="shared" si="236"/>
        <v>99434</v>
      </c>
      <c r="I406" s="2497">
        <f t="shared" si="236"/>
        <v>0</v>
      </c>
      <c r="J406" s="2490">
        <v>0</v>
      </c>
      <c r="K406" s="2490">
        <v>0</v>
      </c>
      <c r="L406" s="2490">
        <v>0</v>
      </c>
      <c r="M406" s="2868"/>
      <c r="N406" s="2868"/>
      <c r="O406" s="2885"/>
    </row>
    <row r="407" spans="1:16" ht="12" customHeight="1" thickBot="1">
      <c r="A407" s="3013"/>
      <c r="B407" s="908" t="s">
        <v>20</v>
      </c>
      <c r="C407" s="2921"/>
      <c r="D407" s="1027">
        <f>E407+F407+G407+H407+I407+J407+K407+L407</f>
        <v>384389</v>
      </c>
      <c r="E407" s="1027">
        <v>0</v>
      </c>
      <c r="F407" s="533">
        <f>20632+7848+17417</f>
        <v>45897</v>
      </c>
      <c r="G407" s="533">
        <f>133982+66898+38178</f>
        <v>239058</v>
      </c>
      <c r="H407" s="533">
        <f>229775-109440-20901</f>
        <v>99434</v>
      </c>
      <c r="I407" s="1076">
        <f>34694-34694</f>
        <v>0</v>
      </c>
      <c r="J407" s="1076">
        <v>0</v>
      </c>
      <c r="K407" s="1076">
        <v>0</v>
      </c>
      <c r="L407" s="1076">
        <v>0</v>
      </c>
      <c r="M407" s="2869"/>
      <c r="N407" s="2869"/>
      <c r="O407" s="2886"/>
      <c r="P407" s="491">
        <f>D407-D401</f>
        <v>0</v>
      </c>
    </row>
    <row r="408" spans="1:16" ht="27.75" customHeight="1">
      <c r="A408" s="2533"/>
      <c r="B408" s="287" t="s">
        <v>403</v>
      </c>
      <c r="C408" s="59" t="s">
        <v>109</v>
      </c>
      <c r="D408" s="131"/>
      <c r="E408" s="705"/>
      <c r="F408" s="44"/>
      <c r="G408" s="44"/>
      <c r="H408" s="42"/>
      <c r="I408" s="43"/>
      <c r="J408" s="241"/>
      <c r="K408" s="241"/>
      <c r="L408" s="241"/>
      <c r="M408" s="63"/>
      <c r="N408" s="63"/>
      <c r="O408" s="2527"/>
      <c r="P408" s="237" t="s">
        <v>395</v>
      </c>
    </row>
    <row r="409" spans="1:16" ht="15.75" customHeight="1">
      <c r="A409" s="2533"/>
      <c r="B409" s="728" t="s">
        <v>10</v>
      </c>
      <c r="C409" s="829"/>
      <c r="D409" s="708">
        <f>+F409+G409+H409+I409</f>
        <v>489921</v>
      </c>
      <c r="E409" s="708">
        <f>+E410+E415</f>
        <v>0</v>
      </c>
      <c r="F409" s="708">
        <f>+F410+F415</f>
        <v>74667</v>
      </c>
      <c r="G409" s="708">
        <f t="shared" ref="G409:I409" si="237">+G410+G415</f>
        <v>165091</v>
      </c>
      <c r="H409" s="708">
        <f t="shared" si="237"/>
        <v>167991</v>
      </c>
      <c r="I409" s="708">
        <f t="shared" si="237"/>
        <v>82172</v>
      </c>
      <c r="J409" s="1079">
        <v>0</v>
      </c>
      <c r="K409" s="1079">
        <v>0</v>
      </c>
      <c r="L409" s="1079">
        <v>0</v>
      </c>
      <c r="M409" s="1947">
        <f>+M410+M415</f>
        <v>489921</v>
      </c>
      <c r="N409" s="1947">
        <f>+N410+N415</f>
        <v>415254</v>
      </c>
      <c r="O409" s="2527"/>
    </row>
    <row r="410" spans="1:16" ht="12.75" customHeight="1">
      <c r="A410" s="2533"/>
      <c r="B410" s="694" t="s">
        <v>24</v>
      </c>
      <c r="C410" s="2887" t="s">
        <v>402</v>
      </c>
      <c r="D410" s="709">
        <f t="shared" ref="D410:D414" si="238">+F410+G410+H410+I410</f>
        <v>75188</v>
      </c>
      <c r="E410" s="709">
        <f>+E411</f>
        <v>0</v>
      </c>
      <c r="F410" s="709">
        <f>+F411</f>
        <v>11540</v>
      </c>
      <c r="G410" s="709">
        <f t="shared" ref="G410:I410" si="239">+G411</f>
        <v>25273</v>
      </c>
      <c r="H410" s="709">
        <f t="shared" si="239"/>
        <v>25709</v>
      </c>
      <c r="I410" s="709">
        <f t="shared" si="239"/>
        <v>12666</v>
      </c>
      <c r="J410" s="1077">
        <v>0</v>
      </c>
      <c r="K410" s="1077">
        <v>0</v>
      </c>
      <c r="L410" s="1077">
        <v>0</v>
      </c>
      <c r="M410" s="707">
        <f>+M411</f>
        <v>75188</v>
      </c>
      <c r="N410" s="707">
        <f>+N411</f>
        <v>63648</v>
      </c>
      <c r="O410" s="2527"/>
    </row>
    <row r="411" spans="1:16" ht="12.75" customHeight="1">
      <c r="A411" s="2533" t="s">
        <v>490</v>
      </c>
      <c r="B411" s="1073" t="s">
        <v>12</v>
      </c>
      <c r="C411" s="2894"/>
      <c r="D411" s="251">
        <f>E411+F411+G411+H411+I411+J411+K411+L411</f>
        <v>75188</v>
      </c>
      <c r="E411" s="289">
        <v>0</v>
      </c>
      <c r="F411" s="710">
        <f>+F412</f>
        <v>11540</v>
      </c>
      <c r="G411" s="710">
        <f t="shared" ref="G411:I411" si="240">+G412</f>
        <v>25273</v>
      </c>
      <c r="H411" s="710">
        <f t="shared" si="240"/>
        <v>25709</v>
      </c>
      <c r="I411" s="710">
        <f t="shared" si="240"/>
        <v>12666</v>
      </c>
      <c r="J411" s="1091">
        <v>0</v>
      </c>
      <c r="K411" s="1091">
        <v>0</v>
      </c>
      <c r="L411" s="1091">
        <v>0</v>
      </c>
      <c r="M411" s="1065">
        <f>SUM(F411:K411)</f>
        <v>75188</v>
      </c>
      <c r="N411" s="1065">
        <f>SUM(G411:L411)</f>
        <v>63648</v>
      </c>
      <c r="O411" s="2527" t="s">
        <v>288</v>
      </c>
    </row>
    <row r="412" spans="1:16" ht="12.75" hidden="1" customHeight="1">
      <c r="A412" s="2533"/>
      <c r="B412" s="1073" t="s">
        <v>150</v>
      </c>
      <c r="C412" s="2894"/>
      <c r="D412" s="710">
        <f t="shared" si="238"/>
        <v>75188</v>
      </c>
      <c r="E412" s="742">
        <v>0</v>
      </c>
      <c r="F412" s="710">
        <f>+F413+F414</f>
        <v>11540</v>
      </c>
      <c r="G412" s="710">
        <f t="shared" ref="G412:I412" si="241">+G413+G414</f>
        <v>25273</v>
      </c>
      <c r="H412" s="710">
        <f t="shared" si="241"/>
        <v>25709</v>
      </c>
      <c r="I412" s="710">
        <f t="shared" si="241"/>
        <v>12666</v>
      </c>
      <c r="J412" s="1091">
        <v>0</v>
      </c>
      <c r="K412" s="1091">
        <v>0</v>
      </c>
      <c r="L412" s="1091">
        <v>0</v>
      </c>
      <c r="M412" s="1065">
        <f t="shared" ref="M412:N414" si="242">+H412+G412+F412+E412</f>
        <v>62522</v>
      </c>
      <c r="N412" s="1065">
        <f t="shared" si="242"/>
        <v>75188</v>
      </c>
      <c r="O412" s="2527"/>
    </row>
    <row r="413" spans="1:16" ht="12.75" hidden="1" customHeight="1">
      <c r="A413" s="2533"/>
      <c r="B413" s="1073" t="s">
        <v>110</v>
      </c>
      <c r="C413" s="2894"/>
      <c r="D413" s="710">
        <f t="shared" si="238"/>
        <v>61857</v>
      </c>
      <c r="E413" s="742">
        <v>0</v>
      </c>
      <c r="F413" s="710">
        <f>10714-1427</f>
        <v>9287</v>
      </c>
      <c r="G413" s="710">
        <f>21623-548</f>
        <v>21075</v>
      </c>
      <c r="H413" s="710">
        <f>21679-604</f>
        <v>21075</v>
      </c>
      <c r="I413" s="710">
        <f>10713-293</f>
        <v>10420</v>
      </c>
      <c r="J413" s="1091">
        <v>0</v>
      </c>
      <c r="K413" s="1091">
        <v>0</v>
      </c>
      <c r="L413" s="1091">
        <v>0</v>
      </c>
      <c r="M413" s="1065">
        <f t="shared" si="242"/>
        <v>51437</v>
      </c>
      <c r="N413" s="1065">
        <f t="shared" si="242"/>
        <v>61857</v>
      </c>
      <c r="O413" s="2527"/>
    </row>
    <row r="414" spans="1:16" ht="12.75" hidden="1" customHeight="1">
      <c r="A414" s="2533"/>
      <c r="B414" s="1073" t="s">
        <v>270</v>
      </c>
      <c r="C414" s="2894"/>
      <c r="D414" s="710">
        <f t="shared" si="238"/>
        <v>13331</v>
      </c>
      <c r="E414" s="742">
        <v>0</v>
      </c>
      <c r="F414" s="710">
        <f>1959+294</f>
        <v>2253</v>
      </c>
      <c r="G414" s="710">
        <f>3650+548</f>
        <v>4198</v>
      </c>
      <c r="H414" s="710">
        <f>4030+604</f>
        <v>4634</v>
      </c>
      <c r="I414" s="710">
        <f>1953+293</f>
        <v>2246</v>
      </c>
      <c r="J414" s="1091">
        <v>0</v>
      </c>
      <c r="K414" s="1091">
        <v>0</v>
      </c>
      <c r="L414" s="1091">
        <v>0</v>
      </c>
      <c r="M414" s="1065">
        <f t="shared" si="242"/>
        <v>11085</v>
      </c>
      <c r="N414" s="1065">
        <f t="shared" si="242"/>
        <v>13331</v>
      </c>
      <c r="O414" s="2527"/>
    </row>
    <row r="415" spans="1:16" ht="12.75" customHeight="1">
      <c r="A415" s="2533"/>
      <c r="B415" s="1069" t="s">
        <v>18</v>
      </c>
      <c r="C415" s="2894"/>
      <c r="D415" s="711">
        <f>+E415+F415+G415+H415+I415+J415+K415+L415</f>
        <v>414733</v>
      </c>
      <c r="E415" s="711">
        <f>+E416</f>
        <v>0</v>
      </c>
      <c r="F415" s="711">
        <f>+F416</f>
        <v>63127</v>
      </c>
      <c r="G415" s="711">
        <f t="shared" ref="G415:I415" si="243">+G416</f>
        <v>139818</v>
      </c>
      <c r="H415" s="711">
        <f t="shared" si="243"/>
        <v>142282</v>
      </c>
      <c r="I415" s="711">
        <f t="shared" si="243"/>
        <v>69506</v>
      </c>
      <c r="J415" s="1070">
        <v>0</v>
      </c>
      <c r="K415" s="1070">
        <v>0</v>
      </c>
      <c r="L415" s="1070">
        <v>0</v>
      </c>
      <c r="M415" s="707">
        <f>+M416</f>
        <v>414733</v>
      </c>
      <c r="N415" s="707">
        <f>+N416</f>
        <v>351606</v>
      </c>
      <c r="O415" s="2527"/>
    </row>
    <row r="416" spans="1:16" ht="12.75" customHeight="1">
      <c r="A416" s="2533"/>
      <c r="B416" s="894" t="s">
        <v>214</v>
      </c>
      <c r="C416" s="2956"/>
      <c r="D416" s="251">
        <f>E416+F416+G416+H416+I416+J416+K416+L416</f>
        <v>414733</v>
      </c>
      <c r="E416" s="289">
        <v>0</v>
      </c>
      <c r="F416" s="710">
        <f>+F417</f>
        <v>63127</v>
      </c>
      <c r="G416" s="710">
        <f t="shared" ref="G416:I416" si="244">+G417</f>
        <v>139818</v>
      </c>
      <c r="H416" s="710">
        <f t="shared" si="244"/>
        <v>142282</v>
      </c>
      <c r="I416" s="710">
        <f t="shared" si="244"/>
        <v>69506</v>
      </c>
      <c r="J416" s="1091">
        <v>0</v>
      </c>
      <c r="K416" s="1091">
        <v>0</v>
      </c>
      <c r="L416" s="1091">
        <v>0</v>
      </c>
      <c r="M416" s="1065">
        <f>SUM(F416:K416)</f>
        <v>414733</v>
      </c>
      <c r="N416" s="1065">
        <f>SUM(G416:L416)</f>
        <v>351606</v>
      </c>
      <c r="O416" s="2527"/>
    </row>
    <row r="417" spans="1:17" ht="12.75" hidden="1" customHeight="1">
      <c r="A417" s="2533"/>
      <c r="B417" s="1073" t="s">
        <v>150</v>
      </c>
      <c r="C417" s="2531"/>
      <c r="D417" s="251">
        <f t="shared" ref="D417:D419" si="245">E417+F417+G417+H417+I417+J417+K417+L417</f>
        <v>414733</v>
      </c>
      <c r="E417" s="742">
        <v>0</v>
      </c>
      <c r="F417" s="710">
        <f>+F418+F419</f>
        <v>63127</v>
      </c>
      <c r="G417" s="710">
        <f>+G418+G419</f>
        <v>139818</v>
      </c>
      <c r="H417" s="710">
        <f>+H418+H419</f>
        <v>142282</v>
      </c>
      <c r="I417" s="710">
        <f>+I418+I419</f>
        <v>69506</v>
      </c>
      <c r="J417" s="1091">
        <v>0</v>
      </c>
      <c r="K417" s="1091">
        <v>0</v>
      </c>
      <c r="L417" s="1091">
        <v>0</v>
      </c>
      <c r="M417" s="710">
        <f t="shared" ref="M417:N419" si="246">+H417+G417+F417+E417</f>
        <v>345227</v>
      </c>
      <c r="N417" s="710">
        <f t="shared" si="246"/>
        <v>414733</v>
      </c>
      <c r="O417" s="2527"/>
    </row>
    <row r="418" spans="1:17" ht="12.75" hidden="1" customHeight="1">
      <c r="A418" s="2533"/>
      <c r="B418" s="1073" t="s">
        <v>110</v>
      </c>
      <c r="C418" s="2612"/>
      <c r="D418" s="251">
        <f t="shared" si="245"/>
        <v>339192</v>
      </c>
      <c r="E418" s="742">
        <v>0</v>
      </c>
      <c r="F418" s="710">
        <f>58446-8085</f>
        <v>50361</v>
      </c>
      <c r="G418" s="710">
        <f>119128-3103</f>
        <v>116025</v>
      </c>
      <c r="H418" s="710">
        <f>119450-3425</f>
        <v>116025</v>
      </c>
      <c r="I418" s="710">
        <f>58441-1660</f>
        <v>56781</v>
      </c>
      <c r="J418" s="1091">
        <v>0</v>
      </c>
      <c r="K418" s="1091">
        <v>0</v>
      </c>
      <c r="L418" s="1091">
        <v>0</v>
      </c>
      <c r="M418" s="710">
        <f t="shared" si="246"/>
        <v>282411</v>
      </c>
      <c r="N418" s="710">
        <f t="shared" si="246"/>
        <v>339192</v>
      </c>
      <c r="O418" s="2527"/>
    </row>
    <row r="419" spans="1:17" ht="12" hidden="1" customHeight="1">
      <c r="A419" s="2533"/>
      <c r="B419" s="1073" t="s">
        <v>270</v>
      </c>
      <c r="C419" s="2612"/>
      <c r="D419" s="251">
        <f t="shared" si="245"/>
        <v>75541</v>
      </c>
      <c r="E419" s="742">
        <v>0</v>
      </c>
      <c r="F419" s="710">
        <f>11101+1665</f>
        <v>12766</v>
      </c>
      <c r="G419" s="710">
        <f>20690+3103</f>
        <v>23793</v>
      </c>
      <c r="H419" s="710">
        <f>22832+3425</f>
        <v>26257</v>
      </c>
      <c r="I419" s="710">
        <f>11065+1660</f>
        <v>12725</v>
      </c>
      <c r="J419" s="1091">
        <v>0</v>
      </c>
      <c r="K419" s="1091">
        <v>0</v>
      </c>
      <c r="L419" s="1091">
        <v>0</v>
      </c>
      <c r="M419" s="710">
        <f t="shared" si="246"/>
        <v>62816</v>
      </c>
      <c r="N419" s="710">
        <f t="shared" si="246"/>
        <v>75541</v>
      </c>
      <c r="O419" s="2527"/>
    </row>
    <row r="420" spans="1:17" ht="15.75" customHeight="1">
      <c r="A420" s="2533"/>
      <c r="B420" s="728" t="s">
        <v>22</v>
      </c>
      <c r="C420" s="2053"/>
      <c r="D420" s="2018">
        <f>+D421</f>
        <v>414733</v>
      </c>
      <c r="E420" s="2018">
        <f>+E421</f>
        <v>0</v>
      </c>
      <c r="F420" s="2489">
        <v>0</v>
      </c>
      <c r="G420" s="2018">
        <f>+G421</f>
        <v>121384</v>
      </c>
      <c r="H420" s="2018">
        <f t="shared" ref="H420:I420" si="247">+H421</f>
        <v>140845</v>
      </c>
      <c r="I420" s="2018">
        <f t="shared" si="247"/>
        <v>152504</v>
      </c>
      <c r="J420" s="2489">
        <v>0</v>
      </c>
      <c r="K420" s="2489">
        <v>0</v>
      </c>
      <c r="L420" s="2489">
        <v>0</v>
      </c>
      <c r="M420" s="2871" t="s">
        <v>23</v>
      </c>
      <c r="N420" s="2871" t="s">
        <v>23</v>
      </c>
      <c r="O420" s="2527"/>
    </row>
    <row r="421" spans="1:17" ht="12.75" customHeight="1">
      <c r="A421" s="2533"/>
      <c r="B421" s="1069" t="s">
        <v>18</v>
      </c>
      <c r="C421" s="2887" t="s">
        <v>401</v>
      </c>
      <c r="D421" s="2051">
        <f>+D422</f>
        <v>414733</v>
      </c>
      <c r="E421" s="2059">
        <f>+E422</f>
        <v>0</v>
      </c>
      <c r="F421" s="2497">
        <v>0</v>
      </c>
      <c r="G421" s="2059">
        <f>+G422</f>
        <v>121384</v>
      </c>
      <c r="H421" s="2059">
        <f t="shared" ref="H421:I421" si="248">+H422</f>
        <v>140845</v>
      </c>
      <c r="I421" s="2059">
        <f t="shared" si="248"/>
        <v>152504</v>
      </c>
      <c r="J421" s="2490">
        <v>0</v>
      </c>
      <c r="K421" s="2490">
        <v>0</v>
      </c>
      <c r="L421" s="2490">
        <v>0</v>
      </c>
      <c r="M421" s="2868"/>
      <c r="N421" s="2868"/>
      <c r="O421" s="2527"/>
    </row>
    <row r="422" spans="1:17" ht="12.75" customHeight="1" thickBot="1">
      <c r="A422" s="2534"/>
      <c r="B422" s="908" t="s">
        <v>20</v>
      </c>
      <c r="C422" s="2921"/>
      <c r="D422" s="1026">
        <f>E422+F422+G422+H422+I422+J422+K422+L422</f>
        <v>414733</v>
      </c>
      <c r="E422" s="1026">
        <v>0</v>
      </c>
      <c r="F422" s="1076">
        <v>0</v>
      </c>
      <c r="G422" s="2613">
        <f>127804-6420</f>
        <v>121384</v>
      </c>
      <c r="H422" s="2613">
        <v>140845</v>
      </c>
      <c r="I422" s="2614">
        <v>152504</v>
      </c>
      <c r="J422" s="1076">
        <v>0</v>
      </c>
      <c r="K422" s="1076">
        <v>0</v>
      </c>
      <c r="L422" s="1076">
        <v>0</v>
      </c>
      <c r="M422" s="2869"/>
      <c r="N422" s="2869"/>
      <c r="O422" s="2528"/>
    </row>
    <row r="423" spans="1:17" ht="26.25" hidden="1" customHeight="1">
      <c r="A423" s="3029" t="s">
        <v>246</v>
      </c>
      <c r="B423" s="132" t="s">
        <v>103</v>
      </c>
      <c r="C423" s="975"/>
      <c r="D423" s="976"/>
      <c r="E423" s="978"/>
      <c r="F423" s="978"/>
      <c r="G423" s="978"/>
      <c r="H423" s="978"/>
      <c r="I423" s="978"/>
      <c r="J423" s="978"/>
      <c r="K423" s="978"/>
      <c r="L423" s="978"/>
      <c r="M423" s="979"/>
      <c r="N423" s="979"/>
      <c r="O423" s="3016"/>
    </row>
    <row r="424" spans="1:17" ht="12" hidden="1" customHeight="1">
      <c r="A424" s="3030"/>
      <c r="B424" s="21" t="s">
        <v>10</v>
      </c>
      <c r="C424" s="22"/>
      <c r="D424" s="133">
        <f>+D425+D429</f>
        <v>0</v>
      </c>
      <c r="E424" s="133">
        <f>+E425+E429</f>
        <v>0</v>
      </c>
      <c r="F424" s="133">
        <f t="shared" ref="F424:G424" si="249">+F425+F429</f>
        <v>0</v>
      </c>
      <c r="G424" s="133">
        <f t="shared" si="249"/>
        <v>0</v>
      </c>
      <c r="H424" s="133">
        <f t="shared" ref="H424:N424" si="250">+H425+H429</f>
        <v>0</v>
      </c>
      <c r="I424" s="133">
        <f t="shared" si="250"/>
        <v>0</v>
      </c>
      <c r="J424" s="133">
        <f t="shared" si="250"/>
        <v>0</v>
      </c>
      <c r="K424" s="133">
        <f t="shared" si="250"/>
        <v>0</v>
      </c>
      <c r="L424" s="133">
        <f t="shared" si="250"/>
        <v>0</v>
      </c>
      <c r="M424" s="32">
        <f t="shared" ref="M424" si="251">+M425+M429</f>
        <v>0</v>
      </c>
      <c r="N424" s="32">
        <f t="shared" si="250"/>
        <v>0</v>
      </c>
      <c r="O424" s="3017"/>
      <c r="P424" s="491" t="e">
        <f>+#REF!+#REF!</f>
        <v>#REF!</v>
      </c>
      <c r="Q424" s="491"/>
    </row>
    <row r="425" spans="1:17" s="926" customFormat="1" ht="12" hidden="1" customHeight="1">
      <c r="A425" s="3030"/>
      <c r="B425" s="980" t="s">
        <v>11</v>
      </c>
      <c r="C425" s="981"/>
      <c r="D425" s="124">
        <f>+D426+D427+D428</f>
        <v>0</v>
      </c>
      <c r="E425" s="124">
        <f>+E426+E427+E428</f>
        <v>0</v>
      </c>
      <c r="F425" s="124">
        <f t="shared" ref="F425:G425" si="252">+F426+F427+F428</f>
        <v>0</v>
      </c>
      <c r="G425" s="124">
        <f t="shared" si="252"/>
        <v>0</v>
      </c>
      <c r="H425" s="124">
        <f t="shared" ref="H425:N425" si="253">+H426+H427+H428</f>
        <v>0</v>
      </c>
      <c r="I425" s="124">
        <f t="shared" si="253"/>
        <v>0</v>
      </c>
      <c r="J425" s="124">
        <f t="shared" si="253"/>
        <v>0</v>
      </c>
      <c r="K425" s="124">
        <f t="shared" si="253"/>
        <v>0</v>
      </c>
      <c r="L425" s="124">
        <f t="shared" si="253"/>
        <v>0</v>
      </c>
      <c r="M425" s="34">
        <f t="shared" ref="M425" si="254">+M426+M427+M428</f>
        <v>0</v>
      </c>
      <c r="N425" s="34">
        <f t="shared" si="253"/>
        <v>0</v>
      </c>
      <c r="O425" s="3017"/>
      <c r="Q425" s="491"/>
    </row>
    <row r="426" spans="1:17" ht="12" hidden="1" customHeight="1">
      <c r="A426" s="3030"/>
      <c r="B426" s="982" t="s">
        <v>12</v>
      </c>
      <c r="C426" s="983"/>
      <c r="D426" s="35">
        <f>+D442+D460</f>
        <v>0</v>
      </c>
      <c r="E426" s="35">
        <f>+E442+E460</f>
        <v>0</v>
      </c>
      <c r="F426" s="35">
        <f t="shared" ref="F426:G426" si="255">+F442+F460</f>
        <v>0</v>
      </c>
      <c r="G426" s="35">
        <f t="shared" si="255"/>
        <v>0</v>
      </c>
      <c r="H426" s="35">
        <f>+H442+H460</f>
        <v>0</v>
      </c>
      <c r="I426" s="35">
        <f>+I442+I460</f>
        <v>0</v>
      </c>
      <c r="J426" s="35">
        <f>+J442+J460</f>
        <v>0</v>
      </c>
      <c r="K426" s="35">
        <f>+K442+K460</f>
        <v>0</v>
      </c>
      <c r="L426" s="35">
        <f>+L442+L460</f>
        <v>0</v>
      </c>
      <c r="M426" s="36">
        <f t="shared" ref="M426:N428" si="256">SUM(E426:H426)</f>
        <v>0</v>
      </c>
      <c r="N426" s="36">
        <f t="shared" si="256"/>
        <v>0</v>
      </c>
      <c r="O426" s="3017"/>
      <c r="P426" s="491"/>
      <c r="Q426" s="491"/>
    </row>
    <row r="427" spans="1:17" ht="12" hidden="1" customHeight="1">
      <c r="A427" s="3030"/>
      <c r="B427" s="939" t="s">
        <v>78</v>
      </c>
      <c r="C427" s="940"/>
      <c r="D427" s="35">
        <f>+D443</f>
        <v>0</v>
      </c>
      <c r="E427" s="35">
        <f>+E443</f>
        <v>0</v>
      </c>
      <c r="F427" s="35">
        <f t="shared" ref="F427:G428" si="257">+F443</f>
        <v>0</v>
      </c>
      <c r="G427" s="35">
        <f t="shared" si="257"/>
        <v>0</v>
      </c>
      <c r="H427" s="35">
        <f t="shared" ref="H427:L428" si="258">+H443</f>
        <v>0</v>
      </c>
      <c r="I427" s="35">
        <f t="shared" si="258"/>
        <v>0</v>
      </c>
      <c r="J427" s="35">
        <f t="shared" si="258"/>
        <v>0</v>
      </c>
      <c r="K427" s="35">
        <f t="shared" si="258"/>
        <v>0</v>
      </c>
      <c r="L427" s="35">
        <f t="shared" si="258"/>
        <v>0</v>
      </c>
      <c r="M427" s="36">
        <f t="shared" si="256"/>
        <v>0</v>
      </c>
      <c r="N427" s="36">
        <f t="shared" si="256"/>
        <v>0</v>
      </c>
      <c r="O427" s="3017"/>
      <c r="Q427" s="491"/>
    </row>
    <row r="428" spans="1:17" ht="12" hidden="1" customHeight="1">
      <c r="A428" s="3030"/>
      <c r="B428" s="984" t="s">
        <v>52</v>
      </c>
      <c r="C428" s="985"/>
      <c r="D428" s="35">
        <f>+D444</f>
        <v>0</v>
      </c>
      <c r="E428" s="35">
        <f>+E444</f>
        <v>0</v>
      </c>
      <c r="F428" s="35">
        <f t="shared" si="257"/>
        <v>0</v>
      </c>
      <c r="G428" s="35">
        <f t="shared" si="257"/>
        <v>0</v>
      </c>
      <c r="H428" s="35">
        <f t="shared" si="258"/>
        <v>0</v>
      </c>
      <c r="I428" s="35">
        <f t="shared" si="258"/>
        <v>0</v>
      </c>
      <c r="J428" s="35">
        <f t="shared" si="258"/>
        <v>0</v>
      </c>
      <c r="K428" s="35">
        <f t="shared" si="258"/>
        <v>0</v>
      </c>
      <c r="L428" s="35">
        <f t="shared" si="258"/>
        <v>0</v>
      </c>
      <c r="M428" s="36">
        <f t="shared" si="256"/>
        <v>0</v>
      </c>
      <c r="N428" s="36">
        <f t="shared" si="256"/>
        <v>0</v>
      </c>
      <c r="O428" s="3017"/>
      <c r="P428" s="491"/>
      <c r="Q428" s="491"/>
    </row>
    <row r="429" spans="1:17" s="987" customFormat="1" ht="12" hidden="1" customHeight="1">
      <c r="A429" s="3030"/>
      <c r="B429" s="942" t="s">
        <v>18</v>
      </c>
      <c r="C429" s="986"/>
      <c r="D429" s="33">
        <f>+D430+D431</f>
        <v>0</v>
      </c>
      <c r="E429" s="33">
        <f>+E430+E431</f>
        <v>0</v>
      </c>
      <c r="F429" s="33">
        <f t="shared" ref="F429:G429" si="259">+F430+F431</f>
        <v>0</v>
      </c>
      <c r="G429" s="33">
        <f t="shared" si="259"/>
        <v>0</v>
      </c>
      <c r="H429" s="33">
        <f t="shared" ref="H429:N429" si="260">+H430+H431</f>
        <v>0</v>
      </c>
      <c r="I429" s="33">
        <f t="shared" si="260"/>
        <v>0</v>
      </c>
      <c r="J429" s="33">
        <f t="shared" si="260"/>
        <v>0</v>
      </c>
      <c r="K429" s="33">
        <f t="shared" si="260"/>
        <v>0</v>
      </c>
      <c r="L429" s="33">
        <f t="shared" si="260"/>
        <v>0</v>
      </c>
      <c r="M429" s="134">
        <f t="shared" ref="M429" si="261">+M430+M431</f>
        <v>0</v>
      </c>
      <c r="N429" s="134">
        <f t="shared" si="260"/>
        <v>0</v>
      </c>
      <c r="O429" s="3017"/>
      <c r="P429" s="925"/>
      <c r="Q429" s="925"/>
    </row>
    <row r="430" spans="1:17" ht="12" hidden="1" customHeight="1">
      <c r="A430" s="3030"/>
      <c r="B430" s="943" t="s">
        <v>21</v>
      </c>
      <c r="C430" s="985"/>
      <c r="D430" s="35">
        <f>+D446+D462</f>
        <v>0</v>
      </c>
      <c r="E430" s="35">
        <f>+E446+E462</f>
        <v>0</v>
      </c>
      <c r="F430" s="35">
        <f t="shared" ref="F430:G430" si="262">+F446+F462</f>
        <v>0</v>
      </c>
      <c r="G430" s="35">
        <f t="shared" si="262"/>
        <v>0</v>
      </c>
      <c r="H430" s="35">
        <f>+H446+H462</f>
        <v>0</v>
      </c>
      <c r="I430" s="35">
        <f>+I446+I462</f>
        <v>0</v>
      </c>
      <c r="J430" s="35">
        <f>+J446+J462</f>
        <v>0</v>
      </c>
      <c r="K430" s="35">
        <f>+K446+K462</f>
        <v>0</v>
      </c>
      <c r="L430" s="35">
        <f>+L446+L462</f>
        <v>0</v>
      </c>
      <c r="M430" s="36">
        <f>SUM(E430:H430)</f>
        <v>0</v>
      </c>
      <c r="N430" s="36">
        <f>SUM(F430:I430)</f>
        <v>0</v>
      </c>
      <c r="O430" s="3017"/>
      <c r="P430" s="491"/>
      <c r="Q430" s="491"/>
    </row>
    <row r="431" spans="1:17" ht="12" hidden="1" customHeight="1">
      <c r="A431" s="3030"/>
      <c r="B431" s="943" t="s">
        <v>79</v>
      </c>
      <c r="C431" s="985"/>
      <c r="D431" s="35">
        <f>+D447</f>
        <v>0</v>
      </c>
      <c r="E431" s="35">
        <f>+E447</f>
        <v>0</v>
      </c>
      <c r="F431" s="35">
        <f t="shared" ref="F431:G431" si="263">+F447</f>
        <v>0</v>
      </c>
      <c r="G431" s="35">
        <f t="shared" si="263"/>
        <v>0</v>
      </c>
      <c r="H431" s="35">
        <f>+H447</f>
        <v>0</v>
      </c>
      <c r="I431" s="35">
        <f>+I447</f>
        <v>0</v>
      </c>
      <c r="J431" s="35">
        <f>+J447</f>
        <v>0</v>
      </c>
      <c r="K431" s="35">
        <f>+K447</f>
        <v>0</v>
      </c>
      <c r="L431" s="35">
        <f>+L447</f>
        <v>0</v>
      </c>
      <c r="M431" s="36">
        <f>SUM(E431:H431)</f>
        <v>0</v>
      </c>
      <c r="N431" s="36">
        <f>SUM(F431:I431)</f>
        <v>0</v>
      </c>
      <c r="O431" s="3017"/>
      <c r="P431" s="491"/>
      <c r="Q431" s="491"/>
    </row>
    <row r="432" spans="1:17" ht="12" hidden="1" customHeight="1">
      <c r="A432" s="3030"/>
      <c r="B432" s="21" t="s">
        <v>22</v>
      </c>
      <c r="C432" s="22"/>
      <c r="D432" s="200">
        <f>+D433+D436</f>
        <v>0</v>
      </c>
      <c r="E432" s="200">
        <f>+E433+E436</f>
        <v>0</v>
      </c>
      <c r="F432" s="200">
        <f t="shared" ref="F432:G432" si="264">+F433+F436</f>
        <v>0</v>
      </c>
      <c r="G432" s="200">
        <f t="shared" si="264"/>
        <v>0</v>
      </c>
      <c r="H432" s="200">
        <f>+H433+H436</f>
        <v>0</v>
      </c>
      <c r="I432" s="200">
        <f>+I433+I436</f>
        <v>0</v>
      </c>
      <c r="J432" s="200">
        <f>+J433+J436</f>
        <v>0</v>
      </c>
      <c r="K432" s="200">
        <f>+K433+K436</f>
        <v>0</v>
      </c>
      <c r="L432" s="200">
        <f>+L433+L436</f>
        <v>0</v>
      </c>
      <c r="M432" s="2872" t="s">
        <v>23</v>
      </c>
      <c r="N432" s="2872" t="s">
        <v>23</v>
      </c>
      <c r="O432" s="3017"/>
    </row>
    <row r="433" spans="1:16" ht="12" hidden="1" customHeight="1">
      <c r="A433" s="3030"/>
      <c r="B433" s="988" t="s">
        <v>24</v>
      </c>
      <c r="C433" s="989"/>
      <c r="D433" s="124">
        <f>+D434+D435</f>
        <v>0</v>
      </c>
      <c r="E433" s="124">
        <f>+E434+E435</f>
        <v>0</v>
      </c>
      <c r="F433" s="124">
        <f t="shared" ref="F433:G433" si="265">+F434+F435</f>
        <v>0</v>
      </c>
      <c r="G433" s="124">
        <f t="shared" si="265"/>
        <v>0</v>
      </c>
      <c r="H433" s="124">
        <f>+H434+H435</f>
        <v>0</v>
      </c>
      <c r="I433" s="124">
        <f>+I434+I435</f>
        <v>0</v>
      </c>
      <c r="J433" s="124">
        <f>+J434+J435</f>
        <v>0</v>
      </c>
      <c r="K433" s="124">
        <f>+K434+K435</f>
        <v>0</v>
      </c>
      <c r="L433" s="124">
        <f>+L434+L435</f>
        <v>0</v>
      </c>
      <c r="M433" s="2868"/>
      <c r="N433" s="2868"/>
      <c r="O433" s="3017"/>
      <c r="P433" s="491"/>
    </row>
    <row r="434" spans="1:16" ht="12" hidden="1" customHeight="1">
      <c r="A434" s="3030"/>
      <c r="B434" s="268" t="s">
        <v>78</v>
      </c>
      <c r="C434" s="985"/>
      <c r="D434" s="35">
        <f>+D450</f>
        <v>0</v>
      </c>
      <c r="E434" s="35">
        <f>+E450</f>
        <v>0</v>
      </c>
      <c r="F434" s="35">
        <f t="shared" ref="F434:L434" si="266">+F450</f>
        <v>0</v>
      </c>
      <c r="G434" s="35">
        <f t="shared" si="266"/>
        <v>0</v>
      </c>
      <c r="H434" s="35">
        <f t="shared" si="266"/>
        <v>0</v>
      </c>
      <c r="I434" s="35">
        <f t="shared" si="266"/>
        <v>0</v>
      </c>
      <c r="J434" s="35">
        <f t="shared" si="266"/>
        <v>0</v>
      </c>
      <c r="K434" s="35">
        <f t="shared" si="266"/>
        <v>0</v>
      </c>
      <c r="L434" s="35">
        <f t="shared" si="266"/>
        <v>0</v>
      </c>
      <c r="M434" s="2868"/>
      <c r="N434" s="2868"/>
      <c r="O434" s="3017"/>
    </row>
    <row r="435" spans="1:16" ht="12" hidden="1" customHeight="1">
      <c r="A435" s="3030"/>
      <c r="B435" s="990" t="s">
        <v>52</v>
      </c>
      <c r="C435" s="135"/>
      <c r="D435" s="35">
        <f>+D452</f>
        <v>0</v>
      </c>
      <c r="E435" s="35">
        <f>+E452</f>
        <v>0</v>
      </c>
      <c r="F435" s="35">
        <f t="shared" ref="F435:L435" si="267">+F452</f>
        <v>0</v>
      </c>
      <c r="G435" s="35">
        <f t="shared" si="267"/>
        <v>0</v>
      </c>
      <c r="H435" s="35">
        <f t="shared" si="267"/>
        <v>0</v>
      </c>
      <c r="I435" s="35">
        <f t="shared" si="267"/>
        <v>0</v>
      </c>
      <c r="J435" s="35">
        <f t="shared" si="267"/>
        <v>0</v>
      </c>
      <c r="K435" s="35">
        <f t="shared" si="267"/>
        <v>0</v>
      </c>
      <c r="L435" s="35">
        <f t="shared" si="267"/>
        <v>0</v>
      </c>
      <c r="M435" s="2868"/>
      <c r="N435" s="2868"/>
      <c r="O435" s="3017"/>
    </row>
    <row r="436" spans="1:16" s="987" customFormat="1" ht="12" hidden="1" customHeight="1">
      <c r="A436" s="3030"/>
      <c r="B436" s="991" t="s">
        <v>18</v>
      </c>
      <c r="C436" s="986"/>
      <c r="D436" s="136">
        <f>+D437+D438</f>
        <v>0</v>
      </c>
      <c r="E436" s="136">
        <f>+E437+E438</f>
        <v>0</v>
      </c>
      <c r="F436" s="136">
        <f t="shared" ref="F436:G436" si="268">+F437+F438</f>
        <v>0</v>
      </c>
      <c r="G436" s="136">
        <f t="shared" si="268"/>
        <v>0</v>
      </c>
      <c r="H436" s="136">
        <f>+H437+H438</f>
        <v>0</v>
      </c>
      <c r="I436" s="136">
        <f>+I437+I438</f>
        <v>0</v>
      </c>
      <c r="J436" s="136">
        <f>+J437+J438</f>
        <v>0</v>
      </c>
      <c r="K436" s="136">
        <f>+K437+K438</f>
        <v>0</v>
      </c>
      <c r="L436" s="136">
        <f>+L437+L438</f>
        <v>0</v>
      </c>
      <c r="M436" s="2868"/>
      <c r="N436" s="2868"/>
      <c r="O436" s="3017"/>
    </row>
    <row r="437" spans="1:16" ht="12" hidden="1" customHeight="1">
      <c r="A437" s="3030"/>
      <c r="B437" s="992" t="s">
        <v>21</v>
      </c>
      <c r="C437" s="985"/>
      <c r="D437" s="35">
        <f>+D455+D465</f>
        <v>0</v>
      </c>
      <c r="E437" s="35">
        <f>+E455+E465</f>
        <v>0</v>
      </c>
      <c r="F437" s="35">
        <f t="shared" ref="F437:G437" si="269">+F455+F465</f>
        <v>0</v>
      </c>
      <c r="G437" s="35">
        <f t="shared" si="269"/>
        <v>0</v>
      </c>
      <c r="H437" s="35">
        <f>+H455+H465</f>
        <v>0</v>
      </c>
      <c r="I437" s="35">
        <f>+I455+I465</f>
        <v>0</v>
      </c>
      <c r="J437" s="35">
        <f>+J455+J465</f>
        <v>0</v>
      </c>
      <c r="K437" s="35">
        <f>+K455+K465</f>
        <v>0</v>
      </c>
      <c r="L437" s="35">
        <f>+L455+L465</f>
        <v>0</v>
      </c>
      <c r="M437" s="2868"/>
      <c r="N437" s="2868"/>
      <c r="O437" s="3017"/>
    </row>
    <row r="438" spans="1:16" ht="12" hidden="1" customHeight="1" thickBot="1">
      <c r="A438" s="3031"/>
      <c r="B438" s="993" t="s">
        <v>79</v>
      </c>
      <c r="C438" s="969"/>
      <c r="D438" s="127">
        <f>+D456</f>
        <v>0</v>
      </c>
      <c r="E438" s="127">
        <f>+E456</f>
        <v>0</v>
      </c>
      <c r="F438" s="127">
        <f t="shared" ref="F438:G438" si="270">+F456</f>
        <v>0</v>
      </c>
      <c r="G438" s="127">
        <f t="shared" si="270"/>
        <v>0</v>
      </c>
      <c r="H438" s="255">
        <f>+H456</f>
        <v>0</v>
      </c>
      <c r="I438" s="256">
        <f>+I456</f>
        <v>0</v>
      </c>
      <c r="J438" s="256">
        <f>+J456</f>
        <v>0</v>
      </c>
      <c r="K438" s="256">
        <f>+K456</f>
        <v>0</v>
      </c>
      <c r="L438" s="256">
        <f>+L456</f>
        <v>0</v>
      </c>
      <c r="M438" s="2869"/>
      <c r="N438" s="2869"/>
      <c r="O438" s="994"/>
    </row>
    <row r="439" spans="1:16" hidden="1">
      <c r="A439" s="2931"/>
      <c r="B439" s="712"/>
      <c r="C439" s="59" t="s">
        <v>81</v>
      </c>
      <c r="D439" s="105"/>
      <c r="E439" s="107"/>
      <c r="F439" s="106"/>
      <c r="G439" s="713"/>
      <c r="H439" s="713"/>
      <c r="I439" s="713"/>
      <c r="J439" s="713"/>
      <c r="K439" s="713"/>
      <c r="L439" s="713"/>
      <c r="M439" s="45"/>
      <c r="N439" s="45"/>
      <c r="O439" s="2884" t="s">
        <v>105</v>
      </c>
    </row>
    <row r="440" spans="1:16" ht="15" hidden="1" customHeight="1">
      <c r="A440" s="2932"/>
      <c r="B440" s="21" t="s">
        <v>10</v>
      </c>
      <c r="C440" s="22"/>
      <c r="D440" s="108">
        <f t="shared" ref="D440:I440" si="271">+D441+D445</f>
        <v>0</v>
      </c>
      <c r="E440" s="108">
        <f t="shared" si="271"/>
        <v>0</v>
      </c>
      <c r="F440" s="108">
        <f t="shared" si="271"/>
        <v>0</v>
      </c>
      <c r="G440" s="108">
        <f t="shared" si="271"/>
        <v>0</v>
      </c>
      <c r="H440" s="108">
        <f t="shared" si="271"/>
        <v>0</v>
      </c>
      <c r="I440" s="108">
        <f t="shared" si="271"/>
        <v>0</v>
      </c>
      <c r="J440" s="108"/>
      <c r="K440" s="108"/>
      <c r="L440" s="108"/>
      <c r="M440" s="32">
        <f>+M441+M445</f>
        <v>0</v>
      </c>
      <c r="N440" s="32">
        <f>+N441+N445</f>
        <v>0</v>
      </c>
      <c r="O440" s="2885"/>
      <c r="P440" s="491" t="e">
        <f>+#REF!+#REF!</f>
        <v>#REF!</v>
      </c>
    </row>
    <row r="441" spans="1:16" hidden="1">
      <c r="A441" s="2932"/>
      <c r="B441" s="174" t="s">
        <v>24</v>
      </c>
      <c r="C441" s="2893" t="s">
        <v>98</v>
      </c>
      <c r="D441" s="109">
        <f t="shared" ref="D441:I441" si="272">+D442+D443+D444</f>
        <v>0</v>
      </c>
      <c r="E441" s="110">
        <f t="shared" si="272"/>
        <v>0</v>
      </c>
      <c r="F441" s="109">
        <f t="shared" si="272"/>
        <v>0</v>
      </c>
      <c r="G441" s="109">
        <f t="shared" si="272"/>
        <v>0</v>
      </c>
      <c r="H441" s="109">
        <f t="shared" si="272"/>
        <v>0</v>
      </c>
      <c r="I441" s="109">
        <f t="shared" si="272"/>
        <v>0</v>
      </c>
      <c r="J441" s="111"/>
      <c r="K441" s="111"/>
      <c r="L441" s="111"/>
      <c r="M441" s="80">
        <f>+M442+M443+M444</f>
        <v>0</v>
      </c>
      <c r="N441" s="80">
        <f>+N442+N443+N444</f>
        <v>0</v>
      </c>
      <c r="O441" s="2885"/>
    </row>
    <row r="442" spans="1:16" ht="11.25" hidden="1" customHeight="1">
      <c r="A442" s="2932"/>
      <c r="B442" s="465" t="s">
        <v>12</v>
      </c>
      <c r="C442" s="2947"/>
      <c r="D442" s="251">
        <f t="shared" ref="D442:D447" si="273">E442+F442+G442+H442+I442+J442+K442+L442</f>
        <v>0</v>
      </c>
      <c r="E442" s="289"/>
      <c r="F442" s="714">
        <v>0</v>
      </c>
      <c r="G442" s="714">
        <v>0</v>
      </c>
      <c r="H442" s="714">
        <v>0</v>
      </c>
      <c r="I442" s="714">
        <v>0</v>
      </c>
      <c r="J442" s="715"/>
      <c r="K442" s="715"/>
      <c r="L442" s="715"/>
      <c r="M442" s="36">
        <f t="shared" ref="M442:N444" si="274">SUM(E442:H442)</f>
        <v>0</v>
      </c>
      <c r="N442" s="36">
        <f t="shared" si="274"/>
        <v>0</v>
      </c>
      <c r="O442" s="2885"/>
      <c r="P442" s="491"/>
    </row>
    <row r="443" spans="1:16" hidden="1">
      <c r="A443" s="2932"/>
      <c r="B443" s="137" t="s">
        <v>78</v>
      </c>
      <c r="C443" s="2947"/>
      <c r="D443" s="251">
        <f t="shared" si="273"/>
        <v>0</v>
      </c>
      <c r="E443" s="289"/>
      <c r="F443" s="138">
        <v>0</v>
      </c>
      <c r="G443" s="138">
        <v>0</v>
      </c>
      <c r="H443" s="138">
        <v>0</v>
      </c>
      <c r="I443" s="138">
        <v>0</v>
      </c>
      <c r="J443" s="115"/>
      <c r="K443" s="115"/>
      <c r="L443" s="115"/>
      <c r="M443" s="36">
        <f t="shared" si="274"/>
        <v>0</v>
      </c>
      <c r="N443" s="36">
        <f t="shared" si="274"/>
        <v>0</v>
      </c>
      <c r="O443" s="2885"/>
    </row>
    <row r="444" spans="1:16" ht="12" hidden="1" customHeight="1">
      <c r="A444" s="2932"/>
      <c r="B444" s="650" t="s">
        <v>106</v>
      </c>
      <c r="C444" s="2894"/>
      <c r="D444" s="251">
        <f t="shared" si="273"/>
        <v>0</v>
      </c>
      <c r="E444" s="289"/>
      <c r="F444" s="714">
        <v>0</v>
      </c>
      <c r="G444" s="714">
        <v>0</v>
      </c>
      <c r="H444" s="714">
        <v>0</v>
      </c>
      <c r="I444" s="714">
        <v>0</v>
      </c>
      <c r="J444" s="715"/>
      <c r="K444" s="715"/>
      <c r="L444" s="715"/>
      <c r="M444" s="36">
        <f t="shared" si="274"/>
        <v>0</v>
      </c>
      <c r="N444" s="36">
        <f t="shared" si="274"/>
        <v>0</v>
      </c>
      <c r="O444" s="2885"/>
    </row>
    <row r="445" spans="1:16" s="987" customFormat="1" hidden="1">
      <c r="A445" s="2932"/>
      <c r="B445" s="499" t="s">
        <v>18</v>
      </c>
      <c r="C445" s="716"/>
      <c r="D445" s="50">
        <f>+D446+D447</f>
        <v>0</v>
      </c>
      <c r="E445" s="717">
        <f t="shared" ref="E445:N445" si="275">+E446+E447</f>
        <v>0</v>
      </c>
      <c r="F445" s="717">
        <f t="shared" si="275"/>
        <v>0</v>
      </c>
      <c r="G445" s="717">
        <f t="shared" si="275"/>
        <v>0</v>
      </c>
      <c r="H445" s="717">
        <f t="shared" si="275"/>
        <v>0</v>
      </c>
      <c r="I445" s="717">
        <f t="shared" si="275"/>
        <v>0</v>
      </c>
      <c r="J445" s="717"/>
      <c r="K445" s="717"/>
      <c r="L445" s="717"/>
      <c r="M445" s="80">
        <f t="shared" ref="M445" si="276">+M446+M447</f>
        <v>0</v>
      </c>
      <c r="N445" s="80">
        <f t="shared" si="275"/>
        <v>0</v>
      </c>
      <c r="O445" s="2885"/>
    </row>
    <row r="446" spans="1:16" hidden="1">
      <c r="A446" s="2932"/>
      <c r="B446" s="951" t="s">
        <v>21</v>
      </c>
      <c r="C446" s="2530"/>
      <c r="D446" s="251">
        <f t="shared" si="273"/>
        <v>0</v>
      </c>
      <c r="E446" s="289"/>
      <c r="F446" s="715">
        <v>0</v>
      </c>
      <c r="G446" s="715">
        <v>0</v>
      </c>
      <c r="H446" s="715">
        <v>0</v>
      </c>
      <c r="I446" s="715">
        <v>0</v>
      </c>
      <c r="J446" s="715"/>
      <c r="K446" s="715"/>
      <c r="L446" s="715"/>
      <c r="M446" s="36">
        <f>SUM(E446:H446)</f>
        <v>0</v>
      </c>
      <c r="N446" s="36">
        <f>SUM(F446:I446)</f>
        <v>0</v>
      </c>
      <c r="O446" s="2885"/>
    </row>
    <row r="447" spans="1:16" ht="12" hidden="1" customHeight="1">
      <c r="A447" s="2932"/>
      <c r="B447" s="951" t="s">
        <v>79</v>
      </c>
      <c r="C447" s="2530"/>
      <c r="D447" s="251">
        <f t="shared" si="273"/>
        <v>0</v>
      </c>
      <c r="E447" s="289"/>
      <c r="F447" s="715">
        <v>0</v>
      </c>
      <c r="G447" s="715">
        <v>0</v>
      </c>
      <c r="H447" s="715">
        <v>0</v>
      </c>
      <c r="I447" s="715">
        <v>0</v>
      </c>
      <c r="J447" s="715"/>
      <c r="K447" s="715"/>
      <c r="L447" s="715"/>
      <c r="M447" s="36">
        <f>SUM(E447:H447)</f>
        <v>0</v>
      </c>
      <c r="N447" s="36">
        <f>SUM(F447:I447)</f>
        <v>0</v>
      </c>
      <c r="O447" s="2885"/>
    </row>
    <row r="448" spans="1:16" ht="14.25" hidden="1" customHeight="1">
      <c r="A448" s="2932"/>
      <c r="B448" s="21" t="s">
        <v>22</v>
      </c>
      <c r="C448" s="22"/>
      <c r="D448" s="200">
        <f t="shared" ref="D448:I448" si="277">+D449+D453</f>
        <v>0</v>
      </c>
      <c r="E448" s="200">
        <f t="shared" si="277"/>
        <v>0</v>
      </c>
      <c r="F448" s="200">
        <f t="shared" si="277"/>
        <v>0</v>
      </c>
      <c r="G448" s="200">
        <f t="shared" si="277"/>
        <v>0</v>
      </c>
      <c r="H448" s="200">
        <f t="shared" si="277"/>
        <v>0</v>
      </c>
      <c r="I448" s="200">
        <f t="shared" si="277"/>
        <v>0</v>
      </c>
      <c r="J448" s="200"/>
      <c r="K448" s="200"/>
      <c r="L448" s="200"/>
      <c r="M448" s="2872" t="s">
        <v>23</v>
      </c>
      <c r="N448" s="2872" t="s">
        <v>23</v>
      </c>
      <c r="O448" s="2885"/>
      <c r="P448" s="491"/>
    </row>
    <row r="449" spans="1:19" s="995" customFormat="1" ht="12.75" hidden="1" customHeight="1">
      <c r="A449" s="2932"/>
      <c r="B449" s="174" t="s">
        <v>24</v>
      </c>
      <c r="C449" s="2893" t="s">
        <v>98</v>
      </c>
      <c r="D449" s="846">
        <f>+D450+D451+D452</f>
        <v>0</v>
      </c>
      <c r="E449" s="846">
        <f>SUM(E450:E452)</f>
        <v>0</v>
      </c>
      <c r="F449" s="846">
        <f>+F450+F452</f>
        <v>0</v>
      </c>
      <c r="G449" s="846">
        <f>+G450+G452</f>
        <v>0</v>
      </c>
      <c r="H449" s="846">
        <f>+H450+H452</f>
        <v>0</v>
      </c>
      <c r="I449" s="846">
        <f>+I450+I452</f>
        <v>0</v>
      </c>
      <c r="J449" s="846"/>
      <c r="K449" s="846"/>
      <c r="L449" s="846"/>
      <c r="M449" s="2868"/>
      <c r="N449" s="2868"/>
      <c r="O449" s="2885"/>
    </row>
    <row r="450" spans="1:19" s="269" customFormat="1" hidden="1">
      <c r="A450" s="2932"/>
      <c r="B450" s="137" t="s">
        <v>107</v>
      </c>
      <c r="C450" s="2947"/>
      <c r="D450" s="251">
        <f t="shared" ref="D450:D452" si="278">E450+F450+G450+H450+I450+J450+K450+L450</f>
        <v>0</v>
      </c>
      <c r="E450" s="289"/>
      <c r="F450" s="996">
        <v>0</v>
      </c>
      <c r="G450" s="996">
        <v>0</v>
      </c>
      <c r="H450" s="996">
        <v>0</v>
      </c>
      <c r="I450" s="996">
        <v>0</v>
      </c>
      <c r="J450" s="996"/>
      <c r="K450" s="996"/>
      <c r="L450" s="996"/>
      <c r="M450" s="2868"/>
      <c r="N450" s="2868"/>
      <c r="O450" s="2885"/>
      <c r="P450" s="960">
        <v>-14575000</v>
      </c>
    </row>
    <row r="451" spans="1:19" s="269" customFormat="1" ht="10.5" hidden="1" customHeight="1">
      <c r="A451" s="2932"/>
      <c r="B451" s="997" t="s">
        <v>108</v>
      </c>
      <c r="C451" s="2947"/>
      <c r="D451" s="251">
        <f t="shared" si="278"/>
        <v>0</v>
      </c>
      <c r="E451" s="289"/>
      <c r="F451" s="996"/>
      <c r="G451" s="996"/>
      <c r="H451" s="996"/>
      <c r="I451" s="996"/>
      <c r="J451" s="996"/>
      <c r="K451" s="996"/>
      <c r="L451" s="996"/>
      <c r="M451" s="2868"/>
      <c r="N451" s="2868"/>
      <c r="O451" s="2885"/>
    </row>
    <row r="452" spans="1:19" s="269" customFormat="1" hidden="1">
      <c r="A452" s="2932"/>
      <c r="B452" s="650" t="s">
        <v>106</v>
      </c>
      <c r="C452" s="2947"/>
      <c r="D452" s="251">
        <f t="shared" si="278"/>
        <v>0</v>
      </c>
      <c r="E452" s="289"/>
      <c r="F452" s="714">
        <v>0</v>
      </c>
      <c r="G452" s="714">
        <v>0</v>
      </c>
      <c r="H452" s="714">
        <v>0</v>
      </c>
      <c r="I452" s="714">
        <v>0</v>
      </c>
      <c r="J452" s="714"/>
      <c r="K452" s="714"/>
      <c r="L452" s="714"/>
      <c r="M452" s="2868"/>
      <c r="N452" s="2868"/>
      <c r="O452" s="2885"/>
      <c r="P452" s="960"/>
    </row>
    <row r="453" spans="1:19" s="995" customFormat="1" hidden="1">
      <c r="A453" s="2932"/>
      <c r="B453" s="998" t="s">
        <v>18</v>
      </c>
      <c r="C453" s="2947"/>
      <c r="D453" s="53">
        <f>+D454+D455+D456</f>
        <v>0</v>
      </c>
      <c r="E453" s="849"/>
      <c r="F453" s="849">
        <f>+F455</f>
        <v>0</v>
      </c>
      <c r="G453" s="849">
        <f>+G455</f>
        <v>0</v>
      </c>
      <c r="H453" s="849">
        <f>+H455</f>
        <v>0</v>
      </c>
      <c r="I453" s="849">
        <f>+I455</f>
        <v>0</v>
      </c>
      <c r="J453" s="849"/>
      <c r="K453" s="849"/>
      <c r="L453" s="849"/>
      <c r="M453" s="2868"/>
      <c r="N453" s="2868"/>
      <c r="O453" s="2885"/>
    </row>
    <row r="454" spans="1:19" s="995" customFormat="1" ht="10.5" hidden="1" customHeight="1">
      <c r="A454" s="2932"/>
      <c r="B454" s="997" t="s">
        <v>108</v>
      </c>
      <c r="C454" s="2947"/>
      <c r="D454" s="251">
        <f t="shared" ref="D454:D456" si="279">E454+F454+G454+H454+I454+J454+K454+L454</f>
        <v>0</v>
      </c>
      <c r="E454" s="1911"/>
      <c r="F454" s="999"/>
      <c r="G454" s="999"/>
      <c r="H454" s="999"/>
      <c r="I454" s="999"/>
      <c r="J454" s="999"/>
      <c r="K454" s="999"/>
      <c r="L454" s="999"/>
      <c r="M454" s="2868"/>
      <c r="N454" s="2868"/>
      <c r="O454" s="2885"/>
    </row>
    <row r="455" spans="1:19" s="269" customFormat="1" hidden="1">
      <c r="A455" s="2932"/>
      <c r="B455" s="465" t="s">
        <v>21</v>
      </c>
      <c r="C455" s="2947"/>
      <c r="D455" s="251">
        <f t="shared" si="279"/>
        <v>0</v>
      </c>
      <c r="E455" s="289"/>
      <c r="F455" s="718">
        <v>0</v>
      </c>
      <c r="G455" s="718">
        <v>0</v>
      </c>
      <c r="H455" s="718">
        <v>0</v>
      </c>
      <c r="I455" s="718">
        <v>0</v>
      </c>
      <c r="J455" s="718"/>
      <c r="K455" s="718"/>
      <c r="L455" s="718"/>
      <c r="M455" s="2868"/>
      <c r="N455" s="2868"/>
      <c r="O455" s="2885"/>
      <c r="P455" s="960"/>
    </row>
    <row r="456" spans="1:19" s="269" customFormat="1" ht="11.25" hidden="1" customHeight="1" thickBot="1">
      <c r="A456" s="2957"/>
      <c r="B456" s="77" t="s">
        <v>79</v>
      </c>
      <c r="C456" s="2935"/>
      <c r="D456" s="251">
        <f t="shared" si="279"/>
        <v>0</v>
      </c>
      <c r="E456" s="57"/>
      <c r="F456" s="719">
        <v>0</v>
      </c>
      <c r="G456" s="719">
        <v>0</v>
      </c>
      <c r="H456" s="720">
        <v>0</v>
      </c>
      <c r="I456" s="180">
        <v>0</v>
      </c>
      <c r="J456" s="180"/>
      <c r="K456" s="180"/>
      <c r="L456" s="180"/>
      <c r="M456" s="2869"/>
      <c r="N456" s="2869"/>
      <c r="O456" s="2528"/>
    </row>
    <row r="457" spans="1:19" hidden="1">
      <c r="A457" s="2931"/>
      <c r="B457" s="287"/>
      <c r="C457" s="59" t="s">
        <v>109</v>
      </c>
      <c r="D457" s="953"/>
      <c r="E457" s="96"/>
      <c r="F457" s="97"/>
      <c r="G457" s="97"/>
      <c r="H457" s="97"/>
      <c r="I457" s="97"/>
      <c r="J457" s="97"/>
      <c r="K457" s="97"/>
      <c r="L457" s="97"/>
      <c r="M457" s="45"/>
      <c r="N457" s="45"/>
      <c r="O457" s="2942" t="s">
        <v>102</v>
      </c>
      <c r="S457" s="950"/>
    </row>
    <row r="458" spans="1:19" ht="14.25" hidden="1" customHeight="1">
      <c r="A458" s="2932"/>
      <c r="B458" s="21" t="s">
        <v>10</v>
      </c>
      <c r="C458" s="22"/>
      <c r="D458" s="64">
        <f t="shared" ref="D458" si="280">+D459+D461</f>
        <v>0</v>
      </c>
      <c r="E458" s="64">
        <f>+E459+E461</f>
        <v>0</v>
      </c>
      <c r="F458" s="64"/>
      <c r="G458" s="64"/>
      <c r="H458" s="65"/>
      <c r="I458" s="64"/>
      <c r="J458" s="64"/>
      <c r="K458" s="64"/>
      <c r="L458" s="64"/>
      <c r="M458" s="66">
        <f>+M459+M461</f>
        <v>0</v>
      </c>
      <c r="N458" s="66">
        <f>+N459+N461</f>
        <v>0</v>
      </c>
      <c r="O458" s="2949"/>
      <c r="P458" s="491" t="e">
        <f>+#REF!+#REF!+F458+G458</f>
        <v>#REF!</v>
      </c>
      <c r="Q458" s="491"/>
      <c r="R458" s="491"/>
      <c r="S458" s="491"/>
    </row>
    <row r="459" spans="1:19" ht="14.25" hidden="1" customHeight="1">
      <c r="A459" s="2932"/>
      <c r="B459" s="174" t="s">
        <v>24</v>
      </c>
      <c r="C459" s="2893" t="s">
        <v>98</v>
      </c>
      <c r="D459" s="67">
        <f>+D460</f>
        <v>0</v>
      </c>
      <c r="E459" s="67">
        <f t="shared" ref="E459" si="281">+E460</f>
        <v>0</v>
      </c>
      <c r="F459" s="67"/>
      <c r="G459" s="67"/>
      <c r="H459" s="99"/>
      <c r="I459" s="67"/>
      <c r="J459" s="67"/>
      <c r="K459" s="67"/>
      <c r="L459" s="67"/>
      <c r="M459" s="80">
        <f>+M460</f>
        <v>0</v>
      </c>
      <c r="N459" s="80">
        <f>+N460</f>
        <v>0</v>
      </c>
      <c r="O459" s="2949"/>
      <c r="P459" s="491"/>
    </row>
    <row r="460" spans="1:19" hidden="1">
      <c r="A460" s="2932"/>
      <c r="B460" s="456" t="s">
        <v>12</v>
      </c>
      <c r="C460" s="2945"/>
      <c r="D460" s="251">
        <f t="shared" ref="D460" si="282">E460+F460+G460+H460+I460+J460+K460+L460</f>
        <v>0</v>
      </c>
      <c r="E460" s="289"/>
      <c r="F460" s="49"/>
      <c r="G460" s="49"/>
      <c r="H460" s="48"/>
      <c r="I460" s="49"/>
      <c r="J460" s="49"/>
      <c r="K460" s="49"/>
      <c r="L460" s="49"/>
      <c r="M460" s="36">
        <f>SUM(E460:H460)</f>
        <v>0</v>
      </c>
      <c r="N460" s="36">
        <f>SUM(F460:I460)</f>
        <v>0</v>
      </c>
      <c r="O460" s="2949"/>
    </row>
    <row r="461" spans="1:19" ht="14.25" hidden="1" customHeight="1">
      <c r="A461" s="2932"/>
      <c r="B461" s="499" t="s">
        <v>18</v>
      </c>
      <c r="C461" s="2945"/>
      <c r="D461" s="50">
        <f>+D462</f>
        <v>0</v>
      </c>
      <c r="E461" s="50">
        <f t="shared" ref="E461" si="283">+E462</f>
        <v>0</v>
      </c>
      <c r="F461" s="50"/>
      <c r="G461" s="50"/>
      <c r="H461" s="51"/>
      <c r="I461" s="50"/>
      <c r="J461" s="50"/>
      <c r="K461" s="50"/>
      <c r="L461" s="50"/>
      <c r="M461" s="80">
        <f>+M462</f>
        <v>0</v>
      </c>
      <c r="N461" s="80">
        <f>+N462</f>
        <v>0</v>
      </c>
      <c r="O461" s="2949"/>
    </row>
    <row r="462" spans="1:19" hidden="1">
      <c r="A462" s="2932"/>
      <c r="B462" s="955" t="s">
        <v>21</v>
      </c>
      <c r="C462" s="2945"/>
      <c r="D462" s="251">
        <f t="shared" ref="D462" si="284">E462+F462+G462+H462+I462+J462+K462+L462</f>
        <v>0</v>
      </c>
      <c r="E462" s="289"/>
      <c r="F462" s="49"/>
      <c r="G462" s="49"/>
      <c r="H462" s="48"/>
      <c r="I462" s="49"/>
      <c r="J462" s="49"/>
      <c r="K462" s="49"/>
      <c r="L462" s="49"/>
      <c r="M462" s="36">
        <f>SUM(E462:H462)</f>
        <v>0</v>
      </c>
      <c r="N462" s="36">
        <f>SUM(F462:I462)</f>
        <v>0</v>
      </c>
      <c r="O462" s="2949"/>
    </row>
    <row r="463" spans="1:19" ht="14.25" hidden="1" customHeight="1">
      <c r="A463" s="2933"/>
      <c r="B463" s="21" t="s">
        <v>22</v>
      </c>
      <c r="C463" s="22"/>
      <c r="D463" s="200">
        <f>+D464</f>
        <v>0</v>
      </c>
      <c r="E463" s="200">
        <f t="shared" ref="E463" si="285">+E464</f>
        <v>0</v>
      </c>
      <c r="F463" s="200"/>
      <c r="G463" s="200"/>
      <c r="H463" s="201"/>
      <c r="I463" s="200"/>
      <c r="J463" s="200"/>
      <c r="K463" s="200"/>
      <c r="L463" s="200"/>
      <c r="M463" s="2873" t="s">
        <v>23</v>
      </c>
      <c r="N463" s="2873" t="s">
        <v>23</v>
      </c>
      <c r="O463" s="3027"/>
      <c r="P463" s="491"/>
    </row>
    <row r="464" spans="1:19" s="269" customFormat="1" ht="14.25" hidden="1" customHeight="1">
      <c r="A464" s="2933"/>
      <c r="B464" s="499" t="s">
        <v>18</v>
      </c>
      <c r="C464" s="2893" t="s">
        <v>98</v>
      </c>
      <c r="D464" s="846">
        <f>+D465</f>
        <v>0</v>
      </c>
      <c r="E464" s="846"/>
      <c r="F464" s="846"/>
      <c r="G464" s="846"/>
      <c r="H464" s="849"/>
      <c r="I464" s="846"/>
      <c r="J464" s="846"/>
      <c r="K464" s="846"/>
      <c r="L464" s="846"/>
      <c r="M464" s="2874"/>
      <c r="N464" s="2874"/>
      <c r="O464" s="3027"/>
    </row>
    <row r="465" spans="1:19" s="269" customFormat="1" ht="14.25" hidden="1" customHeight="1" thickBot="1">
      <c r="A465" s="2934"/>
      <c r="B465" s="56" t="s">
        <v>21</v>
      </c>
      <c r="C465" s="2921"/>
      <c r="D465" s="251">
        <f t="shared" ref="D465" si="286">E465+F465+G465+H465+I465+J465+K465+L465</f>
        <v>0</v>
      </c>
      <c r="E465" s="954"/>
      <c r="F465" s="526"/>
      <c r="G465" s="526"/>
      <c r="H465" s="526"/>
      <c r="I465" s="526"/>
      <c r="J465" s="526"/>
      <c r="K465" s="526"/>
      <c r="L465" s="526"/>
      <c r="M465" s="2875"/>
      <c r="N465" s="2875"/>
      <c r="O465" s="3028"/>
    </row>
    <row r="466" spans="1:19" ht="27.75" hidden="1" customHeight="1">
      <c r="A466" s="2923" t="s">
        <v>247</v>
      </c>
      <c r="B466" s="212" t="s">
        <v>208</v>
      </c>
      <c r="C466" s="1000"/>
      <c r="D466" s="977"/>
      <c r="E466" s="978"/>
      <c r="F466" s="978"/>
      <c r="G466" s="978"/>
      <c r="H466" s="978"/>
      <c r="I466" s="978"/>
      <c r="J466" s="978"/>
      <c r="K466" s="978"/>
      <c r="L466" s="978"/>
      <c r="M466" s="311"/>
      <c r="N466" s="311"/>
      <c r="O466" s="3040"/>
    </row>
    <row r="467" spans="1:19" ht="14.25" hidden="1" customHeight="1">
      <c r="A467" s="2924"/>
      <c r="B467" s="21" t="s">
        <v>10</v>
      </c>
      <c r="C467" s="140"/>
      <c r="D467" s="133">
        <f>+D468+D470</f>
        <v>0</v>
      </c>
      <c r="E467" s="133">
        <f t="shared" ref="E467:N467" si="287">+E468+E470</f>
        <v>0</v>
      </c>
      <c r="F467" s="133">
        <f t="shared" si="287"/>
        <v>0</v>
      </c>
      <c r="G467" s="133">
        <f t="shared" si="287"/>
        <v>0</v>
      </c>
      <c r="H467" s="133">
        <f t="shared" si="287"/>
        <v>0</v>
      </c>
      <c r="I467" s="133">
        <f t="shared" si="287"/>
        <v>0</v>
      </c>
      <c r="J467" s="133">
        <f t="shared" si="287"/>
        <v>0</v>
      </c>
      <c r="K467" s="133">
        <f t="shared" si="287"/>
        <v>0</v>
      </c>
      <c r="L467" s="133">
        <f t="shared" si="287"/>
        <v>0</v>
      </c>
      <c r="M467" s="66">
        <f t="shared" ref="M467" si="288">+M468+M470</f>
        <v>0</v>
      </c>
      <c r="N467" s="66">
        <f t="shared" si="287"/>
        <v>0</v>
      </c>
      <c r="O467" s="3041"/>
      <c r="P467" s="491" t="e">
        <f>+#REF!+#REF!+F467+G467</f>
        <v>#REF!</v>
      </c>
    </row>
    <row r="468" spans="1:19" ht="13.5" hidden="1" customHeight="1">
      <c r="A468" s="2924"/>
      <c r="B468" s="1001" t="s">
        <v>24</v>
      </c>
      <c r="C468" s="141"/>
      <c r="D468" s="124">
        <f>+D469</f>
        <v>0</v>
      </c>
      <c r="E468" s="124">
        <f t="shared" ref="E468:N468" si="289">+E469</f>
        <v>0</v>
      </c>
      <c r="F468" s="124">
        <f t="shared" si="289"/>
        <v>0</v>
      </c>
      <c r="G468" s="124">
        <f t="shared" si="289"/>
        <v>0</v>
      </c>
      <c r="H468" s="124">
        <f t="shared" si="289"/>
        <v>0</v>
      </c>
      <c r="I468" s="124">
        <f t="shared" si="289"/>
        <v>0</v>
      </c>
      <c r="J468" s="124">
        <f t="shared" si="289"/>
        <v>0</v>
      </c>
      <c r="K468" s="124">
        <f t="shared" si="289"/>
        <v>0</v>
      </c>
      <c r="L468" s="124">
        <f t="shared" si="289"/>
        <v>0</v>
      </c>
      <c r="M468" s="68">
        <f t="shared" si="289"/>
        <v>0</v>
      </c>
      <c r="N468" s="68">
        <f t="shared" si="289"/>
        <v>0</v>
      </c>
      <c r="O468" s="3041"/>
    </row>
    <row r="469" spans="1:19" hidden="1">
      <c r="A469" s="2924"/>
      <c r="B469" s="267" t="s">
        <v>12</v>
      </c>
      <c r="C469" s="142"/>
      <c r="D469" s="35">
        <f>+D478</f>
        <v>0</v>
      </c>
      <c r="E469" s="35">
        <f>+E478</f>
        <v>0</v>
      </c>
      <c r="F469" s="35">
        <f t="shared" ref="F469:I469" si="290">+F478</f>
        <v>0</v>
      </c>
      <c r="G469" s="35">
        <f t="shared" si="290"/>
        <v>0</v>
      </c>
      <c r="H469" s="35">
        <f t="shared" si="290"/>
        <v>0</v>
      </c>
      <c r="I469" s="35">
        <f t="shared" si="290"/>
        <v>0</v>
      </c>
      <c r="J469" s="35">
        <f>+J478</f>
        <v>0</v>
      </c>
      <c r="K469" s="35">
        <f>+K478</f>
        <v>0</v>
      </c>
      <c r="L469" s="35">
        <f>+L478</f>
        <v>0</v>
      </c>
      <c r="M469" s="36">
        <f>SUM(E469:H469)</f>
        <v>0</v>
      </c>
      <c r="N469" s="36">
        <f>SUM(F469:I469)</f>
        <v>0</v>
      </c>
      <c r="O469" s="3041"/>
    </row>
    <row r="470" spans="1:19" ht="14.25" hidden="1" customHeight="1">
      <c r="A470" s="2924"/>
      <c r="B470" s="1002" t="s">
        <v>18</v>
      </c>
      <c r="C470" s="143"/>
      <c r="D470" s="33">
        <f>+D471</f>
        <v>0</v>
      </c>
      <c r="E470" s="33">
        <f t="shared" ref="E470:N470" si="291">+E471</f>
        <v>0</v>
      </c>
      <c r="F470" s="33">
        <f t="shared" si="291"/>
        <v>0</v>
      </c>
      <c r="G470" s="33">
        <f t="shared" si="291"/>
        <v>0</v>
      </c>
      <c r="H470" s="33">
        <f t="shared" si="291"/>
        <v>0</v>
      </c>
      <c r="I470" s="33">
        <f t="shared" si="291"/>
        <v>0</v>
      </c>
      <c r="J470" s="33">
        <f t="shared" si="291"/>
        <v>0</v>
      </c>
      <c r="K470" s="33">
        <f t="shared" si="291"/>
        <v>0</v>
      </c>
      <c r="L470" s="33">
        <f t="shared" si="291"/>
        <v>0</v>
      </c>
      <c r="M470" s="68">
        <f t="shared" si="291"/>
        <v>0</v>
      </c>
      <c r="N470" s="68">
        <f t="shared" si="291"/>
        <v>0</v>
      </c>
      <c r="O470" s="3041"/>
    </row>
    <row r="471" spans="1:19" ht="11.25" hidden="1" customHeight="1">
      <c r="A471" s="2924"/>
      <c r="B471" s="268" t="s">
        <v>20</v>
      </c>
      <c r="C471" s="142"/>
      <c r="D471" s="35">
        <f>+D480</f>
        <v>0</v>
      </c>
      <c r="E471" s="35">
        <f t="shared" ref="E471:I471" si="292">+E480</f>
        <v>0</v>
      </c>
      <c r="F471" s="35">
        <f t="shared" si="292"/>
        <v>0</v>
      </c>
      <c r="G471" s="35">
        <f t="shared" si="292"/>
        <v>0</v>
      </c>
      <c r="H471" s="35">
        <f t="shared" si="292"/>
        <v>0</v>
      </c>
      <c r="I471" s="35">
        <f t="shared" si="292"/>
        <v>0</v>
      </c>
      <c r="J471" s="35">
        <f>+J480</f>
        <v>0</v>
      </c>
      <c r="K471" s="35">
        <f>+K480</f>
        <v>0</v>
      </c>
      <c r="L471" s="35">
        <f>+L480</f>
        <v>0</v>
      </c>
      <c r="M471" s="36">
        <f>SUM(E471:H471)</f>
        <v>0</v>
      </c>
      <c r="N471" s="36">
        <f>SUM(F471:I471)</f>
        <v>0</v>
      </c>
      <c r="O471" s="3041"/>
    </row>
    <row r="472" spans="1:19" ht="13.5" hidden="1" customHeight="1">
      <c r="A472" s="2924"/>
      <c r="B472" s="21" t="s">
        <v>22</v>
      </c>
      <c r="C472" s="140"/>
      <c r="D472" s="133">
        <f>+D473</f>
        <v>0</v>
      </c>
      <c r="E472" s="133">
        <f>+E473</f>
        <v>0</v>
      </c>
      <c r="F472" s="133">
        <f t="shared" ref="F472:L473" si="293">+F473</f>
        <v>0</v>
      </c>
      <c r="G472" s="133">
        <f t="shared" si="293"/>
        <v>0</v>
      </c>
      <c r="H472" s="133">
        <f t="shared" si="293"/>
        <v>0</v>
      </c>
      <c r="I472" s="133">
        <f t="shared" si="293"/>
        <v>0</v>
      </c>
      <c r="J472" s="133">
        <f t="shared" si="293"/>
        <v>0</v>
      </c>
      <c r="K472" s="133">
        <f t="shared" si="293"/>
        <v>0</v>
      </c>
      <c r="L472" s="133">
        <f t="shared" si="293"/>
        <v>0</v>
      </c>
      <c r="M472" s="2873" t="s">
        <v>23</v>
      </c>
      <c r="N472" s="2873" t="s">
        <v>23</v>
      </c>
      <c r="O472" s="3041"/>
    </row>
    <row r="473" spans="1:19" ht="12" hidden="1" customHeight="1">
      <c r="A473" s="2924"/>
      <c r="B473" s="1003" t="s">
        <v>18</v>
      </c>
      <c r="C473" s="141"/>
      <c r="D473" s="124">
        <f>+D474</f>
        <v>0</v>
      </c>
      <c r="E473" s="124">
        <f>+E474</f>
        <v>0</v>
      </c>
      <c r="F473" s="124">
        <f t="shared" si="293"/>
        <v>0</v>
      </c>
      <c r="G473" s="124">
        <f t="shared" si="293"/>
        <v>0</v>
      </c>
      <c r="H473" s="124">
        <f t="shared" si="293"/>
        <v>0</v>
      </c>
      <c r="I473" s="124">
        <f t="shared" si="293"/>
        <v>0</v>
      </c>
      <c r="J473" s="124">
        <f t="shared" si="293"/>
        <v>0</v>
      </c>
      <c r="K473" s="124">
        <f t="shared" si="293"/>
        <v>0</v>
      </c>
      <c r="L473" s="124">
        <f t="shared" si="293"/>
        <v>0</v>
      </c>
      <c r="M473" s="2874"/>
      <c r="N473" s="2874"/>
      <c r="O473" s="3041"/>
    </row>
    <row r="474" spans="1:19" ht="13.5" hidden="1" customHeight="1" thickBot="1">
      <c r="A474" s="2925"/>
      <c r="B474" s="268" t="s">
        <v>20</v>
      </c>
      <c r="C474" s="142"/>
      <c r="D474" s="35">
        <f>+D483</f>
        <v>0</v>
      </c>
      <c r="E474" s="35">
        <f t="shared" ref="E474:I474" si="294">+E483</f>
        <v>0</v>
      </c>
      <c r="F474" s="35">
        <f t="shared" si="294"/>
        <v>0</v>
      </c>
      <c r="G474" s="35">
        <f t="shared" si="294"/>
        <v>0</v>
      </c>
      <c r="H474" s="255">
        <f t="shared" si="294"/>
        <v>0</v>
      </c>
      <c r="I474" s="256">
        <f t="shared" si="294"/>
        <v>0</v>
      </c>
      <c r="J474" s="256">
        <f>+J483</f>
        <v>0</v>
      </c>
      <c r="K474" s="256">
        <f>+K483</f>
        <v>0</v>
      </c>
      <c r="L474" s="256">
        <f>+L483</f>
        <v>0</v>
      </c>
      <c r="M474" s="2875"/>
      <c r="N474" s="2875"/>
      <c r="O474" s="3042"/>
    </row>
    <row r="475" spans="1:19" hidden="1">
      <c r="A475" s="2931" t="s">
        <v>263</v>
      </c>
      <c r="B475" s="287"/>
      <c r="C475" s="59" t="s">
        <v>109</v>
      </c>
      <c r="D475" s="953"/>
      <c r="E475" s="96"/>
      <c r="F475" s="97"/>
      <c r="G475" s="97"/>
      <c r="H475" s="97"/>
      <c r="I475" s="97"/>
      <c r="J475" s="97"/>
      <c r="K475" s="97"/>
      <c r="L475" s="97"/>
      <c r="M475" s="45"/>
      <c r="N475" s="45"/>
      <c r="O475" s="2942" t="s">
        <v>110</v>
      </c>
      <c r="S475" s="950"/>
    </row>
    <row r="476" spans="1:19" ht="14.25" hidden="1" customHeight="1">
      <c r="A476" s="2932"/>
      <c r="B476" s="728" t="s">
        <v>10</v>
      </c>
      <c r="C476" s="2017"/>
      <c r="D476" s="2043">
        <f>+D477+D479</f>
        <v>0</v>
      </c>
      <c r="E476" s="2043">
        <f t="shared" ref="E476:N476" si="295">+E477+E479</f>
        <v>0</v>
      </c>
      <c r="F476" s="2485">
        <f t="shared" si="295"/>
        <v>0</v>
      </c>
      <c r="G476" s="2485">
        <f t="shared" si="295"/>
        <v>0</v>
      </c>
      <c r="H476" s="2485">
        <f t="shared" si="295"/>
        <v>0</v>
      </c>
      <c r="I476" s="2485">
        <f t="shared" si="295"/>
        <v>0</v>
      </c>
      <c r="J476" s="2485">
        <f t="shared" si="295"/>
        <v>0</v>
      </c>
      <c r="K476" s="2485">
        <f t="shared" si="295"/>
        <v>0</v>
      </c>
      <c r="L476" s="2485">
        <f t="shared" si="295"/>
        <v>0</v>
      </c>
      <c r="M476" s="2019">
        <f t="shared" ref="M476" si="296">+M477+M479</f>
        <v>0</v>
      </c>
      <c r="N476" s="2019">
        <f t="shared" si="295"/>
        <v>0</v>
      </c>
      <c r="O476" s="2949"/>
      <c r="P476" s="491" t="e">
        <f>+#REF!+#REF!+F476+G476</f>
        <v>#REF!</v>
      </c>
      <c r="Q476" s="491"/>
      <c r="R476" s="491"/>
      <c r="S476" s="491"/>
    </row>
    <row r="477" spans="1:19" ht="14.25" hidden="1" customHeight="1">
      <c r="A477" s="2932"/>
      <c r="B477" s="694" t="s">
        <v>24</v>
      </c>
      <c r="C477" s="2920" t="s">
        <v>111</v>
      </c>
      <c r="D477" s="2044">
        <f>+D478</f>
        <v>0</v>
      </c>
      <c r="E477" s="2044">
        <f t="shared" ref="E477:N477" si="297">+E478</f>
        <v>0</v>
      </c>
      <c r="F477" s="2486">
        <f t="shared" si="297"/>
        <v>0</v>
      </c>
      <c r="G477" s="2486">
        <f t="shared" si="297"/>
        <v>0</v>
      </c>
      <c r="H477" s="2486">
        <f t="shared" si="297"/>
        <v>0</v>
      </c>
      <c r="I477" s="2486">
        <f t="shared" si="297"/>
        <v>0</v>
      </c>
      <c r="J477" s="2486">
        <f t="shared" si="297"/>
        <v>0</v>
      </c>
      <c r="K477" s="2486">
        <f t="shared" si="297"/>
        <v>0</v>
      </c>
      <c r="L477" s="2486">
        <f t="shared" si="297"/>
        <v>0</v>
      </c>
      <c r="M477" s="2022">
        <f t="shared" si="297"/>
        <v>0</v>
      </c>
      <c r="N477" s="2022">
        <f t="shared" si="297"/>
        <v>0</v>
      </c>
      <c r="O477" s="2949"/>
      <c r="P477" s="491"/>
    </row>
    <row r="478" spans="1:19" ht="14.25" hidden="1" customHeight="1">
      <c r="A478" s="2932"/>
      <c r="B478" s="1073" t="s">
        <v>12</v>
      </c>
      <c r="C478" s="2945"/>
      <c r="D478" s="1926">
        <f t="shared" ref="D478" si="298">E478+F478+G478+H478+I478+J478+K478+L478</f>
        <v>0</v>
      </c>
      <c r="E478" s="1990"/>
      <c r="F478" s="2085">
        <v>0</v>
      </c>
      <c r="G478" s="2085">
        <v>0</v>
      </c>
      <c r="H478" s="2085">
        <v>0</v>
      </c>
      <c r="I478" s="2085">
        <v>0</v>
      </c>
      <c r="J478" s="2085">
        <v>0</v>
      </c>
      <c r="K478" s="2085">
        <v>0</v>
      </c>
      <c r="L478" s="2085">
        <v>0</v>
      </c>
      <c r="M478" s="2047">
        <f>SUM(E478:H478)</f>
        <v>0</v>
      </c>
      <c r="N478" s="2047">
        <f>SUM(F478:I478)</f>
        <v>0</v>
      </c>
      <c r="O478" s="2949"/>
    </row>
    <row r="479" spans="1:19" ht="14.25" hidden="1" customHeight="1">
      <c r="A479" s="2932"/>
      <c r="B479" s="1069" t="s">
        <v>18</v>
      </c>
      <c r="C479" s="2945"/>
      <c r="D479" s="2021">
        <f t="shared" ref="D479:N479" si="299">+D480</f>
        <v>0</v>
      </c>
      <c r="E479" s="2021">
        <f t="shared" si="299"/>
        <v>0</v>
      </c>
      <c r="F479" s="2487">
        <f t="shared" si="299"/>
        <v>0</v>
      </c>
      <c r="G479" s="2487">
        <f t="shared" si="299"/>
        <v>0</v>
      </c>
      <c r="H479" s="2487">
        <f t="shared" si="299"/>
        <v>0</v>
      </c>
      <c r="I479" s="2487">
        <f t="shared" si="299"/>
        <v>0</v>
      </c>
      <c r="J479" s="2487">
        <f t="shared" si="299"/>
        <v>0</v>
      </c>
      <c r="K479" s="2487">
        <f t="shared" si="299"/>
        <v>0</v>
      </c>
      <c r="L479" s="2487">
        <f t="shared" si="299"/>
        <v>0</v>
      </c>
      <c r="M479" s="2022">
        <f t="shared" si="299"/>
        <v>0</v>
      </c>
      <c r="N479" s="2022">
        <f t="shared" si="299"/>
        <v>0</v>
      </c>
      <c r="O479" s="2949"/>
    </row>
    <row r="480" spans="1:19" ht="14.25" hidden="1" customHeight="1">
      <c r="A480" s="2932"/>
      <c r="B480" s="2488" t="s">
        <v>20</v>
      </c>
      <c r="C480" s="2945"/>
      <c r="D480" s="1926">
        <f t="shared" ref="D480" si="300">E480+F480+G480+H480+I480+J480+K480+L480</f>
        <v>0</v>
      </c>
      <c r="E480" s="1990">
        <v>0</v>
      </c>
      <c r="F480" s="2085">
        <v>0</v>
      </c>
      <c r="G480" s="2085">
        <v>0</v>
      </c>
      <c r="H480" s="2085">
        <v>0</v>
      </c>
      <c r="I480" s="2085">
        <v>0</v>
      </c>
      <c r="J480" s="2085">
        <v>0</v>
      </c>
      <c r="K480" s="2085">
        <v>0</v>
      </c>
      <c r="L480" s="2085">
        <v>0</v>
      </c>
      <c r="M480" s="2047">
        <f>SUM(E480:H480)</f>
        <v>0</v>
      </c>
      <c r="N480" s="2047">
        <f>SUM(F480:I480)</f>
        <v>0</v>
      </c>
      <c r="O480" s="2949"/>
    </row>
    <row r="481" spans="1:17" ht="14.25" hidden="1" customHeight="1">
      <c r="A481" s="2933"/>
      <c r="B481" s="728" t="s">
        <v>22</v>
      </c>
      <c r="C481" s="2017"/>
      <c r="D481" s="2018">
        <f>+D482</f>
        <v>0</v>
      </c>
      <c r="E481" s="2018">
        <f t="shared" ref="E481:L482" si="301">+E482</f>
        <v>0</v>
      </c>
      <c r="F481" s="2489">
        <f t="shared" si="301"/>
        <v>0</v>
      </c>
      <c r="G481" s="2489">
        <f t="shared" si="301"/>
        <v>0</v>
      </c>
      <c r="H481" s="2489">
        <f t="shared" si="301"/>
        <v>0</v>
      </c>
      <c r="I481" s="2489">
        <f t="shared" si="301"/>
        <v>0</v>
      </c>
      <c r="J481" s="2489">
        <f t="shared" si="301"/>
        <v>0</v>
      </c>
      <c r="K481" s="2489">
        <f t="shared" si="301"/>
        <v>0</v>
      </c>
      <c r="L481" s="2489">
        <f t="shared" si="301"/>
        <v>0</v>
      </c>
      <c r="M481" s="2901" t="s">
        <v>23</v>
      </c>
      <c r="N481" s="2901" t="s">
        <v>23</v>
      </c>
      <c r="O481" s="3027"/>
    </row>
    <row r="482" spans="1:17" s="269" customFormat="1" ht="14.25" hidden="1" customHeight="1">
      <c r="A482" s="2933"/>
      <c r="B482" s="1069" t="s">
        <v>18</v>
      </c>
      <c r="C482" s="2920" t="s">
        <v>112</v>
      </c>
      <c r="D482" s="2051">
        <f>+D483</f>
        <v>0</v>
      </c>
      <c r="E482" s="2059">
        <f t="shared" si="301"/>
        <v>0</v>
      </c>
      <c r="F482" s="2490">
        <f t="shared" si="301"/>
        <v>0</v>
      </c>
      <c r="G482" s="2490">
        <f t="shared" si="301"/>
        <v>0</v>
      </c>
      <c r="H482" s="2490">
        <f t="shared" si="301"/>
        <v>0</v>
      </c>
      <c r="I482" s="2490">
        <f t="shared" si="301"/>
        <v>0</v>
      </c>
      <c r="J482" s="2490">
        <f t="shared" si="301"/>
        <v>0</v>
      </c>
      <c r="K482" s="2490">
        <f t="shared" si="301"/>
        <v>0</v>
      </c>
      <c r="L482" s="2490">
        <f t="shared" si="301"/>
        <v>0</v>
      </c>
      <c r="M482" s="2874"/>
      <c r="N482" s="2874"/>
      <c r="O482" s="3027"/>
    </row>
    <row r="483" spans="1:17" s="269" customFormat="1" ht="14.25" hidden="1" customHeight="1" thickBot="1">
      <c r="A483" s="2934"/>
      <c r="B483" s="908" t="s">
        <v>20</v>
      </c>
      <c r="C483" s="2921"/>
      <c r="D483" s="2222">
        <f t="shared" ref="D483" si="302">E483+F483+G483+H483+I483+J483+K483+L483</f>
        <v>0</v>
      </c>
      <c r="E483" s="2459">
        <v>0</v>
      </c>
      <c r="F483" s="1004">
        <v>0</v>
      </c>
      <c r="G483" s="1004">
        <v>0</v>
      </c>
      <c r="H483" s="1004">
        <v>0</v>
      </c>
      <c r="I483" s="1004">
        <v>0</v>
      </c>
      <c r="J483" s="1004">
        <v>0</v>
      </c>
      <c r="K483" s="1004">
        <v>0</v>
      </c>
      <c r="L483" s="1004">
        <v>0</v>
      </c>
      <c r="M483" s="2875"/>
      <c r="N483" s="2875"/>
      <c r="O483" s="3028"/>
      <c r="P483" s="960">
        <f>D483-D480</f>
        <v>0</v>
      </c>
    </row>
    <row r="484" spans="1:17" ht="27" customHeight="1" thickBot="1">
      <c r="A484" s="144" t="s">
        <v>113</v>
      </c>
      <c r="B484" s="145"/>
      <c r="C484" s="146"/>
      <c r="D484" s="147"/>
      <c r="E484" s="14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8"/>
    </row>
    <row r="485" spans="1:17" s="1007" customFormat="1" ht="15.75" customHeight="1">
      <c r="A485" s="2926"/>
      <c r="B485" s="222" t="s">
        <v>76</v>
      </c>
      <c r="C485" s="214"/>
      <c r="D485" s="223">
        <f>+D486+D487</f>
        <v>1104167913</v>
      </c>
      <c r="E485" s="223">
        <f t="shared" ref="E485" si="303">+E486+E487</f>
        <v>371806468</v>
      </c>
      <c r="F485" s="223">
        <f t="shared" ref="F485" si="304">+F486+F487</f>
        <v>168638180</v>
      </c>
      <c r="G485" s="223">
        <f t="shared" ref="G485:L485" si="305">+G486+G487</f>
        <v>197973667</v>
      </c>
      <c r="H485" s="223">
        <f t="shared" si="305"/>
        <v>184348100</v>
      </c>
      <c r="I485" s="223">
        <f t="shared" si="305"/>
        <v>177456498</v>
      </c>
      <c r="J485" s="223">
        <f t="shared" si="305"/>
        <v>3945000</v>
      </c>
      <c r="K485" s="223">
        <f t="shared" si="305"/>
        <v>0</v>
      </c>
      <c r="L485" s="223">
        <f t="shared" si="305"/>
        <v>0</v>
      </c>
      <c r="M485" s="16">
        <f>+M486+M487</f>
        <v>732361445</v>
      </c>
      <c r="N485" s="16">
        <f>+N486+N487</f>
        <v>563723265</v>
      </c>
      <c r="O485" s="1005"/>
      <c r="P485" s="1006"/>
    </row>
    <row r="486" spans="1:17" s="1007" customFormat="1" ht="11.25" customHeight="1">
      <c r="A486" s="2927"/>
      <c r="B486" s="216" t="s">
        <v>77</v>
      </c>
      <c r="C486" s="468"/>
      <c r="D486" s="218">
        <f t="shared" ref="D486:N486" si="306">D501+D559+D563+D576+D584+D596+D600+D608</f>
        <v>888426292</v>
      </c>
      <c r="E486" s="218">
        <f t="shared" ref="E486" si="307">E501+E559+E563+E576+E584+E596+E600+E608</f>
        <v>328478944</v>
      </c>
      <c r="F486" s="218">
        <f t="shared" si="306"/>
        <v>126031050</v>
      </c>
      <c r="G486" s="218">
        <f t="shared" si="306"/>
        <v>148287200</v>
      </c>
      <c r="H486" s="218">
        <f t="shared" si="306"/>
        <v>139077600</v>
      </c>
      <c r="I486" s="218">
        <f t="shared" si="306"/>
        <v>142606498</v>
      </c>
      <c r="J486" s="218">
        <f t="shared" si="306"/>
        <v>3945000</v>
      </c>
      <c r="K486" s="218">
        <f t="shared" si="306"/>
        <v>0</v>
      </c>
      <c r="L486" s="218">
        <f t="shared" si="306"/>
        <v>0</v>
      </c>
      <c r="M486" s="18">
        <f t="shared" ref="M486" si="308">M501+M559+M563+M576+M584+M596+M600+M608</f>
        <v>559947348</v>
      </c>
      <c r="N486" s="18">
        <f t="shared" si="306"/>
        <v>433916298</v>
      </c>
      <c r="O486" s="1005"/>
    </row>
    <row r="487" spans="1:17" s="1007" customFormat="1" ht="13.5" customHeight="1">
      <c r="A487" s="2927"/>
      <c r="B487" s="909" t="s">
        <v>9</v>
      </c>
      <c r="C487" s="1008"/>
      <c r="D487" s="1009">
        <f t="shared" ref="D487:N487" si="309">D513+D521+D525+D537+D552+D592+D604+D616+D624+D628</f>
        <v>215741621</v>
      </c>
      <c r="E487" s="1009">
        <f t="shared" ref="E487" si="310">E513+E521+E525+E537+E552+E592+E604+E616+E624+E628</f>
        <v>43327524</v>
      </c>
      <c r="F487" s="1009">
        <f t="shared" si="309"/>
        <v>42607130</v>
      </c>
      <c r="G487" s="1009">
        <f t="shared" si="309"/>
        <v>49686467</v>
      </c>
      <c r="H487" s="1009">
        <f t="shared" si="309"/>
        <v>45270500</v>
      </c>
      <c r="I487" s="1009">
        <f t="shared" si="309"/>
        <v>34850000</v>
      </c>
      <c r="J487" s="1009">
        <f t="shared" si="309"/>
        <v>0</v>
      </c>
      <c r="K487" s="1009">
        <f t="shared" si="309"/>
        <v>0</v>
      </c>
      <c r="L487" s="1009">
        <f t="shared" si="309"/>
        <v>0</v>
      </c>
      <c r="M487" s="18">
        <f t="shared" ref="M487" si="311">M513+M521+M525+M537+M552+M592+M604+M616+M624+M628</f>
        <v>172414097</v>
      </c>
      <c r="N487" s="18">
        <f t="shared" si="309"/>
        <v>129806967</v>
      </c>
      <c r="O487" s="1005"/>
      <c r="P487" s="1006"/>
    </row>
    <row r="488" spans="1:17" s="1007" customFormat="1" ht="14.25" customHeight="1">
      <c r="A488" s="2927"/>
      <c r="B488" s="30" t="s">
        <v>10</v>
      </c>
      <c r="C488" s="22"/>
      <c r="D488" s="31">
        <f>+D489</f>
        <v>1104167913</v>
      </c>
      <c r="E488" s="31">
        <f t="shared" ref="E488:L489" si="312">+E489</f>
        <v>371806468</v>
      </c>
      <c r="F488" s="31">
        <f t="shared" si="312"/>
        <v>168638180</v>
      </c>
      <c r="G488" s="31">
        <f t="shared" si="312"/>
        <v>197973667</v>
      </c>
      <c r="H488" s="31">
        <f t="shared" si="312"/>
        <v>184348100</v>
      </c>
      <c r="I488" s="31">
        <f t="shared" si="312"/>
        <v>177456498</v>
      </c>
      <c r="J488" s="31">
        <f t="shared" si="312"/>
        <v>3945000</v>
      </c>
      <c r="K488" s="31">
        <f t="shared" si="312"/>
        <v>0</v>
      </c>
      <c r="L488" s="31">
        <f t="shared" si="312"/>
        <v>0</v>
      </c>
      <c r="M488" s="32">
        <f>+M489</f>
        <v>732361445</v>
      </c>
      <c r="N488" s="32">
        <f>+N489</f>
        <v>563723265</v>
      </c>
      <c r="O488" s="1010"/>
      <c r="P488" s="1006">
        <f>N488-N485</f>
        <v>0</v>
      </c>
    </row>
    <row r="489" spans="1:17" s="1014" customFormat="1" ht="12">
      <c r="A489" s="2927"/>
      <c r="B489" s="1011" t="s">
        <v>24</v>
      </c>
      <c r="C489" s="1012"/>
      <c r="D489" s="469">
        <f>SUM(D490:D493)</f>
        <v>1104167913</v>
      </c>
      <c r="E489" s="469">
        <f t="shared" ref="E489" si="313">SUM(E490:E493)</f>
        <v>371806468</v>
      </c>
      <c r="F489" s="469">
        <f t="shared" ref="F489:I489" si="314">SUM(F490:F493)</f>
        <v>168638180</v>
      </c>
      <c r="G489" s="469">
        <f t="shared" si="314"/>
        <v>197973667</v>
      </c>
      <c r="H489" s="469">
        <f t="shared" si="314"/>
        <v>184348100</v>
      </c>
      <c r="I489" s="469">
        <f t="shared" si="314"/>
        <v>177456498</v>
      </c>
      <c r="J489" s="469">
        <f t="shared" si="312"/>
        <v>3945000</v>
      </c>
      <c r="K489" s="469">
        <f t="shared" si="312"/>
        <v>0</v>
      </c>
      <c r="L489" s="469">
        <f t="shared" si="312"/>
        <v>0</v>
      </c>
      <c r="M489" s="80">
        <f>SUM(M490:M493)</f>
        <v>732361445</v>
      </c>
      <c r="N489" s="80">
        <f>SUM(N490:N493)</f>
        <v>563723265</v>
      </c>
      <c r="O489" s="2536"/>
      <c r="P489" s="1013"/>
    </row>
    <row r="490" spans="1:17" s="1007" customFormat="1" ht="12">
      <c r="A490" s="2927"/>
      <c r="B490" s="928" t="s">
        <v>12</v>
      </c>
      <c r="C490" s="929"/>
      <c r="D490" s="470">
        <f>+D503+D511+D515+D523+D527+D630+D531+D539+D546+D561+D565+D574+D578+D586+D594+D602+D554+D598+D606+D610+D618+D626</f>
        <v>1006511722</v>
      </c>
      <c r="E490" s="470">
        <f t="shared" ref="E490" si="315">+E503+E511+E515+E523+E527+E630+E531+E539+E546+E561+E565+E574+E578+E586+E594+E602+E554+E598+E606+E610+E618+E626</f>
        <v>364268477</v>
      </c>
      <c r="F490" s="470">
        <f t="shared" ref="F490:L490" si="316">+F503+F511+F515+F523+F527+F630+F531+F539+F546+F561+F565+F574+F578+F586+F594+F602+F554+F598+F606+F610+F618+F626</f>
        <v>130965603</v>
      </c>
      <c r="G490" s="470">
        <f t="shared" si="316"/>
        <v>173830904</v>
      </c>
      <c r="H490" s="470">
        <f t="shared" si="316"/>
        <v>170228100</v>
      </c>
      <c r="I490" s="470">
        <f t="shared" si="316"/>
        <v>163273638</v>
      </c>
      <c r="J490" s="470">
        <f t="shared" si="316"/>
        <v>3945000</v>
      </c>
      <c r="K490" s="470">
        <f t="shared" si="316"/>
        <v>0</v>
      </c>
      <c r="L490" s="470">
        <f t="shared" si="316"/>
        <v>0</v>
      </c>
      <c r="M490" s="1065">
        <f t="shared" ref="M490:N493" si="317">SUM(F490:K490)</f>
        <v>642243245</v>
      </c>
      <c r="N490" s="1065">
        <f t="shared" si="317"/>
        <v>511277642</v>
      </c>
      <c r="O490" s="3014"/>
      <c r="P490" s="1006"/>
    </row>
    <row r="491" spans="1:17" s="1007" customFormat="1" ht="12">
      <c r="A491" s="2927"/>
      <c r="B491" s="928" t="s">
        <v>78</v>
      </c>
      <c r="C491" s="929"/>
      <c r="D491" s="470">
        <f>D579+D587+D611</f>
        <v>23425991</v>
      </c>
      <c r="E491" s="470">
        <f t="shared" ref="E491" si="318">E579+E587+E611</f>
        <v>0</v>
      </c>
      <c r="F491" s="470">
        <f t="shared" ref="F491:L491" si="319">F579+F587+F611</f>
        <v>23425991</v>
      </c>
      <c r="G491" s="470">
        <f t="shared" si="319"/>
        <v>0</v>
      </c>
      <c r="H491" s="470">
        <f t="shared" si="319"/>
        <v>0</v>
      </c>
      <c r="I491" s="470">
        <f t="shared" si="319"/>
        <v>0</v>
      </c>
      <c r="J491" s="470">
        <f t="shared" si="319"/>
        <v>0</v>
      </c>
      <c r="K491" s="470">
        <f t="shared" si="319"/>
        <v>0</v>
      </c>
      <c r="L491" s="470">
        <f t="shared" si="319"/>
        <v>0</v>
      </c>
      <c r="M491" s="1065">
        <f t="shared" si="317"/>
        <v>23425991</v>
      </c>
      <c r="N491" s="1065">
        <f t="shared" si="317"/>
        <v>0</v>
      </c>
      <c r="O491" s="3014"/>
      <c r="P491" s="1006"/>
    </row>
    <row r="492" spans="1:17" s="1007" customFormat="1" ht="12">
      <c r="A492" s="2927"/>
      <c r="B492" s="928" t="s">
        <v>15</v>
      </c>
      <c r="C492" s="929"/>
      <c r="D492" s="470">
        <f t="shared" ref="D492:L492" si="320">+D516+D532+D547+D566+D619</f>
        <v>11780999</v>
      </c>
      <c r="E492" s="470">
        <f t="shared" ref="E492" si="321">+E516+E532+E547+E566+E619</f>
        <v>7537991</v>
      </c>
      <c r="F492" s="470">
        <f t="shared" si="320"/>
        <v>4243008</v>
      </c>
      <c r="G492" s="470">
        <f t="shared" si="320"/>
        <v>0</v>
      </c>
      <c r="H492" s="470">
        <f t="shared" si="320"/>
        <v>0</v>
      </c>
      <c r="I492" s="470">
        <f t="shared" si="320"/>
        <v>0</v>
      </c>
      <c r="J492" s="470">
        <f t="shared" si="320"/>
        <v>0</v>
      </c>
      <c r="K492" s="470">
        <f t="shared" si="320"/>
        <v>0</v>
      </c>
      <c r="L492" s="470">
        <f t="shared" si="320"/>
        <v>0</v>
      </c>
      <c r="M492" s="1065">
        <f t="shared" si="317"/>
        <v>4243008</v>
      </c>
      <c r="N492" s="1065">
        <f t="shared" si="317"/>
        <v>0</v>
      </c>
      <c r="O492" s="3014"/>
      <c r="P492" s="1006"/>
    </row>
    <row r="493" spans="1:17" s="1007" customFormat="1" ht="13.5" customHeight="1">
      <c r="A493" s="2927"/>
      <c r="B493" s="928" t="s">
        <v>106</v>
      </c>
      <c r="C493" s="929"/>
      <c r="D493" s="470">
        <f>D504</f>
        <v>62449201</v>
      </c>
      <c r="E493" s="470">
        <f t="shared" ref="E493" si="322">E504</f>
        <v>0</v>
      </c>
      <c r="F493" s="470">
        <f t="shared" ref="F493:L493" si="323">F504</f>
        <v>10003578</v>
      </c>
      <c r="G493" s="470">
        <f t="shared" si="323"/>
        <v>24142763</v>
      </c>
      <c r="H493" s="470">
        <f t="shared" si="323"/>
        <v>14120000</v>
      </c>
      <c r="I493" s="470">
        <f t="shared" si="323"/>
        <v>14182860</v>
      </c>
      <c r="J493" s="470">
        <f t="shared" si="323"/>
        <v>0</v>
      </c>
      <c r="K493" s="470">
        <f t="shared" si="323"/>
        <v>0</v>
      </c>
      <c r="L493" s="470">
        <f t="shared" si="323"/>
        <v>0</v>
      </c>
      <c r="M493" s="1065">
        <f t="shared" si="317"/>
        <v>62449201</v>
      </c>
      <c r="N493" s="1065">
        <f t="shared" si="317"/>
        <v>52445623</v>
      </c>
      <c r="O493" s="3014"/>
      <c r="P493" s="1006"/>
    </row>
    <row r="494" spans="1:17" s="1007" customFormat="1" ht="13.5" customHeight="1">
      <c r="A494" s="2927"/>
      <c r="B494" s="83" t="s">
        <v>22</v>
      </c>
      <c r="C494" s="22"/>
      <c r="D494" s="31">
        <f>+D495</f>
        <v>197175842</v>
      </c>
      <c r="E494" s="31">
        <f t="shared" ref="E494:L494" si="324">+E495</f>
        <v>59489003</v>
      </c>
      <c r="F494" s="31">
        <f t="shared" si="324"/>
        <v>49698084</v>
      </c>
      <c r="G494" s="31">
        <f t="shared" si="324"/>
        <v>27877585</v>
      </c>
      <c r="H494" s="31">
        <f t="shared" si="324"/>
        <v>30055585</v>
      </c>
      <c r="I494" s="31">
        <f t="shared" si="324"/>
        <v>30055585</v>
      </c>
      <c r="J494" s="31">
        <f t="shared" si="324"/>
        <v>0</v>
      </c>
      <c r="K494" s="31">
        <f t="shared" si="324"/>
        <v>0</v>
      </c>
      <c r="L494" s="31">
        <f t="shared" si="324"/>
        <v>0</v>
      </c>
      <c r="M494" s="2873" t="s">
        <v>23</v>
      </c>
      <c r="N494" s="2873" t="s">
        <v>23</v>
      </c>
      <c r="O494" s="3014"/>
    </row>
    <row r="495" spans="1:17" s="1007" customFormat="1" ht="12" customHeight="1">
      <c r="A495" s="2927"/>
      <c r="B495" s="1011" t="s">
        <v>24</v>
      </c>
      <c r="C495" s="934"/>
      <c r="D495" s="236">
        <f>+D496+D498+D497+D499</f>
        <v>197175842</v>
      </c>
      <c r="E495" s="236">
        <f t="shared" ref="E495" si="325">+E496+E498+E497+E499</f>
        <v>59489003</v>
      </c>
      <c r="F495" s="236">
        <f t="shared" ref="F495:L495" si="326">+F496+F498+F497+F499</f>
        <v>49698084</v>
      </c>
      <c r="G495" s="236">
        <f t="shared" si="326"/>
        <v>27877585</v>
      </c>
      <c r="H495" s="236">
        <f t="shared" si="326"/>
        <v>30055585</v>
      </c>
      <c r="I495" s="236">
        <f t="shared" si="326"/>
        <v>30055585</v>
      </c>
      <c r="J495" s="236">
        <f t="shared" si="326"/>
        <v>0</v>
      </c>
      <c r="K495" s="236">
        <f t="shared" si="326"/>
        <v>0</v>
      </c>
      <c r="L495" s="236">
        <f t="shared" si="326"/>
        <v>0</v>
      </c>
      <c r="M495" s="2874"/>
      <c r="N495" s="2874"/>
      <c r="O495" s="3014"/>
    </row>
    <row r="496" spans="1:17" s="1007" customFormat="1" ht="12" customHeight="1">
      <c r="A496" s="2927"/>
      <c r="B496" s="928" t="s">
        <v>191</v>
      </c>
      <c r="C496" s="471"/>
      <c r="D496" s="149">
        <f>+D569+D557+D542</f>
        <v>99519651</v>
      </c>
      <c r="E496" s="149">
        <f t="shared" ref="E496" si="327">+E569+E557+E542</f>
        <v>23178951</v>
      </c>
      <c r="F496" s="149">
        <f t="shared" ref="F496:I496" si="328">+F569+F557+F542</f>
        <v>13609800</v>
      </c>
      <c r="G496" s="149">
        <f t="shared" si="328"/>
        <v>19458300</v>
      </c>
      <c r="H496" s="149">
        <f t="shared" si="328"/>
        <v>21636300</v>
      </c>
      <c r="I496" s="149">
        <f t="shared" si="328"/>
        <v>21636300</v>
      </c>
      <c r="J496" s="149">
        <f t="shared" ref="J496:L496" si="329">+J569+J557</f>
        <v>0</v>
      </c>
      <c r="K496" s="149">
        <f t="shared" si="329"/>
        <v>0</v>
      </c>
      <c r="L496" s="149">
        <f t="shared" si="329"/>
        <v>0</v>
      </c>
      <c r="M496" s="2874"/>
      <c r="N496" s="2874"/>
      <c r="O496" s="3014"/>
      <c r="Q496" s="1006">
        <v>28500000</v>
      </c>
    </row>
    <row r="497" spans="1:17" s="1007" customFormat="1" ht="12" customHeight="1">
      <c r="A497" s="2535"/>
      <c r="B497" s="928" t="s">
        <v>78</v>
      </c>
      <c r="C497" s="471"/>
      <c r="D497" s="470">
        <f>D582+D590+D614</f>
        <v>23425991</v>
      </c>
      <c r="E497" s="470">
        <f t="shared" ref="E497" si="330">E582+E590+E614</f>
        <v>0</v>
      </c>
      <c r="F497" s="470">
        <f t="shared" ref="F497:L497" si="331">F582+F590+F614</f>
        <v>23425991</v>
      </c>
      <c r="G497" s="470">
        <f t="shared" si="331"/>
        <v>0</v>
      </c>
      <c r="H497" s="470">
        <f t="shared" si="331"/>
        <v>0</v>
      </c>
      <c r="I497" s="470">
        <f t="shared" si="331"/>
        <v>0</v>
      </c>
      <c r="J497" s="470">
        <f t="shared" si="331"/>
        <v>0</v>
      </c>
      <c r="K497" s="470">
        <f t="shared" si="331"/>
        <v>0</v>
      </c>
      <c r="L497" s="470">
        <f t="shared" si="331"/>
        <v>0</v>
      </c>
      <c r="M497" s="2874"/>
      <c r="N497" s="2874"/>
      <c r="O497" s="3014"/>
      <c r="P497" s="1006">
        <f>D497-D491</f>
        <v>0</v>
      </c>
      <c r="Q497" s="1006">
        <v>4072498</v>
      </c>
    </row>
    <row r="498" spans="1:17" s="1007" customFormat="1" ht="12" customHeight="1">
      <c r="A498" s="2535"/>
      <c r="B498" s="928" t="s">
        <v>15</v>
      </c>
      <c r="C498" s="471"/>
      <c r="D498" s="149">
        <f t="shared" ref="D498:L498" si="332">+D519+D535+D550+D570+D622</f>
        <v>11780999</v>
      </c>
      <c r="E498" s="149">
        <f t="shared" ref="E498" si="333">+E519+E535+E550+E570+E622</f>
        <v>7537991</v>
      </c>
      <c r="F498" s="149">
        <f t="shared" si="332"/>
        <v>4243008</v>
      </c>
      <c r="G498" s="149">
        <f t="shared" si="332"/>
        <v>0</v>
      </c>
      <c r="H498" s="149">
        <f t="shared" si="332"/>
        <v>0</v>
      </c>
      <c r="I498" s="149">
        <f t="shared" si="332"/>
        <v>0</v>
      </c>
      <c r="J498" s="149">
        <f t="shared" si="332"/>
        <v>0</v>
      </c>
      <c r="K498" s="149">
        <f t="shared" si="332"/>
        <v>0</v>
      </c>
      <c r="L498" s="149">
        <f t="shared" si="332"/>
        <v>0</v>
      </c>
      <c r="M498" s="2874"/>
      <c r="N498" s="2874"/>
      <c r="O498" s="3014"/>
      <c r="Q498" s="1006">
        <v>1570791</v>
      </c>
    </row>
    <row r="499" spans="1:17" s="1007" customFormat="1" ht="12" customHeight="1" thickBot="1">
      <c r="A499" s="2535"/>
      <c r="B499" s="928" t="s">
        <v>106</v>
      </c>
      <c r="C499" s="471"/>
      <c r="D499" s="149">
        <f>D507</f>
        <v>62449201</v>
      </c>
      <c r="E499" s="149">
        <f t="shared" ref="E499" si="334">E507</f>
        <v>28772061</v>
      </c>
      <c r="F499" s="149">
        <f t="shared" ref="F499:L499" si="335">F507</f>
        <v>8419285</v>
      </c>
      <c r="G499" s="149">
        <f t="shared" si="335"/>
        <v>8419285</v>
      </c>
      <c r="H499" s="149">
        <f t="shared" si="335"/>
        <v>8419285</v>
      </c>
      <c r="I499" s="149">
        <f t="shared" si="335"/>
        <v>8419285</v>
      </c>
      <c r="J499" s="149">
        <f t="shared" si="335"/>
        <v>0</v>
      </c>
      <c r="K499" s="149">
        <f t="shared" si="335"/>
        <v>0</v>
      </c>
      <c r="L499" s="149">
        <f t="shared" si="335"/>
        <v>0</v>
      </c>
      <c r="M499" s="2875"/>
      <c r="N499" s="2875"/>
      <c r="O499" s="3015"/>
    </row>
    <row r="500" spans="1:17" s="1007" customFormat="1" ht="18" customHeight="1">
      <c r="A500" s="2926" t="s">
        <v>63</v>
      </c>
      <c r="B500" s="75" t="s">
        <v>374</v>
      </c>
      <c r="C500" s="59" t="s">
        <v>109</v>
      </c>
      <c r="D500" s="105"/>
      <c r="E500" s="107"/>
      <c r="F500" s="106"/>
      <c r="G500" s="106"/>
      <c r="H500" s="246"/>
      <c r="I500" s="246"/>
      <c r="J500" s="246"/>
      <c r="K500" s="246"/>
      <c r="L500" s="246"/>
      <c r="M500" s="1600"/>
      <c r="N500" s="1600"/>
      <c r="O500" s="3024" t="s">
        <v>102</v>
      </c>
    </row>
    <row r="501" spans="1:17" s="1007" customFormat="1" ht="14.25" customHeight="1">
      <c r="A501" s="2927"/>
      <c r="B501" s="538" t="s">
        <v>10</v>
      </c>
      <c r="C501" s="2017"/>
      <c r="D501" s="2501">
        <f>+D502</f>
        <v>83298218</v>
      </c>
      <c r="E501" s="2501">
        <f t="shared" ref="E501:I501" si="336">+E502</f>
        <v>2184218</v>
      </c>
      <c r="F501" s="2501">
        <f t="shared" si="336"/>
        <v>12304401</v>
      </c>
      <c r="G501" s="2501">
        <f t="shared" si="336"/>
        <v>29695599</v>
      </c>
      <c r="H501" s="2501">
        <f t="shared" si="336"/>
        <v>17367600</v>
      </c>
      <c r="I501" s="2501">
        <f t="shared" si="336"/>
        <v>21746400</v>
      </c>
      <c r="J501" s="2060">
        <v>0</v>
      </c>
      <c r="K501" s="2060">
        <v>0</v>
      </c>
      <c r="L501" s="2060">
        <v>0</v>
      </c>
      <c r="M501" s="2123">
        <f>+M502</f>
        <v>81114000</v>
      </c>
      <c r="N501" s="2123">
        <f>+N502</f>
        <v>68809599</v>
      </c>
      <c r="O501" s="3025"/>
      <c r="P501" s="1006"/>
    </row>
    <row r="502" spans="1:17" s="1007" customFormat="1" ht="14.25" customHeight="1">
      <c r="A502" s="2927"/>
      <c r="B502" s="734" t="s">
        <v>24</v>
      </c>
      <c r="C502" s="2920" t="s">
        <v>98</v>
      </c>
      <c r="D502" s="2502">
        <f>D503+D504</f>
        <v>83298218</v>
      </c>
      <c r="E502" s="2502">
        <f t="shared" ref="E502:G502" si="337">E503+E504</f>
        <v>2184218</v>
      </c>
      <c r="F502" s="2502">
        <f>F503+F504</f>
        <v>12304401</v>
      </c>
      <c r="G502" s="2502">
        <f t="shared" si="337"/>
        <v>29695599</v>
      </c>
      <c r="H502" s="2502">
        <f t="shared" ref="H502" si="338">H503+H504</f>
        <v>17367600</v>
      </c>
      <c r="I502" s="2502">
        <f t="shared" ref="I502" si="339">I503+I504</f>
        <v>21746400</v>
      </c>
      <c r="J502" s="2058">
        <v>0</v>
      </c>
      <c r="K502" s="2058">
        <v>0</v>
      </c>
      <c r="L502" s="2058">
        <v>0</v>
      </c>
      <c r="M502" s="2084">
        <f>+M503+M504</f>
        <v>81114000</v>
      </c>
      <c r="N502" s="2084">
        <f>+N503+N504</f>
        <v>68809599</v>
      </c>
      <c r="O502" s="3025"/>
    </row>
    <row r="503" spans="1:17" s="1007" customFormat="1" ht="14.25" customHeight="1">
      <c r="A503" s="2927"/>
      <c r="B503" s="811" t="s">
        <v>12</v>
      </c>
      <c r="C503" s="2922"/>
      <c r="D503" s="1926">
        <f>E503+F503+G503+H503+I503+J503+K503+L503</f>
        <v>20849017</v>
      </c>
      <c r="E503" s="1990">
        <v>2184218</v>
      </c>
      <c r="F503" s="2503">
        <f>23370000-5870000+3500000-18079000-620177</f>
        <v>2300823</v>
      </c>
      <c r="G503" s="2503">
        <f>29212500-15212500+7000000-16067341+620177</f>
        <v>5552836</v>
      </c>
      <c r="H503" s="2503">
        <f>3427000-179400</f>
        <v>3247600</v>
      </c>
      <c r="I503" s="2503">
        <f>7384140+179400</f>
        <v>7563540</v>
      </c>
      <c r="J503" s="1973">
        <v>0</v>
      </c>
      <c r="K503" s="1973">
        <v>0</v>
      </c>
      <c r="L503" s="1973">
        <v>0</v>
      </c>
      <c r="M503" s="2047">
        <f>SUM(F503:K503)</f>
        <v>18664799</v>
      </c>
      <c r="N503" s="2047">
        <f>SUM(G503:L503)</f>
        <v>16363976</v>
      </c>
      <c r="O503" s="3025"/>
      <c r="P503" s="1006"/>
    </row>
    <row r="504" spans="1:17" s="1007" customFormat="1" ht="14.25" customHeight="1">
      <c r="A504" s="2927"/>
      <c r="B504" s="1601" t="s">
        <v>106</v>
      </c>
      <c r="C504" s="2532"/>
      <c r="D504" s="1997">
        <f>E504+F504+G504+H504+I504+J504+K504+L504</f>
        <v>62449201</v>
      </c>
      <c r="E504" s="1990">
        <v>0</v>
      </c>
      <c r="F504" s="114">
        <f>12700000-2696422</f>
        <v>10003578</v>
      </c>
      <c r="G504" s="114">
        <f>21446341+2696422</f>
        <v>24142763</v>
      </c>
      <c r="H504" s="114">
        <f>14900000-780000</f>
        <v>14120000</v>
      </c>
      <c r="I504" s="114">
        <f>13402860+780000</f>
        <v>14182860</v>
      </c>
      <c r="J504" s="1554">
        <v>0</v>
      </c>
      <c r="K504" s="1554">
        <v>0</v>
      </c>
      <c r="L504" s="1554">
        <v>0</v>
      </c>
      <c r="M504" s="2047">
        <f>SUM(F504:K504)</f>
        <v>62449201</v>
      </c>
      <c r="N504" s="2047">
        <f>SUM(G504:L504)</f>
        <v>52445623</v>
      </c>
      <c r="O504" s="3025"/>
      <c r="P504" s="1006"/>
    </row>
    <row r="505" spans="1:17" s="1007" customFormat="1" ht="14.25" customHeight="1">
      <c r="A505" s="2927"/>
      <c r="B505" s="190" t="s">
        <v>22</v>
      </c>
      <c r="C505" s="92"/>
      <c r="D505" s="1602">
        <f>D506</f>
        <v>62449201</v>
      </c>
      <c r="E505" s="1602">
        <f t="shared" ref="E505:L506" si="340">E506</f>
        <v>28772061</v>
      </c>
      <c r="F505" s="1602">
        <f t="shared" si="340"/>
        <v>8419285</v>
      </c>
      <c r="G505" s="1602">
        <f t="shared" si="340"/>
        <v>8419285</v>
      </c>
      <c r="H505" s="1602">
        <f t="shared" si="340"/>
        <v>8419285</v>
      </c>
      <c r="I505" s="1602">
        <f t="shared" si="340"/>
        <v>8419285</v>
      </c>
      <c r="J505" s="1603">
        <f t="shared" si="340"/>
        <v>0</v>
      </c>
      <c r="K505" s="1603">
        <f t="shared" si="340"/>
        <v>0</v>
      </c>
      <c r="L505" s="1603">
        <f t="shared" si="340"/>
        <v>0</v>
      </c>
      <c r="M505" s="2929" t="s">
        <v>23</v>
      </c>
      <c r="N505" s="2929" t="s">
        <v>23</v>
      </c>
      <c r="O505" s="3025"/>
      <c r="P505" s="1006"/>
    </row>
    <row r="506" spans="1:17" s="1007" customFormat="1" ht="14.25" customHeight="1">
      <c r="A506" s="2927"/>
      <c r="B506" s="2141" t="s">
        <v>24</v>
      </c>
      <c r="C506" s="2920" t="s">
        <v>98</v>
      </c>
      <c r="D506" s="1997">
        <f>D507</f>
        <v>62449201</v>
      </c>
      <c r="E506" s="1997">
        <f t="shared" si="340"/>
        <v>28772061</v>
      </c>
      <c r="F506" s="1997">
        <f t="shared" si="340"/>
        <v>8419285</v>
      </c>
      <c r="G506" s="1997">
        <f t="shared" si="340"/>
        <v>8419285</v>
      </c>
      <c r="H506" s="1997">
        <f t="shared" si="340"/>
        <v>8419285</v>
      </c>
      <c r="I506" s="1997">
        <f t="shared" si="340"/>
        <v>8419285</v>
      </c>
      <c r="J506" s="2504">
        <f t="shared" si="340"/>
        <v>0</v>
      </c>
      <c r="K506" s="2504">
        <f t="shared" si="340"/>
        <v>0</v>
      </c>
      <c r="L506" s="2504">
        <f t="shared" si="340"/>
        <v>0</v>
      </c>
      <c r="M506" s="2929"/>
      <c r="N506" s="2929"/>
      <c r="O506" s="3025"/>
      <c r="P506" s="1006"/>
    </row>
    <row r="507" spans="1:17" s="1007" customFormat="1" ht="14.25" customHeight="1" thickBot="1">
      <c r="A507" s="2928"/>
      <c r="B507" s="1666" t="s">
        <v>106</v>
      </c>
      <c r="C507" s="2935"/>
      <c r="D507" s="2459">
        <f>E507+F507+G507+H507+I507+J507+K507+L507</f>
        <v>62449201</v>
      </c>
      <c r="E507" s="2459">
        <v>28772061</v>
      </c>
      <c r="F507" s="2459">
        <v>8419285</v>
      </c>
      <c r="G507" s="2459">
        <v>8419285</v>
      </c>
      <c r="H507" s="2459">
        <v>8419285</v>
      </c>
      <c r="I507" s="2459">
        <v>8419285</v>
      </c>
      <c r="J507" s="2505">
        <v>0</v>
      </c>
      <c r="K507" s="2505">
        <v>0</v>
      </c>
      <c r="L507" s="2505">
        <v>0</v>
      </c>
      <c r="M507" s="2930"/>
      <c r="N507" s="2930"/>
      <c r="O507" s="3026"/>
      <c r="P507" s="1006"/>
    </row>
    <row r="508" spans="1:17" s="1007" customFormat="1" ht="14.25" hidden="1" customHeight="1">
      <c r="A508" s="2927"/>
      <c r="B508" s="472"/>
      <c r="C508" s="1015"/>
      <c r="D508" s="85"/>
      <c r="E508" s="259"/>
      <c r="F508" s="259"/>
      <c r="G508" s="259"/>
      <c r="H508" s="259"/>
      <c r="I508" s="259"/>
      <c r="J508" s="259"/>
      <c r="K508" s="259"/>
      <c r="L508" s="259"/>
      <c r="M508" s="260"/>
      <c r="N508" s="260"/>
      <c r="O508" s="2950"/>
    </row>
    <row r="509" spans="1:17" s="1007" customFormat="1" ht="13.5" hidden="1" customHeight="1">
      <c r="A509" s="2927"/>
      <c r="B509" s="30"/>
      <c r="C509" s="92"/>
      <c r="D509" s="211"/>
      <c r="E509" s="211"/>
      <c r="F509" s="211"/>
      <c r="G509" s="211"/>
      <c r="H509" s="249"/>
      <c r="I509" s="249"/>
      <c r="J509" s="249"/>
      <c r="K509" s="249"/>
      <c r="L509" s="249"/>
      <c r="M509" s="243"/>
      <c r="N509" s="243"/>
      <c r="O509" s="3038"/>
    </row>
    <row r="510" spans="1:17" s="1007" customFormat="1" ht="13.5" hidden="1" customHeight="1">
      <c r="A510" s="2927"/>
      <c r="B510" s="701"/>
      <c r="C510" s="2893"/>
      <c r="D510" s="79"/>
      <c r="E510" s="79"/>
      <c r="F510" s="79"/>
      <c r="G510" s="79"/>
      <c r="H510" s="247"/>
      <c r="I510" s="247"/>
      <c r="J510" s="247"/>
      <c r="K510" s="247"/>
      <c r="L510" s="247"/>
      <c r="M510" s="244"/>
      <c r="N510" s="244"/>
      <c r="O510" s="3038"/>
    </row>
    <row r="511" spans="1:17" s="1007" customFormat="1" ht="13.5" hidden="1" customHeight="1" thickBot="1">
      <c r="A511" s="2928"/>
      <c r="B511" s="72"/>
      <c r="C511" s="2921"/>
      <c r="D511" s="89"/>
      <c r="E511" s="74"/>
      <c r="F511" s="52"/>
      <c r="G511" s="52"/>
      <c r="H511" s="250"/>
      <c r="I511" s="250"/>
      <c r="J511" s="250"/>
      <c r="K511" s="250"/>
      <c r="L511" s="250"/>
      <c r="M511" s="245"/>
      <c r="N511" s="245"/>
      <c r="O511" s="3039"/>
      <c r="P511" s="1006"/>
    </row>
    <row r="512" spans="1:17" s="1007" customFormat="1" ht="29.25" customHeight="1">
      <c r="A512" s="2938" t="s">
        <v>64</v>
      </c>
      <c r="B512" s="75" t="s">
        <v>310</v>
      </c>
      <c r="C512" s="59" t="s">
        <v>81</v>
      </c>
      <c r="D512" s="953"/>
      <c r="E512" s="97"/>
      <c r="F512" s="97"/>
      <c r="G512" s="97"/>
      <c r="H512" s="97"/>
      <c r="I512" s="97"/>
      <c r="J512" s="97"/>
      <c r="K512" s="97"/>
      <c r="L512" s="97"/>
      <c r="M512" s="45"/>
      <c r="N512" s="45"/>
      <c r="O512" s="2942" t="s">
        <v>102</v>
      </c>
    </row>
    <row r="513" spans="1:131" s="1007" customFormat="1" ht="15" customHeight="1">
      <c r="A513" s="2939"/>
      <c r="B513" s="538" t="s">
        <v>10</v>
      </c>
      <c r="C513" s="2053"/>
      <c r="D513" s="1946">
        <f>+D514</f>
        <v>4615466</v>
      </c>
      <c r="E513" s="2043">
        <f t="shared" ref="E513:N513" si="341">+E514</f>
        <v>4482254</v>
      </c>
      <c r="F513" s="2043">
        <f t="shared" si="341"/>
        <v>133212</v>
      </c>
      <c r="G513" s="2060">
        <v>0</v>
      </c>
      <c r="H513" s="2060">
        <v>0</v>
      </c>
      <c r="I513" s="2060">
        <v>0</v>
      </c>
      <c r="J513" s="2060">
        <v>0</v>
      </c>
      <c r="K513" s="2060">
        <v>0</v>
      </c>
      <c r="L513" s="2060">
        <v>0</v>
      </c>
      <c r="M513" s="1947">
        <f t="shared" si="341"/>
        <v>133212</v>
      </c>
      <c r="N513" s="1947">
        <f t="shared" si="341"/>
        <v>0</v>
      </c>
      <c r="O513" s="2943"/>
      <c r="P513" s="1006"/>
    </row>
    <row r="514" spans="1:131" s="1007" customFormat="1" ht="13.5" customHeight="1">
      <c r="A514" s="2939"/>
      <c r="B514" s="734" t="s">
        <v>24</v>
      </c>
      <c r="C514" s="2920" t="s">
        <v>111</v>
      </c>
      <c r="D514" s="1949">
        <f>+D515+D516</f>
        <v>4615466</v>
      </c>
      <c r="E514" s="2044">
        <f t="shared" ref="E514" si="342">+E515+E516</f>
        <v>4482254</v>
      </c>
      <c r="F514" s="2044">
        <f>+F515+F516</f>
        <v>133212</v>
      </c>
      <c r="G514" s="2058">
        <v>0</v>
      </c>
      <c r="H514" s="2058">
        <v>0</v>
      </c>
      <c r="I514" s="2058">
        <v>0</v>
      </c>
      <c r="J514" s="2058">
        <v>0</v>
      </c>
      <c r="K514" s="2058">
        <v>0</v>
      </c>
      <c r="L514" s="2058">
        <v>0</v>
      </c>
      <c r="M514" s="2022">
        <f>+M515+M516</f>
        <v>133212</v>
      </c>
      <c r="N514" s="2022">
        <f>+N515+N516</f>
        <v>0</v>
      </c>
      <c r="O514" s="2943"/>
    </row>
    <row r="515" spans="1:131" s="1007" customFormat="1" ht="13.5" customHeight="1">
      <c r="A515" s="2939"/>
      <c r="B515" s="2061" t="s">
        <v>12</v>
      </c>
      <c r="C515" s="2945"/>
      <c r="D515" s="1926">
        <f>E515+F515+G515+H515+I515+J515+K515+L515</f>
        <v>1771239</v>
      </c>
      <c r="E515" s="1990">
        <f>1638027</f>
        <v>1638027</v>
      </c>
      <c r="F515" s="1953">
        <f>133212</f>
        <v>133212</v>
      </c>
      <c r="G515" s="2056">
        <v>0</v>
      </c>
      <c r="H515" s="2056">
        <v>0</v>
      </c>
      <c r="I515" s="2056">
        <v>0</v>
      </c>
      <c r="J515" s="2056">
        <v>0</v>
      </c>
      <c r="K515" s="2056">
        <v>0</v>
      </c>
      <c r="L515" s="2056">
        <v>0</v>
      </c>
      <c r="M515" s="1065">
        <f>SUM(F515:K515)</f>
        <v>133212</v>
      </c>
      <c r="N515" s="1065">
        <f>SUM(G515:L515)</f>
        <v>0</v>
      </c>
      <c r="O515" s="2943"/>
    </row>
    <row r="516" spans="1:131" s="1007" customFormat="1" ht="13.5" customHeight="1">
      <c r="A516" s="2939"/>
      <c r="B516" s="811" t="s">
        <v>114</v>
      </c>
      <c r="C516" s="2946"/>
      <c r="D516" s="1926">
        <f>E516+F516+G516+H516+I516+J516+K516+L516</f>
        <v>2844227</v>
      </c>
      <c r="E516" s="1990">
        <f>2844227</f>
        <v>2844227</v>
      </c>
      <c r="F516" s="2056">
        <v>0</v>
      </c>
      <c r="G516" s="2056">
        <v>0</v>
      </c>
      <c r="H516" s="2056">
        <v>0</v>
      </c>
      <c r="I516" s="2056">
        <v>0</v>
      </c>
      <c r="J516" s="2056">
        <v>0</v>
      </c>
      <c r="K516" s="2056">
        <v>0</v>
      </c>
      <c r="L516" s="2056">
        <v>0</v>
      </c>
      <c r="M516" s="1065">
        <f>SUM(F516:K516)</f>
        <v>0</v>
      </c>
      <c r="N516" s="1065">
        <f>SUM(G516:L516)</f>
        <v>0</v>
      </c>
      <c r="O516" s="2943"/>
    </row>
    <row r="517" spans="1:131" s="1007" customFormat="1" ht="12.75" customHeight="1">
      <c r="A517" s="2940"/>
      <c r="B517" s="728" t="s">
        <v>22</v>
      </c>
      <c r="C517" s="2053"/>
      <c r="D517" s="1946">
        <f>+D518</f>
        <v>2844227</v>
      </c>
      <c r="E517" s="1946">
        <f t="shared" ref="E517:E518" si="343">+E518</f>
        <v>2844227</v>
      </c>
      <c r="F517" s="2060">
        <v>0</v>
      </c>
      <c r="G517" s="2060">
        <v>0</v>
      </c>
      <c r="H517" s="2060">
        <v>0</v>
      </c>
      <c r="I517" s="2060">
        <v>0</v>
      </c>
      <c r="J517" s="2060">
        <v>0</v>
      </c>
      <c r="K517" s="2060">
        <v>0</v>
      </c>
      <c r="L517" s="2060">
        <v>0</v>
      </c>
      <c r="M517" s="2876" t="s">
        <v>23</v>
      </c>
      <c r="N517" s="2876" t="s">
        <v>23</v>
      </c>
      <c r="O517" s="2943"/>
    </row>
    <row r="518" spans="1:131" s="1007" customFormat="1" ht="13.5" customHeight="1">
      <c r="A518" s="2940"/>
      <c r="B518" s="694" t="s">
        <v>24</v>
      </c>
      <c r="C518" s="2920" t="s">
        <v>111</v>
      </c>
      <c r="D518" s="2044">
        <f>+D519</f>
        <v>2844227</v>
      </c>
      <c r="E518" s="2044">
        <f t="shared" si="343"/>
        <v>2844227</v>
      </c>
      <c r="F518" s="2058">
        <v>0</v>
      </c>
      <c r="G518" s="2058">
        <v>0</v>
      </c>
      <c r="H518" s="2058">
        <v>0</v>
      </c>
      <c r="I518" s="2058">
        <v>0</v>
      </c>
      <c r="J518" s="2058">
        <v>0</v>
      </c>
      <c r="K518" s="2058">
        <v>0</v>
      </c>
      <c r="L518" s="2058">
        <v>0</v>
      </c>
      <c r="M518" s="2865"/>
      <c r="N518" s="2865"/>
      <c r="O518" s="2943"/>
    </row>
    <row r="519" spans="1:131" s="1007" customFormat="1" ht="13.5" customHeight="1" thickBot="1">
      <c r="A519" s="2941"/>
      <c r="B519" s="368" t="s">
        <v>114</v>
      </c>
      <c r="C519" s="2921"/>
      <c r="D519" s="1926">
        <f>E519+F519+G519+H519+I519+J519+K519+L519</f>
        <v>2844227</v>
      </c>
      <c r="E519" s="1990">
        <f>2844227</f>
        <v>2844227</v>
      </c>
      <c r="F519" s="1081">
        <v>0</v>
      </c>
      <c r="G519" s="1081">
        <v>0</v>
      </c>
      <c r="H519" s="1081">
        <v>0</v>
      </c>
      <c r="I519" s="1081">
        <v>0</v>
      </c>
      <c r="J519" s="1081">
        <v>0</v>
      </c>
      <c r="K519" s="1081">
        <v>0</v>
      </c>
      <c r="L519" s="1081">
        <v>0</v>
      </c>
      <c r="M519" s="2866"/>
      <c r="N519" s="2866"/>
      <c r="O519" s="2944"/>
    </row>
    <row r="520" spans="1:131" s="1017" customFormat="1" ht="14.25" customHeight="1">
      <c r="A520" s="2881" t="s">
        <v>65</v>
      </c>
      <c r="B520" s="75" t="s">
        <v>318</v>
      </c>
      <c r="C520" s="59" t="s">
        <v>81</v>
      </c>
      <c r="D520" s="451"/>
      <c r="E520" s="452"/>
      <c r="F520" s="452"/>
      <c r="G520" s="452"/>
      <c r="H520" s="452"/>
      <c r="I520" s="452"/>
      <c r="J520" s="452"/>
      <c r="K520" s="452"/>
      <c r="L520" s="452"/>
      <c r="M520" s="45"/>
      <c r="N520" s="45"/>
      <c r="O520" s="2884" t="s">
        <v>86</v>
      </c>
      <c r="P520" s="1016"/>
      <c r="Q520" s="1016"/>
      <c r="R520" s="1016"/>
      <c r="S520" s="1016"/>
      <c r="T520" s="1016"/>
      <c r="U520" s="1016"/>
      <c r="V520" s="1016"/>
      <c r="W520" s="1016"/>
      <c r="X520" s="1016"/>
      <c r="Y520" s="1016"/>
      <c r="Z520" s="1016"/>
      <c r="AA520" s="1016"/>
      <c r="AB520" s="1016"/>
      <c r="AC520" s="1016"/>
      <c r="AD520" s="1016"/>
      <c r="AE520" s="1016"/>
      <c r="AF520" s="1016"/>
      <c r="AG520" s="1016"/>
      <c r="AH520" s="1016"/>
      <c r="AI520" s="1016"/>
      <c r="AJ520" s="1016"/>
      <c r="AK520" s="1016"/>
      <c r="AL520" s="1016"/>
      <c r="AM520" s="1016"/>
      <c r="AN520" s="1016"/>
      <c r="AO520" s="1016"/>
      <c r="AP520" s="1016"/>
      <c r="AQ520" s="1016"/>
      <c r="AR520" s="1016"/>
      <c r="AS520" s="1016"/>
      <c r="AT520" s="1016"/>
      <c r="AU520" s="1016"/>
      <c r="AV520" s="1016"/>
      <c r="AW520" s="1016"/>
      <c r="AX520" s="1016"/>
      <c r="AY520" s="1016"/>
      <c r="AZ520" s="1016"/>
      <c r="BA520" s="1016"/>
      <c r="BB520" s="1016"/>
      <c r="BC520" s="1016"/>
      <c r="BD520" s="1016"/>
      <c r="BE520" s="1016"/>
      <c r="BF520" s="1016"/>
      <c r="BG520" s="1016"/>
      <c r="BH520" s="1016"/>
      <c r="BI520" s="1016"/>
      <c r="BJ520" s="1016"/>
      <c r="BK520" s="1016"/>
      <c r="BL520" s="1016"/>
      <c r="BM520" s="1016"/>
      <c r="BN520" s="1016"/>
      <c r="BO520" s="1016"/>
      <c r="BP520" s="1016"/>
      <c r="BQ520" s="1016"/>
      <c r="BR520" s="1016"/>
      <c r="BS520" s="1016"/>
      <c r="BT520" s="1016"/>
      <c r="BU520" s="1016"/>
      <c r="BV520" s="1016"/>
      <c r="BW520" s="1016"/>
      <c r="BX520" s="1016"/>
      <c r="BY520" s="1016"/>
      <c r="BZ520" s="1016"/>
      <c r="CA520" s="1016"/>
      <c r="CB520" s="1016"/>
      <c r="CC520" s="1016"/>
      <c r="CD520" s="1016"/>
      <c r="CE520" s="1016"/>
      <c r="CF520" s="1016"/>
      <c r="CG520" s="1016"/>
      <c r="CH520" s="1016"/>
      <c r="CI520" s="1016"/>
      <c r="CJ520" s="1016"/>
      <c r="CK520" s="1016"/>
      <c r="CL520" s="1016"/>
      <c r="CM520" s="1016"/>
      <c r="CN520" s="1016"/>
      <c r="CO520" s="1016"/>
      <c r="CP520" s="1016"/>
      <c r="CQ520" s="1016"/>
      <c r="CR520" s="1016"/>
      <c r="CS520" s="1016"/>
      <c r="CT520" s="1016"/>
      <c r="CU520" s="1016"/>
      <c r="CV520" s="1016"/>
      <c r="CW520" s="1016"/>
      <c r="CX520" s="1016"/>
      <c r="CY520" s="1016"/>
      <c r="CZ520" s="1016"/>
      <c r="DA520" s="1016"/>
      <c r="DB520" s="1016"/>
      <c r="DC520" s="1016"/>
      <c r="DD520" s="1016"/>
      <c r="DE520" s="1016"/>
      <c r="DF520" s="1016"/>
      <c r="DG520" s="1016"/>
      <c r="DH520" s="1016"/>
      <c r="DI520" s="1016"/>
      <c r="DJ520" s="1016"/>
      <c r="DK520" s="1016"/>
      <c r="DL520" s="1016"/>
      <c r="DM520" s="1016"/>
      <c r="DN520" s="1016"/>
      <c r="DO520" s="1016"/>
      <c r="DP520" s="1016"/>
      <c r="DQ520" s="1016"/>
      <c r="DR520" s="1016"/>
      <c r="DS520" s="1016"/>
      <c r="DT520" s="1016"/>
      <c r="DU520" s="1016"/>
      <c r="DV520" s="1016"/>
      <c r="DW520" s="1016"/>
      <c r="DX520" s="1016"/>
      <c r="DY520" s="1016"/>
      <c r="DZ520" s="1016"/>
      <c r="EA520" s="1016"/>
    </row>
    <row r="521" spans="1:131" s="1016" customFormat="1" ht="12.75" customHeight="1">
      <c r="A521" s="2882"/>
      <c r="B521" s="538" t="s">
        <v>10</v>
      </c>
      <c r="C521" s="2053"/>
      <c r="D521" s="2062">
        <f>+D522</f>
        <v>8828560</v>
      </c>
      <c r="E521" s="2054">
        <f t="shared" ref="E521:I522" si="344">+E522</f>
        <v>3130167</v>
      </c>
      <c r="F521" s="2054">
        <f t="shared" si="344"/>
        <v>919160</v>
      </c>
      <c r="G521" s="2054">
        <f t="shared" si="344"/>
        <v>688733</v>
      </c>
      <c r="H521" s="2054">
        <f t="shared" si="344"/>
        <v>2020500</v>
      </c>
      <c r="I521" s="2054">
        <f t="shared" si="344"/>
        <v>2070000</v>
      </c>
      <c r="J521" s="2060">
        <v>0</v>
      </c>
      <c r="K521" s="2060">
        <v>0</v>
      </c>
      <c r="L521" s="2060">
        <v>0</v>
      </c>
      <c r="M521" s="1947">
        <f>+M522</f>
        <v>5698393</v>
      </c>
      <c r="N521" s="1947">
        <f>+N522</f>
        <v>4779233</v>
      </c>
      <c r="O521" s="2885"/>
      <c r="P521" s="1006"/>
    </row>
    <row r="522" spans="1:131" s="1016" customFormat="1" ht="14.25" customHeight="1">
      <c r="A522" s="2882"/>
      <c r="B522" s="734" t="s">
        <v>24</v>
      </c>
      <c r="C522" s="2920" t="s">
        <v>84</v>
      </c>
      <c r="D522" s="113">
        <f>+D523</f>
        <v>8828560</v>
      </c>
      <c r="E522" s="2055">
        <f t="shared" si="344"/>
        <v>3130167</v>
      </c>
      <c r="F522" s="2055">
        <f t="shared" si="344"/>
        <v>919160</v>
      </c>
      <c r="G522" s="2055">
        <f t="shared" si="344"/>
        <v>688733</v>
      </c>
      <c r="H522" s="2055">
        <f t="shared" si="344"/>
        <v>2020500</v>
      </c>
      <c r="I522" s="2055">
        <f t="shared" si="344"/>
        <v>2070000</v>
      </c>
      <c r="J522" s="2058">
        <v>0</v>
      </c>
      <c r="K522" s="2058">
        <v>0</v>
      </c>
      <c r="L522" s="2058">
        <v>0</v>
      </c>
      <c r="M522" s="2022">
        <f>+M523</f>
        <v>5698393</v>
      </c>
      <c r="N522" s="2022">
        <f>+N523</f>
        <v>4779233</v>
      </c>
      <c r="O522" s="2885"/>
    </row>
    <row r="523" spans="1:131" s="1016" customFormat="1" ht="13.5" customHeight="1" thickBot="1">
      <c r="A523" s="2883"/>
      <c r="B523" s="1072" t="s">
        <v>12</v>
      </c>
      <c r="C523" s="2921"/>
      <c r="D523" s="1027">
        <f>E523+F523+G523+H523+I523+J523+K523+L523</f>
        <v>8828560</v>
      </c>
      <c r="E523" s="1027">
        <v>3130167</v>
      </c>
      <c r="F523" s="533">
        <f>1925000+100000-1300000+50351+160000+51342-67533</f>
        <v>919160</v>
      </c>
      <c r="G523" s="533">
        <f>1971200-850000-500000+67533</f>
        <v>688733</v>
      </c>
      <c r="H523" s="533">
        <v>2020500</v>
      </c>
      <c r="I523" s="533">
        <v>2070000</v>
      </c>
      <c r="J523" s="1081">
        <v>0</v>
      </c>
      <c r="K523" s="1081">
        <v>0</v>
      </c>
      <c r="L523" s="1081">
        <v>0</v>
      </c>
      <c r="M523" s="1065">
        <f>SUM(F523:K523)</f>
        <v>5698393</v>
      </c>
      <c r="N523" s="1065">
        <f>SUM(G523:L523)</f>
        <v>4779233</v>
      </c>
      <c r="O523" s="2886"/>
      <c r="P523" s="1018"/>
    </row>
    <row r="524" spans="1:131" s="1007" customFormat="1" ht="23.25" customHeight="1">
      <c r="A524" s="3032" t="s">
        <v>66</v>
      </c>
      <c r="B524" s="1479" t="s">
        <v>189</v>
      </c>
      <c r="C524" s="59" t="s">
        <v>81</v>
      </c>
      <c r="D524" s="105"/>
      <c r="E524" s="246"/>
      <c r="F524" s="246"/>
      <c r="G524" s="246"/>
      <c r="H524" s="246"/>
      <c r="I524" s="246"/>
      <c r="J524" s="246"/>
      <c r="K524" s="246"/>
      <c r="L524" s="246"/>
      <c r="M524" s="45"/>
      <c r="N524" s="45"/>
      <c r="O524" s="3035" t="s">
        <v>199</v>
      </c>
    </row>
    <row r="525" spans="1:131" s="1007" customFormat="1" ht="12">
      <c r="A525" s="3033"/>
      <c r="B525" s="81" t="s">
        <v>10</v>
      </c>
      <c r="C525" s="22"/>
      <c r="D525" s="133">
        <f>+D526</f>
        <v>45601289</v>
      </c>
      <c r="E525" s="108">
        <f t="shared" ref="E525:N526" si="345">+E526</f>
        <v>31401289</v>
      </c>
      <c r="F525" s="108">
        <f t="shared" si="345"/>
        <v>5000000</v>
      </c>
      <c r="G525" s="108">
        <f t="shared" si="345"/>
        <v>5000000</v>
      </c>
      <c r="H525" s="108">
        <f t="shared" si="345"/>
        <v>2700000</v>
      </c>
      <c r="I525" s="108">
        <f t="shared" si="345"/>
        <v>1500000</v>
      </c>
      <c r="J525" s="108"/>
      <c r="K525" s="108"/>
      <c r="L525" s="108"/>
      <c r="M525" s="32">
        <f t="shared" si="345"/>
        <v>14200000</v>
      </c>
      <c r="N525" s="32">
        <f t="shared" si="345"/>
        <v>9200000</v>
      </c>
      <c r="O525" s="3036"/>
      <c r="P525" s="1006"/>
    </row>
    <row r="526" spans="1:131" s="1007" customFormat="1" ht="12">
      <c r="A526" s="3033"/>
      <c r="B526" s="231" t="s">
        <v>24</v>
      </c>
      <c r="C526" s="2893" t="s">
        <v>111</v>
      </c>
      <c r="D526" s="113">
        <f>+D527</f>
        <v>45601289</v>
      </c>
      <c r="E526" s="110">
        <f t="shared" si="345"/>
        <v>31401289</v>
      </c>
      <c r="F526" s="110">
        <f t="shared" si="345"/>
        <v>5000000</v>
      </c>
      <c r="G526" s="110">
        <f t="shared" si="345"/>
        <v>5000000</v>
      </c>
      <c r="H526" s="110">
        <f t="shared" si="345"/>
        <v>2700000</v>
      </c>
      <c r="I526" s="110">
        <f t="shared" si="345"/>
        <v>1500000</v>
      </c>
      <c r="J526" s="1480"/>
      <c r="K526" s="1480"/>
      <c r="L526" s="1480"/>
      <c r="M526" s="112">
        <f>+M527</f>
        <v>14200000</v>
      </c>
      <c r="N526" s="112">
        <f>+N527</f>
        <v>9200000</v>
      </c>
      <c r="O526" s="3036"/>
    </row>
    <row r="527" spans="1:131" s="1007" customFormat="1" thickBot="1">
      <c r="A527" s="3034"/>
      <c r="B527" s="305" t="s">
        <v>12</v>
      </c>
      <c r="C527" s="2888"/>
      <c r="D527" s="251">
        <f>E527+F527+G527+H527+I527+J527+K527+L527</f>
        <v>45601289</v>
      </c>
      <c r="E527" s="289">
        <v>31401289</v>
      </c>
      <c r="F527" s="1481">
        <v>5000000</v>
      </c>
      <c r="G527" s="1481">
        <v>5000000</v>
      </c>
      <c r="H527" s="1481">
        <v>2700000</v>
      </c>
      <c r="I527" s="1481">
        <v>1500000</v>
      </c>
      <c r="J527" s="1482"/>
      <c r="K527" s="1482"/>
      <c r="L527" s="1482"/>
      <c r="M527" s="1065">
        <f>SUM(F527:K527)</f>
        <v>14200000</v>
      </c>
      <c r="N527" s="1065">
        <f>SUM(G527:L527)</f>
        <v>9200000</v>
      </c>
      <c r="O527" s="3037"/>
      <c r="P527" s="1006"/>
    </row>
    <row r="528" spans="1:131" s="1007" customFormat="1" ht="14.25" hidden="1" customHeight="1">
      <c r="A528" s="2881"/>
      <c r="B528" s="287"/>
      <c r="C528" s="59" t="s">
        <v>81</v>
      </c>
      <c r="D528" s="131"/>
      <c r="E528" s="44"/>
      <c r="F528" s="449"/>
      <c r="G528" s="449"/>
      <c r="H528" s="449"/>
      <c r="I528" s="449"/>
      <c r="J528" s="44"/>
      <c r="K528" s="44"/>
      <c r="L528" s="44"/>
      <c r="M528" s="45"/>
      <c r="N528" s="45"/>
      <c r="O528" s="2884" t="s">
        <v>86</v>
      </c>
    </row>
    <row r="529" spans="1:16" s="1007" customFormat="1" ht="13.5" hidden="1" customHeight="1">
      <c r="A529" s="2882"/>
      <c r="B529" s="21" t="s">
        <v>10</v>
      </c>
      <c r="C529" s="22"/>
      <c r="D529" s="129">
        <f>+D530</f>
        <v>0</v>
      </c>
      <c r="E529" s="129">
        <v>0</v>
      </c>
      <c r="F529" s="298">
        <v>0</v>
      </c>
      <c r="G529" s="298">
        <v>0</v>
      </c>
      <c r="H529" s="298">
        <v>0</v>
      </c>
      <c r="I529" s="298">
        <v>0</v>
      </c>
      <c r="J529" s="298">
        <v>0</v>
      </c>
      <c r="K529" s="298">
        <v>0</v>
      </c>
      <c r="L529" s="298">
        <v>0</v>
      </c>
      <c r="M529" s="66">
        <f>+M530</f>
        <v>0</v>
      </c>
      <c r="N529" s="66">
        <f>+N530</f>
        <v>0</v>
      </c>
      <c r="O529" s="2885"/>
      <c r="P529" s="1006" t="e">
        <f>+#REF!+#REF!+F529+G529</f>
        <v>#REF!</v>
      </c>
    </row>
    <row r="530" spans="1:16" s="1007" customFormat="1" ht="12.75" hidden="1" customHeight="1">
      <c r="A530" s="2882"/>
      <c r="B530" s="174" t="s">
        <v>24</v>
      </c>
      <c r="C530" s="2893" t="s">
        <v>84</v>
      </c>
      <c r="D530" s="130">
        <f>+D531+D532</f>
        <v>0</v>
      </c>
      <c r="E530" s="130">
        <v>0</v>
      </c>
      <c r="F530" s="299">
        <v>0</v>
      </c>
      <c r="G530" s="299">
        <v>0</v>
      </c>
      <c r="H530" s="299">
        <v>0</v>
      </c>
      <c r="I530" s="299">
        <v>0</v>
      </c>
      <c r="J530" s="299">
        <v>0</v>
      </c>
      <c r="K530" s="299">
        <v>0</v>
      </c>
      <c r="L530" s="299">
        <v>0</v>
      </c>
      <c r="M530" s="80">
        <f>+M531+M532</f>
        <v>0</v>
      </c>
      <c r="N530" s="80">
        <f>+N531+N532</f>
        <v>0</v>
      </c>
      <c r="O530" s="2885"/>
      <c r="P530" s="1007" t="s">
        <v>219</v>
      </c>
    </row>
    <row r="531" spans="1:16" s="1007" customFormat="1" ht="12" hidden="1">
      <c r="A531" s="2882"/>
      <c r="B531" s="474" t="s">
        <v>12</v>
      </c>
      <c r="C531" s="2947"/>
      <c r="D531" s="251">
        <f>E531+F531+G531+H531+I531+J531+K531+L531</f>
        <v>0</v>
      </c>
      <c r="E531" s="88">
        <v>0</v>
      </c>
      <c r="F531" s="300">
        <v>0</v>
      </c>
      <c r="G531" s="300">
        <v>0</v>
      </c>
      <c r="H531" s="300">
        <v>0</v>
      </c>
      <c r="I531" s="300">
        <v>0</v>
      </c>
      <c r="J531" s="300">
        <v>0</v>
      </c>
      <c r="K531" s="300">
        <v>0</v>
      </c>
      <c r="L531" s="300">
        <v>0</v>
      </c>
      <c r="M531" s="36">
        <f>SUM(E531:H531)</f>
        <v>0</v>
      </c>
      <c r="N531" s="36">
        <f>SUM(F531:I531)</f>
        <v>0</v>
      </c>
      <c r="O531" s="2885"/>
    </row>
    <row r="532" spans="1:16" s="1007" customFormat="1" ht="12" hidden="1">
      <c r="A532" s="2882"/>
      <c r="B532" s="475" t="s">
        <v>15</v>
      </c>
      <c r="C532" s="2922"/>
      <c r="D532" s="251">
        <f>E532+F532+G532+H532+I532+J532+K532+L532</f>
        <v>0</v>
      </c>
      <c r="E532" s="88">
        <v>0</v>
      </c>
      <c r="F532" s="300">
        <v>0</v>
      </c>
      <c r="G532" s="300">
        <v>0</v>
      </c>
      <c r="H532" s="300">
        <v>0</v>
      </c>
      <c r="I532" s="300">
        <v>0</v>
      </c>
      <c r="J532" s="300">
        <v>0</v>
      </c>
      <c r="K532" s="300">
        <v>0</v>
      </c>
      <c r="L532" s="300">
        <v>0</v>
      </c>
      <c r="M532" s="36">
        <f>SUM(E532:H532)</f>
        <v>0</v>
      </c>
      <c r="N532" s="36">
        <f>SUM(F532:I532)</f>
        <v>0</v>
      </c>
      <c r="O532" s="2529"/>
    </row>
    <row r="533" spans="1:16" s="1007" customFormat="1" ht="10.5" hidden="1" customHeight="1">
      <c r="A533" s="2882"/>
      <c r="B533" s="21" t="s">
        <v>22</v>
      </c>
      <c r="C533" s="22"/>
      <c r="D533" s="129">
        <f>+D534</f>
        <v>0</v>
      </c>
      <c r="E533" s="129">
        <v>0</v>
      </c>
      <c r="F533" s="298">
        <v>0</v>
      </c>
      <c r="G533" s="298">
        <v>0</v>
      </c>
      <c r="H533" s="298">
        <v>0</v>
      </c>
      <c r="I533" s="298">
        <v>0</v>
      </c>
      <c r="J533" s="298">
        <v>0</v>
      </c>
      <c r="K533" s="298">
        <v>0</v>
      </c>
      <c r="L533" s="298">
        <v>0</v>
      </c>
      <c r="M533" s="2919" t="s">
        <v>23</v>
      </c>
      <c r="N533" s="2919" t="s">
        <v>23</v>
      </c>
      <c r="O533" s="2948" t="s">
        <v>102</v>
      </c>
    </row>
    <row r="534" spans="1:16" s="1007" customFormat="1" ht="12.75" hidden="1" customHeight="1">
      <c r="A534" s="2882"/>
      <c r="B534" s="174" t="s">
        <v>24</v>
      </c>
      <c r="C534" s="2889" t="s">
        <v>84</v>
      </c>
      <c r="D534" s="130">
        <f>+D535</f>
        <v>0</v>
      </c>
      <c r="E534" s="130">
        <v>0</v>
      </c>
      <c r="F534" s="299">
        <v>0</v>
      </c>
      <c r="G534" s="299">
        <v>0</v>
      </c>
      <c r="H534" s="299">
        <v>0</v>
      </c>
      <c r="I534" s="299">
        <v>0</v>
      </c>
      <c r="J534" s="299">
        <v>0</v>
      </c>
      <c r="K534" s="299">
        <v>0</v>
      </c>
      <c r="L534" s="299">
        <v>0</v>
      </c>
      <c r="M534" s="2913"/>
      <c r="N534" s="2913"/>
      <c r="O534" s="2885"/>
    </row>
    <row r="535" spans="1:16" s="1007" customFormat="1" ht="13.5" hidden="1" customHeight="1" thickBot="1">
      <c r="A535" s="2883"/>
      <c r="B535" s="473" t="s">
        <v>15</v>
      </c>
      <c r="C535" s="2896"/>
      <c r="D535" s="251">
        <f>E535+F535+G535+H535+I535+J535+K535+L535</f>
        <v>0</v>
      </c>
      <c r="E535" s="78">
        <v>0</v>
      </c>
      <c r="F535" s="300">
        <v>0</v>
      </c>
      <c r="G535" s="300">
        <v>0</v>
      </c>
      <c r="H535" s="300">
        <v>0</v>
      </c>
      <c r="I535" s="300">
        <v>0</v>
      </c>
      <c r="J535" s="300">
        <v>0</v>
      </c>
      <c r="K535" s="300">
        <v>0</v>
      </c>
      <c r="L535" s="300">
        <v>0</v>
      </c>
      <c r="M535" s="2914"/>
      <c r="N535" s="2914"/>
      <c r="O535" s="2886"/>
    </row>
    <row r="536" spans="1:16" s="1007" customFormat="1" ht="25.5" customHeight="1">
      <c r="A536" s="2881" t="s">
        <v>67</v>
      </c>
      <c r="B536" s="287" t="s">
        <v>498</v>
      </c>
      <c r="C536" s="59" t="s">
        <v>81</v>
      </c>
      <c r="D536" s="42"/>
      <c r="E536" s="42"/>
      <c r="F536" s="44"/>
      <c r="G536" s="44"/>
      <c r="H536" s="44"/>
      <c r="I536" s="44"/>
      <c r="J536" s="44"/>
      <c r="K536" s="44"/>
      <c r="L536" s="44"/>
      <c r="M536" s="45"/>
      <c r="N536" s="45"/>
      <c r="O536" s="2884" t="s">
        <v>86</v>
      </c>
    </row>
    <row r="537" spans="1:16" s="1007" customFormat="1" ht="12.75" customHeight="1">
      <c r="A537" s="2882"/>
      <c r="B537" s="21" t="s">
        <v>10</v>
      </c>
      <c r="C537" s="22"/>
      <c r="D537" s="129">
        <f>+D538</f>
        <v>1778306</v>
      </c>
      <c r="E537" s="129">
        <f t="shared" ref="E537:G538" si="346">+E538</f>
        <v>503620</v>
      </c>
      <c r="F537" s="298">
        <f t="shared" si="346"/>
        <v>0</v>
      </c>
      <c r="G537" s="129">
        <f t="shared" si="346"/>
        <v>1274686</v>
      </c>
      <c r="H537" s="298">
        <v>0</v>
      </c>
      <c r="I537" s="298">
        <v>0</v>
      </c>
      <c r="J537" s="298">
        <v>0</v>
      </c>
      <c r="K537" s="298">
        <v>0</v>
      </c>
      <c r="L537" s="298">
        <v>0</v>
      </c>
      <c r="M537" s="66">
        <f>+M538</f>
        <v>1274686</v>
      </c>
      <c r="N537" s="66">
        <f>+N538</f>
        <v>1274686</v>
      </c>
      <c r="O537" s="2885"/>
      <c r="P537" s="1006"/>
    </row>
    <row r="538" spans="1:16" s="1007" customFormat="1" ht="12.75" customHeight="1">
      <c r="A538" s="2882"/>
      <c r="B538" s="174" t="s">
        <v>24</v>
      </c>
      <c r="C538" s="2893" t="s">
        <v>84</v>
      </c>
      <c r="D538" s="130">
        <f>+D539</f>
        <v>1778306</v>
      </c>
      <c r="E538" s="130">
        <f t="shared" si="346"/>
        <v>503620</v>
      </c>
      <c r="F538" s="299">
        <f t="shared" si="346"/>
        <v>0</v>
      </c>
      <c r="G538" s="130">
        <f t="shared" si="346"/>
        <v>1274686</v>
      </c>
      <c r="H538" s="299">
        <v>0</v>
      </c>
      <c r="I538" s="299">
        <v>0</v>
      </c>
      <c r="J538" s="299">
        <v>0</v>
      </c>
      <c r="K538" s="299">
        <v>0</v>
      </c>
      <c r="L538" s="299">
        <v>0</v>
      </c>
      <c r="M538" s="80">
        <f>+M539</f>
        <v>1274686</v>
      </c>
      <c r="N538" s="80">
        <f>+N539</f>
        <v>1274686</v>
      </c>
      <c r="O538" s="2885"/>
    </row>
    <row r="539" spans="1:16" s="1007" customFormat="1" ht="13.5" customHeight="1">
      <c r="A539" s="2882"/>
      <c r="B539" s="1698" t="s">
        <v>12</v>
      </c>
      <c r="C539" s="2894"/>
      <c r="D539" s="251">
        <f>E539+F539+G539+H539+I539+J539+K539+L539</f>
        <v>1778306</v>
      </c>
      <c r="E539" s="289">
        <f>503620</f>
        <v>503620</v>
      </c>
      <c r="F539" s="288">
        <f>1239686+35000-1274686</f>
        <v>0</v>
      </c>
      <c r="G539" s="2503">
        <v>1274686</v>
      </c>
      <c r="H539" s="300">
        <v>0</v>
      </c>
      <c r="I539" s="300">
        <v>0</v>
      </c>
      <c r="J539" s="300">
        <v>0</v>
      </c>
      <c r="K539" s="300">
        <v>0</v>
      </c>
      <c r="L539" s="300">
        <v>0</v>
      </c>
      <c r="M539" s="1065">
        <f>SUM(F539:K539)</f>
        <v>1274686</v>
      </c>
      <c r="N539" s="1065">
        <f>SUM(G539:L539)</f>
        <v>1274686</v>
      </c>
      <c r="O539" s="2899"/>
    </row>
    <row r="540" spans="1:16" s="1007" customFormat="1" ht="12.75" customHeight="1">
      <c r="A540" s="2882"/>
      <c r="B540" s="83" t="s">
        <v>22</v>
      </c>
      <c r="C540" s="481"/>
      <c r="D540" s="129">
        <f>+D541</f>
        <v>35000</v>
      </c>
      <c r="E540" s="298">
        <v>0</v>
      </c>
      <c r="F540" s="129">
        <f t="shared" ref="F540:L541" si="347">+F541</f>
        <v>35000</v>
      </c>
      <c r="G540" s="1662">
        <f t="shared" si="347"/>
        <v>0</v>
      </c>
      <c r="H540" s="298">
        <f t="shared" si="347"/>
        <v>0</v>
      </c>
      <c r="I540" s="298">
        <f t="shared" si="347"/>
        <v>0</v>
      </c>
      <c r="J540" s="298">
        <f t="shared" si="347"/>
        <v>0</v>
      </c>
      <c r="K540" s="298">
        <f t="shared" si="347"/>
        <v>0</v>
      </c>
      <c r="L540" s="298">
        <f t="shared" si="347"/>
        <v>0</v>
      </c>
      <c r="M540" s="2880" t="s">
        <v>23</v>
      </c>
      <c r="N540" s="2880" t="s">
        <v>23</v>
      </c>
      <c r="O540" s="2527"/>
    </row>
    <row r="541" spans="1:16" s="1007" customFormat="1" ht="12.75" customHeight="1">
      <c r="A541" s="2882"/>
      <c r="B541" s="174" t="s">
        <v>24</v>
      </c>
      <c r="C541" s="2893" t="s">
        <v>84</v>
      </c>
      <c r="D541" s="130">
        <f>+D542</f>
        <v>35000</v>
      </c>
      <c r="E541" s="299">
        <v>0</v>
      </c>
      <c r="F541" s="130">
        <f t="shared" si="347"/>
        <v>35000</v>
      </c>
      <c r="G541" s="299">
        <f t="shared" si="347"/>
        <v>0</v>
      </c>
      <c r="H541" s="299">
        <f t="shared" si="347"/>
        <v>0</v>
      </c>
      <c r="I541" s="299">
        <f t="shared" si="347"/>
        <v>0</v>
      </c>
      <c r="J541" s="299">
        <f t="shared" si="347"/>
        <v>0</v>
      </c>
      <c r="K541" s="299">
        <f t="shared" si="347"/>
        <v>0</v>
      </c>
      <c r="L541" s="299">
        <f t="shared" si="347"/>
        <v>0</v>
      </c>
      <c r="M541" s="2878"/>
      <c r="N541" s="2878"/>
      <c r="O541" s="2527" t="s">
        <v>102</v>
      </c>
    </row>
    <row r="542" spans="1:16" s="1007" customFormat="1" ht="13.5" customHeight="1" thickBot="1">
      <c r="A542" s="2883"/>
      <c r="B542" s="477" t="s">
        <v>12</v>
      </c>
      <c r="C542" s="2894"/>
      <c r="D542" s="251">
        <f>E542+F542+G542+H542+I542+J542+K542+L542</f>
        <v>35000</v>
      </c>
      <c r="E542" s="2615">
        <v>0</v>
      </c>
      <c r="F542" s="1481">
        <f>35000</f>
        <v>35000</v>
      </c>
      <c r="G542" s="312">
        <v>0</v>
      </c>
      <c r="H542" s="312">
        <v>0</v>
      </c>
      <c r="I542" s="312">
        <v>0</v>
      </c>
      <c r="J542" s="312">
        <v>0</v>
      </c>
      <c r="K542" s="312">
        <v>0</v>
      </c>
      <c r="L542" s="312">
        <v>0</v>
      </c>
      <c r="M542" s="2879"/>
      <c r="N542" s="2879"/>
      <c r="O542" s="2527"/>
    </row>
    <row r="543" spans="1:16" s="1007" customFormat="1" ht="22.5" hidden="1" customHeight="1">
      <c r="A543" s="2881"/>
      <c r="B543" s="287"/>
      <c r="C543" s="59" t="s">
        <v>81</v>
      </c>
      <c r="D543" s="131"/>
      <c r="E543" s="44"/>
      <c r="F543" s="44"/>
      <c r="G543" s="44"/>
      <c r="H543" s="241"/>
      <c r="I543" s="100"/>
      <c r="J543" s="241"/>
      <c r="K543" s="241"/>
      <c r="L543" s="241"/>
      <c r="M543" s="45"/>
      <c r="N543" s="45"/>
      <c r="O543" s="2884" t="s">
        <v>86</v>
      </c>
    </row>
    <row r="544" spans="1:16" s="1007" customFormat="1" ht="12.75" hidden="1" customHeight="1">
      <c r="A544" s="2882"/>
      <c r="B544" s="21" t="s">
        <v>10</v>
      </c>
      <c r="C544" s="22"/>
      <c r="D544" s="129">
        <f>+D545</f>
        <v>0</v>
      </c>
      <c r="E544" s="129">
        <v>0</v>
      </c>
      <c r="F544" s="298">
        <v>0</v>
      </c>
      <c r="G544" s="298">
        <v>0</v>
      </c>
      <c r="H544" s="298">
        <v>0</v>
      </c>
      <c r="I544" s="298">
        <v>0</v>
      </c>
      <c r="J544" s="298">
        <v>0</v>
      </c>
      <c r="K544" s="298">
        <v>0</v>
      </c>
      <c r="L544" s="298">
        <v>0</v>
      </c>
      <c r="M544" s="208">
        <f>+M545</f>
        <v>0</v>
      </c>
      <c r="N544" s="208">
        <f>+N545</f>
        <v>0</v>
      </c>
      <c r="O544" s="2885"/>
      <c r="P544" s="1006" t="e">
        <f>+#REF!+#REF!+F544+G544</f>
        <v>#REF!</v>
      </c>
    </row>
    <row r="545" spans="1:16" s="1007" customFormat="1" ht="12.75" hidden="1" customHeight="1">
      <c r="A545" s="2882"/>
      <c r="B545" s="174" t="s">
        <v>24</v>
      </c>
      <c r="C545" s="2893" t="s">
        <v>84</v>
      </c>
      <c r="D545" s="130">
        <f>+D546+D547</f>
        <v>0</v>
      </c>
      <c r="E545" s="130">
        <v>0</v>
      </c>
      <c r="F545" s="299">
        <v>0</v>
      </c>
      <c r="G545" s="299">
        <v>0</v>
      </c>
      <c r="H545" s="299">
        <v>0</v>
      </c>
      <c r="I545" s="299">
        <v>0</v>
      </c>
      <c r="J545" s="299">
        <v>0</v>
      </c>
      <c r="K545" s="299">
        <v>0</v>
      </c>
      <c r="L545" s="299">
        <v>0</v>
      </c>
      <c r="M545" s="80">
        <f>+M546</f>
        <v>0</v>
      </c>
      <c r="N545" s="80">
        <f>+N546</f>
        <v>0</v>
      </c>
      <c r="O545" s="2885"/>
    </row>
    <row r="546" spans="1:16" s="1007" customFormat="1" ht="12.75" hidden="1" customHeight="1">
      <c r="A546" s="2882"/>
      <c r="B546" s="474" t="s">
        <v>12</v>
      </c>
      <c r="C546" s="2947"/>
      <c r="D546" s="251">
        <f>E546+F546+G546+H546+I546+J546+K546+L546</f>
        <v>0</v>
      </c>
      <c r="E546" s="289">
        <v>0</v>
      </c>
      <c r="F546" s="300">
        <v>0</v>
      </c>
      <c r="G546" s="300">
        <v>0</v>
      </c>
      <c r="H546" s="300">
        <v>0</v>
      </c>
      <c r="I546" s="300">
        <v>0</v>
      </c>
      <c r="J546" s="300">
        <v>0</v>
      </c>
      <c r="K546" s="300">
        <v>0</v>
      </c>
      <c r="L546" s="300">
        <v>0</v>
      </c>
      <c r="M546" s="36">
        <f>SUM(E546:H546)</f>
        <v>0</v>
      </c>
      <c r="N546" s="36">
        <f>SUM(F546:I546)</f>
        <v>0</v>
      </c>
      <c r="O546" s="2885"/>
    </row>
    <row r="547" spans="1:16" s="1007" customFormat="1" ht="12.75" hidden="1" customHeight="1">
      <c r="A547" s="2882"/>
      <c r="B547" s="475" t="s">
        <v>15</v>
      </c>
      <c r="C547" s="2922"/>
      <c r="D547" s="251">
        <f>E547+F547+G547+H547+I547+J547+K547+L547</f>
        <v>0</v>
      </c>
      <c r="E547" s="289">
        <v>0</v>
      </c>
      <c r="F547" s="300">
        <v>0</v>
      </c>
      <c r="G547" s="300">
        <v>0</v>
      </c>
      <c r="H547" s="300">
        <v>0</v>
      </c>
      <c r="I547" s="300">
        <v>0</v>
      </c>
      <c r="J547" s="300">
        <v>0</v>
      </c>
      <c r="K547" s="300">
        <v>0</v>
      </c>
      <c r="L547" s="300">
        <v>0</v>
      </c>
      <c r="M547" s="36">
        <f>SUM(E547:H547)</f>
        <v>0</v>
      </c>
      <c r="N547" s="36">
        <f>SUM(F547:I547)</f>
        <v>0</v>
      </c>
      <c r="O547" s="2529"/>
    </row>
    <row r="548" spans="1:16" s="1007" customFormat="1" ht="12.75" hidden="1" customHeight="1">
      <c r="A548" s="2882"/>
      <c r="B548" s="21" t="s">
        <v>22</v>
      </c>
      <c r="C548" s="22"/>
      <c r="D548" s="129">
        <f>+D549</f>
        <v>0</v>
      </c>
      <c r="E548" s="129">
        <v>0</v>
      </c>
      <c r="F548" s="298">
        <v>0</v>
      </c>
      <c r="G548" s="298">
        <v>0</v>
      </c>
      <c r="H548" s="298">
        <v>0</v>
      </c>
      <c r="I548" s="298">
        <v>0</v>
      </c>
      <c r="J548" s="298">
        <v>0</v>
      </c>
      <c r="K548" s="298">
        <v>0</v>
      </c>
      <c r="L548" s="298">
        <v>0</v>
      </c>
      <c r="M548" s="2877" t="s">
        <v>23</v>
      </c>
      <c r="N548" s="2877" t="s">
        <v>23</v>
      </c>
      <c r="O548" s="2948" t="s">
        <v>102</v>
      </c>
    </row>
    <row r="549" spans="1:16" s="1007" customFormat="1" ht="12.75" hidden="1" customHeight="1">
      <c r="A549" s="2882"/>
      <c r="B549" s="174" t="s">
        <v>24</v>
      </c>
      <c r="C549" s="2889" t="s">
        <v>84</v>
      </c>
      <c r="D549" s="130">
        <f>+D550</f>
        <v>0</v>
      </c>
      <c r="E549" s="130">
        <v>0</v>
      </c>
      <c r="F549" s="299">
        <v>0</v>
      </c>
      <c r="G549" s="299">
        <v>0</v>
      </c>
      <c r="H549" s="299">
        <v>0</v>
      </c>
      <c r="I549" s="299">
        <v>0</v>
      </c>
      <c r="J549" s="299">
        <v>0</v>
      </c>
      <c r="K549" s="299">
        <v>0</v>
      </c>
      <c r="L549" s="299">
        <v>0</v>
      </c>
      <c r="M549" s="2878"/>
      <c r="N549" s="2878"/>
      <c r="O549" s="2885"/>
    </row>
    <row r="550" spans="1:16" s="1007" customFormat="1" ht="13.5" hidden="1" customHeight="1" thickBot="1">
      <c r="A550" s="2883"/>
      <c r="B550" s="473" t="s">
        <v>15</v>
      </c>
      <c r="C550" s="2896"/>
      <c r="D550" s="251">
        <f>E550+F550+G550+H550+I550+J550+K550+L550</f>
        <v>0</v>
      </c>
      <c r="E550" s="289"/>
      <c r="F550" s="300">
        <v>0</v>
      </c>
      <c r="G550" s="300">
        <v>0</v>
      </c>
      <c r="H550" s="300">
        <v>0</v>
      </c>
      <c r="I550" s="300">
        <v>0</v>
      </c>
      <c r="J550" s="300">
        <v>0</v>
      </c>
      <c r="K550" s="300">
        <v>0</v>
      </c>
      <c r="L550" s="300">
        <v>0</v>
      </c>
      <c r="M550" s="2879"/>
      <c r="N550" s="2879"/>
      <c r="O550" s="2886"/>
    </row>
    <row r="551" spans="1:16" s="1007" customFormat="1" ht="26.25" hidden="1" customHeight="1">
      <c r="A551" s="2881"/>
      <c r="B551" s="287"/>
      <c r="C551" s="59"/>
      <c r="D551" s="131"/>
      <c r="E551" s="44"/>
      <c r="F551" s="44"/>
      <c r="G551" s="44"/>
      <c r="H551" s="44"/>
      <c r="I551" s="101"/>
      <c r="J551" s="241"/>
      <c r="K551" s="241"/>
      <c r="L551" s="241"/>
      <c r="M551" s="241"/>
      <c r="N551" s="241"/>
      <c r="O551" s="2884" t="s">
        <v>86</v>
      </c>
    </row>
    <row r="552" spans="1:16" s="1007" customFormat="1" ht="12" hidden="1">
      <c r="A552" s="2882"/>
      <c r="B552" s="21" t="s">
        <v>10</v>
      </c>
      <c r="C552" s="481"/>
      <c r="D552" s="466"/>
      <c r="E552" s="467"/>
      <c r="F552" s="467"/>
      <c r="G552" s="467"/>
      <c r="H552" s="467"/>
      <c r="I552" s="467"/>
      <c r="J552" s="467"/>
      <c r="K552" s="467"/>
      <c r="L552" s="467"/>
      <c r="M552" s="487">
        <f>+M553</f>
        <v>0</v>
      </c>
      <c r="N552" s="487">
        <f>+N553</f>
        <v>0</v>
      </c>
      <c r="O552" s="2885"/>
    </row>
    <row r="553" spans="1:16" s="1007" customFormat="1" ht="12" hidden="1">
      <c r="A553" s="2882"/>
      <c r="B553" s="174" t="s">
        <v>24</v>
      </c>
      <c r="C553" s="2895" t="s">
        <v>84</v>
      </c>
      <c r="D553" s="486"/>
      <c r="E553" s="488"/>
      <c r="F553" s="488"/>
      <c r="G553" s="488"/>
      <c r="H553" s="488"/>
      <c r="I553" s="488"/>
      <c r="J553" s="488"/>
      <c r="K553" s="488"/>
      <c r="L553" s="488"/>
      <c r="M553" s="489">
        <f>+M554</f>
        <v>0</v>
      </c>
      <c r="N553" s="489">
        <f>+N554</f>
        <v>0</v>
      </c>
      <c r="O553" s="2885"/>
    </row>
    <row r="554" spans="1:16" s="1007" customFormat="1" ht="12" hidden="1">
      <c r="A554" s="2882"/>
      <c r="B554" s="476" t="s">
        <v>12</v>
      </c>
      <c r="C554" s="2890"/>
      <c r="D554" s="1024"/>
      <c r="E554" s="1024"/>
      <c r="F554" s="450"/>
      <c r="G554" s="450"/>
      <c r="H554" s="450"/>
      <c r="I554" s="450"/>
      <c r="J554" s="450"/>
      <c r="K554" s="450"/>
      <c r="L554" s="450"/>
      <c r="M554" s="36">
        <f>SUM(E554:K554)</f>
        <v>0</v>
      </c>
      <c r="N554" s="36">
        <f>SUM(F554:L554)</f>
        <v>0</v>
      </c>
      <c r="O554" s="2885"/>
    </row>
    <row r="555" spans="1:16" s="1007" customFormat="1" ht="12" hidden="1">
      <c r="A555" s="2882"/>
      <c r="B555" s="21" t="s">
        <v>22</v>
      </c>
      <c r="C555" s="481"/>
      <c r="D555" s="466"/>
      <c r="E555" s="467"/>
      <c r="F555" s="467"/>
      <c r="G555" s="467"/>
      <c r="H555" s="467"/>
      <c r="I555" s="467"/>
      <c r="J555" s="467"/>
      <c r="K555" s="467"/>
      <c r="L555" s="467"/>
      <c r="M555" s="2880" t="s">
        <v>23</v>
      </c>
      <c r="N555" s="2880" t="s">
        <v>23</v>
      </c>
      <c r="O555" s="2937" t="s">
        <v>102</v>
      </c>
    </row>
    <row r="556" spans="1:16" s="1007" customFormat="1" ht="12" hidden="1">
      <c r="A556" s="2882"/>
      <c r="B556" s="174" t="s">
        <v>24</v>
      </c>
      <c r="C556" s="2895">
        <v>75802</v>
      </c>
      <c r="D556" s="486"/>
      <c r="E556" s="488"/>
      <c r="F556" s="488"/>
      <c r="G556" s="488"/>
      <c r="H556" s="488"/>
      <c r="I556" s="488"/>
      <c r="J556" s="488"/>
      <c r="K556" s="488"/>
      <c r="L556" s="488"/>
      <c r="M556" s="2878"/>
      <c r="N556" s="2878"/>
      <c r="O556" s="2885"/>
    </row>
    <row r="557" spans="1:16" s="1007" customFormat="1" hidden="1" thickBot="1">
      <c r="A557" s="2883"/>
      <c r="B557" s="473" t="s">
        <v>277</v>
      </c>
      <c r="C557" s="2896"/>
      <c r="D557" s="1024"/>
      <c r="E557" s="1024"/>
      <c r="F557" s="312"/>
      <c r="G557" s="312"/>
      <c r="H557" s="312"/>
      <c r="I557" s="312"/>
      <c r="J557" s="312"/>
      <c r="K557" s="312"/>
      <c r="L557" s="312"/>
      <c r="M557" s="2879"/>
      <c r="N557" s="2879"/>
      <c r="O557" s="2886"/>
    </row>
    <row r="558" spans="1:16" s="1007" customFormat="1" ht="15" customHeight="1">
      <c r="A558" s="2881" t="s">
        <v>115</v>
      </c>
      <c r="B558" s="287" t="s">
        <v>438</v>
      </c>
      <c r="C558" s="59" t="s">
        <v>109</v>
      </c>
      <c r="D558" s="131"/>
      <c r="E558" s="44"/>
      <c r="F558" s="44"/>
      <c r="G558" s="44"/>
      <c r="H558" s="44"/>
      <c r="I558" s="101"/>
      <c r="J558" s="44"/>
      <c r="K558" s="44"/>
      <c r="L558" s="44"/>
      <c r="M558" s="45"/>
      <c r="N558" s="45"/>
      <c r="O558" s="2884" t="s">
        <v>102</v>
      </c>
    </row>
    <row r="559" spans="1:16" s="1007" customFormat="1" ht="12">
      <c r="A559" s="2882"/>
      <c r="B559" s="728" t="s">
        <v>10</v>
      </c>
      <c r="C559" s="829"/>
      <c r="D559" s="708">
        <f>+D560</f>
        <v>23944839</v>
      </c>
      <c r="E559" s="708">
        <f t="shared" ref="E559:J560" si="348">+E560</f>
        <v>6358217</v>
      </c>
      <c r="F559" s="708">
        <f t="shared" si="348"/>
        <v>2586622</v>
      </c>
      <c r="G559" s="708">
        <f t="shared" si="348"/>
        <v>3600000</v>
      </c>
      <c r="H559" s="708">
        <f t="shared" si="348"/>
        <v>3800000</v>
      </c>
      <c r="I559" s="708">
        <f t="shared" si="348"/>
        <v>3800000</v>
      </c>
      <c r="J559" s="708">
        <f t="shared" si="348"/>
        <v>3800000</v>
      </c>
      <c r="K559" s="1079">
        <v>0</v>
      </c>
      <c r="L559" s="1079">
        <v>0</v>
      </c>
      <c r="M559" s="2086">
        <f>+M560</f>
        <v>17586622</v>
      </c>
      <c r="N559" s="2086">
        <f>+N560</f>
        <v>15000000</v>
      </c>
      <c r="O559" s="2885"/>
      <c r="P559" s="1006"/>
    </row>
    <row r="560" spans="1:16" s="1007" customFormat="1" ht="12">
      <c r="A560" s="2882"/>
      <c r="B560" s="694" t="s">
        <v>24</v>
      </c>
      <c r="C560" s="2892" t="s">
        <v>98</v>
      </c>
      <c r="D560" s="709">
        <f>+D561</f>
        <v>23944839</v>
      </c>
      <c r="E560" s="709">
        <f t="shared" si="348"/>
        <v>6358217</v>
      </c>
      <c r="F560" s="709">
        <f t="shared" si="348"/>
        <v>2586622</v>
      </c>
      <c r="G560" s="709">
        <f t="shared" si="348"/>
        <v>3600000</v>
      </c>
      <c r="H560" s="709">
        <f t="shared" si="348"/>
        <v>3800000</v>
      </c>
      <c r="I560" s="709">
        <f t="shared" si="348"/>
        <v>3800000</v>
      </c>
      <c r="J560" s="709">
        <f t="shared" si="348"/>
        <v>3800000</v>
      </c>
      <c r="K560" s="1077">
        <v>0</v>
      </c>
      <c r="L560" s="1077">
        <v>0</v>
      </c>
      <c r="M560" s="819">
        <f>+M561</f>
        <v>17586622</v>
      </c>
      <c r="N560" s="819">
        <f>+N561</f>
        <v>15000000</v>
      </c>
      <c r="O560" s="2885"/>
    </row>
    <row r="561" spans="1:16" s="1007" customFormat="1" thickBot="1">
      <c r="A561" s="2883"/>
      <c r="B561" s="477" t="s">
        <v>12</v>
      </c>
      <c r="C561" s="2896"/>
      <c r="D561" s="251">
        <f>E561+F561+G561+H561+I561+J561+K561+L561</f>
        <v>23944839</v>
      </c>
      <c r="E561" s="289">
        <v>6358217</v>
      </c>
      <c r="F561" s="1078">
        <f>3000000+500000-913378</f>
        <v>2586622</v>
      </c>
      <c r="G561" s="1078">
        <f>3000000+500000+100000</f>
        <v>3600000</v>
      </c>
      <c r="H561" s="1078">
        <f>3000000+500000+300000</f>
        <v>3800000</v>
      </c>
      <c r="I561" s="1078">
        <f>3000000+500000+300000</f>
        <v>3800000</v>
      </c>
      <c r="J561" s="1078">
        <f>3000000+500000+300000</f>
        <v>3800000</v>
      </c>
      <c r="K561" s="1081">
        <v>0</v>
      </c>
      <c r="L561" s="1081">
        <v>0</v>
      </c>
      <c r="M561" s="1065">
        <f>SUM(F561:K561)</f>
        <v>17586622</v>
      </c>
      <c r="N561" s="1065">
        <f>SUM(G561:L561)</f>
        <v>15000000</v>
      </c>
      <c r="O561" s="2886"/>
    </row>
    <row r="562" spans="1:16" s="1007" customFormat="1" ht="17.25" customHeight="1">
      <c r="A562" s="2881" t="s">
        <v>87</v>
      </c>
      <c r="B562" s="287" t="s">
        <v>188</v>
      </c>
      <c r="C562" s="59" t="s">
        <v>109</v>
      </c>
      <c r="D562" s="131"/>
      <c r="E562" s="44"/>
      <c r="F562" s="44"/>
      <c r="G562" s="44"/>
      <c r="H562" s="44"/>
      <c r="I562" s="101"/>
      <c r="J562" s="527"/>
      <c r="K562" s="527"/>
      <c r="L562" s="527"/>
      <c r="M562" s="45"/>
      <c r="N562" s="45"/>
      <c r="O562" s="2884" t="s">
        <v>102</v>
      </c>
    </row>
    <row r="563" spans="1:16" s="1007" customFormat="1" ht="12">
      <c r="A563" s="2882"/>
      <c r="B563" s="728" t="s">
        <v>10</v>
      </c>
      <c r="C563" s="2053"/>
      <c r="D563" s="2054">
        <f>+D564</f>
        <v>673140462</v>
      </c>
      <c r="E563" s="2054">
        <f t="shared" ref="E563:I563" si="349">+E564</f>
        <v>319820454</v>
      </c>
      <c r="F563" s="2054">
        <f t="shared" si="349"/>
        <v>83820008</v>
      </c>
      <c r="G563" s="2054">
        <f t="shared" si="349"/>
        <v>88000000</v>
      </c>
      <c r="H563" s="2054">
        <f t="shared" si="349"/>
        <v>91500000</v>
      </c>
      <c r="I563" s="2054">
        <f t="shared" si="349"/>
        <v>90000000</v>
      </c>
      <c r="J563" s="2060">
        <v>0</v>
      </c>
      <c r="K563" s="2060">
        <v>0</v>
      </c>
      <c r="L563" s="2060">
        <v>0</v>
      </c>
      <c r="M563" s="2131">
        <f>+M564</f>
        <v>353320008</v>
      </c>
      <c r="N563" s="2131">
        <f>+N564</f>
        <v>269500000</v>
      </c>
      <c r="O563" s="2885"/>
      <c r="P563" s="1006"/>
    </row>
    <row r="564" spans="1:16" s="1007" customFormat="1" ht="12">
      <c r="A564" s="2882"/>
      <c r="B564" s="694" t="s">
        <v>24</v>
      </c>
      <c r="C564" s="2892" t="s">
        <v>98</v>
      </c>
      <c r="D564" s="2055">
        <f>+D565+D566</f>
        <v>673140462</v>
      </c>
      <c r="E564" s="2055">
        <f t="shared" ref="E564" si="350">+E565+E566</f>
        <v>319820454</v>
      </c>
      <c r="F564" s="2055">
        <f t="shared" ref="F564:G564" si="351">+F565+F566</f>
        <v>83820008</v>
      </c>
      <c r="G564" s="2055">
        <f t="shared" si="351"/>
        <v>88000000</v>
      </c>
      <c r="H564" s="2055">
        <f>+H565+H566</f>
        <v>91500000</v>
      </c>
      <c r="I564" s="2055">
        <f>+I565+I566</f>
        <v>90000000</v>
      </c>
      <c r="J564" s="2058">
        <v>0</v>
      </c>
      <c r="K564" s="2058">
        <v>0</v>
      </c>
      <c r="L564" s="2058">
        <v>0</v>
      </c>
      <c r="M564" s="2022">
        <f>+M565+M566</f>
        <v>353320008</v>
      </c>
      <c r="N564" s="2022">
        <f>+N565+N566</f>
        <v>269500000</v>
      </c>
      <c r="O564" s="2885"/>
    </row>
    <row r="565" spans="1:16" s="1007" customFormat="1" ht="12">
      <c r="A565" s="2882"/>
      <c r="B565" s="1698" t="s">
        <v>12</v>
      </c>
      <c r="C565" s="2891"/>
      <c r="D565" s="1034">
        <f>E565+F565+G565+H565+I565+J565+K565+L565</f>
        <v>666626690</v>
      </c>
      <c r="E565" s="1990">
        <v>315126690</v>
      </c>
      <c r="F565" s="2045">
        <f>79000000+2000000+1000000</f>
        <v>82000000</v>
      </c>
      <c r="G565" s="2045">
        <f>79000000+2000000+7000000</f>
        <v>88000000</v>
      </c>
      <c r="H565" s="2045">
        <f>79000000+2000000+10500000</f>
        <v>91500000</v>
      </c>
      <c r="I565" s="2045">
        <f>79000000+2000000+9000000</f>
        <v>90000000</v>
      </c>
      <c r="J565" s="1973">
        <v>0</v>
      </c>
      <c r="K565" s="1973">
        <v>0</v>
      </c>
      <c r="L565" s="1973">
        <v>0</v>
      </c>
      <c r="M565" s="2047">
        <f>SUM(F565:K565)</f>
        <v>351500000</v>
      </c>
      <c r="N565" s="2047">
        <f>SUM(G565:L565)</f>
        <v>269500000</v>
      </c>
      <c r="O565" s="2885"/>
    </row>
    <row r="566" spans="1:16" s="1007" customFormat="1" ht="12">
      <c r="A566" s="2882"/>
      <c r="B566" s="1695" t="s">
        <v>15</v>
      </c>
      <c r="C566" s="2526"/>
      <c r="D566" s="1034">
        <f>E566+F566+G566+H566+I566+J566+K566+L566</f>
        <v>6513772</v>
      </c>
      <c r="E566" s="1990">
        <v>4693764</v>
      </c>
      <c r="F566" s="1699">
        <f>1397794+422214</f>
        <v>1820008</v>
      </c>
      <c r="G566" s="1699">
        <v>0</v>
      </c>
      <c r="H566" s="1700">
        <v>0</v>
      </c>
      <c r="I566" s="1700">
        <v>0</v>
      </c>
      <c r="J566" s="528">
        <v>0</v>
      </c>
      <c r="K566" s="528">
        <v>0</v>
      </c>
      <c r="L566" s="528">
        <v>0</v>
      </c>
      <c r="M566" s="2047">
        <f>SUM(F566:K566)</f>
        <v>1820008</v>
      </c>
      <c r="N566" s="2047">
        <f>SUM(G566:L566)</f>
        <v>0</v>
      </c>
      <c r="O566" s="2885"/>
    </row>
    <row r="567" spans="1:16" s="1007" customFormat="1" ht="12">
      <c r="A567" s="2882"/>
      <c r="B567" s="728" t="s">
        <v>22</v>
      </c>
      <c r="C567" s="2053"/>
      <c r="D567" s="2054">
        <f>+D568</f>
        <v>105998423</v>
      </c>
      <c r="E567" s="2054">
        <f t="shared" ref="E567:I567" si="352">+E568</f>
        <v>27872715</v>
      </c>
      <c r="F567" s="2132">
        <f t="shared" si="352"/>
        <v>15394808</v>
      </c>
      <c r="G567" s="2132">
        <f t="shared" si="352"/>
        <v>19458300</v>
      </c>
      <c r="H567" s="2132">
        <f t="shared" si="352"/>
        <v>21636300</v>
      </c>
      <c r="I567" s="2132">
        <f t="shared" si="352"/>
        <v>21636300</v>
      </c>
      <c r="J567" s="2133">
        <v>0</v>
      </c>
      <c r="K567" s="2133">
        <v>0</v>
      </c>
      <c r="L567" s="2133">
        <v>0</v>
      </c>
      <c r="M567" s="2912" t="s">
        <v>23</v>
      </c>
      <c r="N567" s="2912" t="s">
        <v>23</v>
      </c>
      <c r="O567" s="2885"/>
    </row>
    <row r="568" spans="1:16" s="1007" customFormat="1" ht="12">
      <c r="A568" s="2882"/>
      <c r="B568" s="694" t="s">
        <v>24</v>
      </c>
      <c r="C568" s="2892" t="s">
        <v>98</v>
      </c>
      <c r="D568" s="2055">
        <f>+D569+D570</f>
        <v>105998423</v>
      </c>
      <c r="E568" s="2055">
        <f t="shared" ref="E568" si="353">+E569+E570</f>
        <v>27872715</v>
      </c>
      <c r="F568" s="2055">
        <f t="shared" ref="F568:G568" si="354">+F569+F570</f>
        <v>15394808</v>
      </c>
      <c r="G568" s="2055">
        <f t="shared" si="354"/>
        <v>19458300</v>
      </c>
      <c r="H568" s="2055">
        <f>+H569+H570</f>
        <v>21636300</v>
      </c>
      <c r="I568" s="2055">
        <f>+I569+I570</f>
        <v>21636300</v>
      </c>
      <c r="J568" s="2058">
        <v>0</v>
      </c>
      <c r="K568" s="2058">
        <v>0</v>
      </c>
      <c r="L568" s="2058">
        <v>0</v>
      </c>
      <c r="M568" s="2913"/>
      <c r="N568" s="2913"/>
      <c r="O568" s="2885"/>
    </row>
    <row r="569" spans="1:16" s="1007" customFormat="1" ht="12">
      <c r="A569" s="2882"/>
      <c r="B569" s="2134" t="s">
        <v>192</v>
      </c>
      <c r="C569" s="2890"/>
      <c r="D569" s="1034">
        <f>E569+F569+G569+H569+I569+J569+K569+L569</f>
        <v>99484651</v>
      </c>
      <c r="E569" s="1990">
        <v>23178951</v>
      </c>
      <c r="F569" s="2135">
        <f>10500000+1500000+1574800</f>
        <v>13574800</v>
      </c>
      <c r="G569" s="2135">
        <f>10500000+1500000+7458300</f>
        <v>19458300</v>
      </c>
      <c r="H569" s="2135">
        <f>10500000+1500000+9636300</f>
        <v>21636300</v>
      </c>
      <c r="I569" s="2135">
        <f>10500000+1500000+9636300</f>
        <v>21636300</v>
      </c>
      <c r="J569" s="2136">
        <v>0</v>
      </c>
      <c r="K569" s="2136">
        <v>0</v>
      </c>
      <c r="L569" s="2136">
        <v>0</v>
      </c>
      <c r="M569" s="2913"/>
      <c r="N569" s="2913"/>
      <c r="O569" s="2885"/>
    </row>
    <row r="570" spans="1:16" s="1007" customFormat="1" ht="12" customHeight="1" thickBot="1">
      <c r="A570" s="2883"/>
      <c r="B570" s="473" t="s">
        <v>15</v>
      </c>
      <c r="C570" s="2896"/>
      <c r="D570" s="1027">
        <f>E570+F570+G570+H570+I570+J570+K570+L570</f>
        <v>6513772</v>
      </c>
      <c r="E570" s="1027">
        <v>4693764</v>
      </c>
      <c r="F570" s="534">
        <f>1397794+422214</f>
        <v>1820008</v>
      </c>
      <c r="G570" s="534">
        <v>0</v>
      </c>
      <c r="H570" s="2137">
        <v>0</v>
      </c>
      <c r="I570" s="2137">
        <v>0</v>
      </c>
      <c r="J570" s="2137">
        <v>0</v>
      </c>
      <c r="K570" s="2137">
        <v>0</v>
      </c>
      <c r="L570" s="2137">
        <v>0</v>
      </c>
      <c r="M570" s="2914"/>
      <c r="N570" s="2914"/>
      <c r="O570" s="2886"/>
    </row>
    <row r="571" spans="1:16" s="1007" customFormat="1" ht="12" hidden="1">
      <c r="A571" s="2881"/>
      <c r="B571" s="287"/>
      <c r="C571" s="59" t="s">
        <v>109</v>
      </c>
      <c r="D571" s="131"/>
      <c r="E571" s="44"/>
      <c r="F571" s="44"/>
      <c r="G571" s="44"/>
      <c r="H571" s="44"/>
      <c r="I571" s="44"/>
      <c r="J571" s="44"/>
      <c r="K571" s="44"/>
      <c r="L571" s="44"/>
      <c r="M571" s="45"/>
      <c r="N571" s="45"/>
      <c r="O571" s="2884" t="s">
        <v>102</v>
      </c>
    </row>
    <row r="572" spans="1:16" s="1007" customFormat="1" ht="12" hidden="1">
      <c r="A572" s="2882"/>
      <c r="B572" s="21" t="s">
        <v>10</v>
      </c>
      <c r="C572" s="22"/>
      <c r="D572" s="129">
        <f>+D573</f>
        <v>0</v>
      </c>
      <c r="E572" s="129">
        <v>0</v>
      </c>
      <c r="F572" s="129"/>
      <c r="G572" s="129"/>
      <c r="H572" s="129"/>
      <c r="I572" s="129"/>
      <c r="J572" s="308"/>
      <c r="K572" s="308"/>
      <c r="L572" s="308"/>
      <c r="M572" s="93"/>
      <c r="N572" s="93"/>
      <c r="O572" s="2885"/>
      <c r="P572" s="1006"/>
    </row>
    <row r="573" spans="1:16" s="1007" customFormat="1" ht="12" hidden="1">
      <c r="A573" s="2882"/>
      <c r="B573" s="174" t="s">
        <v>24</v>
      </c>
      <c r="C573" s="479" t="s">
        <v>98</v>
      </c>
      <c r="D573" s="130">
        <f>+D574</f>
        <v>0</v>
      </c>
      <c r="E573" s="130">
        <v>0</v>
      </c>
      <c r="F573" s="130"/>
      <c r="G573" s="130"/>
      <c r="H573" s="130"/>
      <c r="I573" s="130"/>
      <c r="J573" s="307"/>
      <c r="K573" s="307"/>
      <c r="L573" s="307"/>
      <c r="M573" s="69"/>
      <c r="N573" s="69"/>
      <c r="O573" s="2885"/>
    </row>
    <row r="574" spans="1:16" s="1007" customFormat="1" hidden="1" thickBot="1">
      <c r="A574" s="2882"/>
      <c r="B574" s="474" t="s">
        <v>12</v>
      </c>
      <c r="C574" s="480"/>
      <c r="D574" s="54">
        <f>SUM(E574:I574)</f>
        <v>0</v>
      </c>
      <c r="E574" s="205">
        <v>0</v>
      </c>
      <c r="F574" s="88"/>
      <c r="G574" s="88"/>
      <c r="H574" s="88"/>
      <c r="I574" s="88"/>
      <c r="J574" s="248"/>
      <c r="K574" s="248"/>
      <c r="L574" s="248"/>
      <c r="M574" s="70"/>
      <c r="N574" s="70"/>
      <c r="O574" s="2885"/>
    </row>
    <row r="575" spans="1:16" s="1007" customFormat="1" ht="14.25" hidden="1" customHeight="1">
      <c r="A575" s="2881" t="s">
        <v>88</v>
      </c>
      <c r="B575" s="287"/>
      <c r="C575" s="59" t="s">
        <v>109</v>
      </c>
      <c r="D575" s="42"/>
      <c r="E575" s="44"/>
      <c r="F575" s="44"/>
      <c r="G575" s="44"/>
      <c r="H575" s="44"/>
      <c r="I575" s="44"/>
      <c r="J575" s="44"/>
      <c r="K575" s="44"/>
      <c r="L575" s="44"/>
      <c r="M575" s="45"/>
      <c r="N575" s="45"/>
      <c r="O575" s="2884" t="s">
        <v>86</v>
      </c>
    </row>
    <row r="576" spans="1:16" s="1007" customFormat="1" ht="12" hidden="1">
      <c r="A576" s="2882"/>
      <c r="B576" s="21" t="s">
        <v>10</v>
      </c>
      <c r="C576" s="22"/>
      <c r="D576" s="129"/>
      <c r="E576" s="129"/>
      <c r="F576" s="129"/>
      <c r="G576" s="129"/>
      <c r="H576" s="129"/>
      <c r="I576" s="298"/>
      <c r="J576" s="298"/>
      <c r="K576" s="298"/>
      <c r="L576" s="298"/>
      <c r="M576" s="66">
        <f>+M577</f>
        <v>0</v>
      </c>
      <c r="N576" s="66">
        <f>+N577</f>
        <v>0</v>
      </c>
      <c r="O576" s="2885"/>
      <c r="P576" s="1006"/>
    </row>
    <row r="577" spans="1:16" s="1007" customFormat="1" ht="12" hidden="1">
      <c r="A577" s="2882"/>
      <c r="B577" s="174" t="s">
        <v>24</v>
      </c>
      <c r="C577" s="2889" t="s">
        <v>84</v>
      </c>
      <c r="D577" s="130"/>
      <c r="E577" s="130"/>
      <c r="F577" s="130"/>
      <c r="G577" s="130"/>
      <c r="H577" s="130"/>
      <c r="I577" s="299"/>
      <c r="J577" s="299"/>
      <c r="K577" s="299"/>
      <c r="L577" s="299"/>
      <c r="M577" s="80">
        <f>+M578+M579</f>
        <v>0</v>
      </c>
      <c r="N577" s="80">
        <f>+N578+N579</f>
        <v>0</v>
      </c>
      <c r="O577" s="2885"/>
    </row>
    <row r="578" spans="1:16" s="1007" customFormat="1" ht="12" hidden="1">
      <c r="A578" s="2882"/>
      <c r="B578" s="478" t="s">
        <v>12</v>
      </c>
      <c r="C578" s="2890"/>
      <c r="D578" s="1024"/>
      <c r="E578" s="1024"/>
      <c r="F578" s="71"/>
      <c r="G578" s="71"/>
      <c r="H578" s="71"/>
      <c r="I578" s="300"/>
      <c r="J578" s="300"/>
      <c r="K578" s="300"/>
      <c r="L578" s="300"/>
      <c r="M578" s="36">
        <f>SUM(E578:K578)</f>
        <v>0</v>
      </c>
      <c r="N578" s="36">
        <f>SUM(F578:L578)</f>
        <v>0</v>
      </c>
      <c r="O578" s="2885"/>
    </row>
    <row r="579" spans="1:16" s="1007" customFormat="1" ht="12" hidden="1">
      <c r="A579" s="2882"/>
      <c r="B579" s="137" t="s">
        <v>107</v>
      </c>
      <c r="C579" s="2891"/>
      <c r="D579" s="1024"/>
      <c r="E579" s="1024"/>
      <c r="F579" s="301"/>
      <c r="G579" s="301"/>
      <c r="H579" s="301"/>
      <c r="I579" s="301"/>
      <c r="J579" s="288"/>
      <c r="K579" s="288"/>
      <c r="L579" s="288"/>
      <c r="M579" s="36">
        <f>SUM(E579:K579)</f>
        <v>0</v>
      </c>
      <c r="N579" s="36">
        <f>SUM(F579:L579)</f>
        <v>0</v>
      </c>
      <c r="O579" s="2885"/>
    </row>
    <row r="580" spans="1:16" s="1007" customFormat="1" ht="12" hidden="1">
      <c r="A580" s="2882"/>
      <c r="B580" s="81" t="s">
        <v>22</v>
      </c>
      <c r="C580" s="22"/>
      <c r="D580" s="129"/>
      <c r="E580" s="129"/>
      <c r="F580" s="298"/>
      <c r="G580" s="298"/>
      <c r="H580" s="298"/>
      <c r="I580" s="298"/>
      <c r="J580" s="298"/>
      <c r="K580" s="298"/>
      <c r="L580" s="298"/>
      <c r="M580" s="2897" t="s">
        <v>23</v>
      </c>
      <c r="N580" s="2897" t="s">
        <v>23</v>
      </c>
      <c r="O580" s="2885"/>
    </row>
    <row r="581" spans="1:16" s="1007" customFormat="1" ht="12" hidden="1">
      <c r="A581" s="2882"/>
      <c r="B581" s="174" t="s">
        <v>24</v>
      </c>
      <c r="C581" s="2889" t="s">
        <v>84</v>
      </c>
      <c r="D581" s="51"/>
      <c r="E581" s="51"/>
      <c r="F581" s="292"/>
      <c r="G581" s="292"/>
      <c r="H581" s="302"/>
      <c r="I581" s="292"/>
      <c r="J581" s="292"/>
      <c r="K581" s="292"/>
      <c r="L581" s="292"/>
      <c r="M581" s="2865"/>
      <c r="N581" s="2865"/>
      <c r="O581" s="2885"/>
    </row>
    <row r="582" spans="1:16" s="1007" customFormat="1" hidden="1" thickBot="1">
      <c r="A582" s="2883"/>
      <c r="B582" s="305" t="s">
        <v>13</v>
      </c>
      <c r="C582" s="2896"/>
      <c r="D582" s="1024"/>
      <c r="E582" s="1024"/>
      <c r="F582" s="303"/>
      <c r="G582" s="303"/>
      <c r="H582" s="304"/>
      <c r="I582" s="303"/>
      <c r="J582" s="303"/>
      <c r="K582" s="303"/>
      <c r="L582" s="303"/>
      <c r="M582" s="2866"/>
      <c r="N582" s="2866"/>
      <c r="O582" s="2886"/>
    </row>
    <row r="583" spans="1:16" s="1007" customFormat="1" ht="24.75" hidden="1" customHeight="1">
      <c r="A583" s="2881" t="s">
        <v>91</v>
      </c>
      <c r="B583" s="287"/>
      <c r="C583" s="59"/>
      <c r="D583" s="42"/>
      <c r="E583" s="42"/>
      <c r="F583" s="42"/>
      <c r="G583" s="42"/>
      <c r="H583" s="44"/>
      <c r="I583" s="44"/>
      <c r="J583" s="44"/>
      <c r="K583" s="44"/>
      <c r="L583" s="44"/>
      <c r="M583" s="45"/>
      <c r="N583" s="45"/>
      <c r="O583" s="2884" t="s">
        <v>86</v>
      </c>
    </row>
    <row r="584" spans="1:16" s="1007" customFormat="1" ht="12" hidden="1">
      <c r="A584" s="2882"/>
      <c r="B584" s="21" t="s">
        <v>10</v>
      </c>
      <c r="C584" s="22"/>
      <c r="D584" s="129"/>
      <c r="E584" s="129"/>
      <c r="F584" s="129"/>
      <c r="G584" s="129"/>
      <c r="H584" s="129"/>
      <c r="I584" s="298"/>
      <c r="J584" s="298"/>
      <c r="K584" s="298"/>
      <c r="L584" s="298"/>
      <c r="M584" s="66">
        <f>+M585</f>
        <v>0</v>
      </c>
      <c r="N584" s="66">
        <f>+N585</f>
        <v>0</v>
      </c>
      <c r="O584" s="2885"/>
      <c r="P584" s="1006"/>
    </row>
    <row r="585" spans="1:16" s="1007" customFormat="1" ht="12" hidden="1">
      <c r="A585" s="2882"/>
      <c r="B585" s="174" t="s">
        <v>24</v>
      </c>
      <c r="C585" s="2889" t="s">
        <v>84</v>
      </c>
      <c r="D585" s="130"/>
      <c r="E585" s="130"/>
      <c r="F585" s="130"/>
      <c r="G585" s="130"/>
      <c r="H585" s="130"/>
      <c r="I585" s="301"/>
      <c r="J585" s="288"/>
      <c r="K585" s="288"/>
      <c r="L585" s="288"/>
      <c r="M585" s="80">
        <f>+M586+M587</f>
        <v>0</v>
      </c>
      <c r="N585" s="80">
        <f>+N586+N587</f>
        <v>0</v>
      </c>
      <c r="O585" s="2885"/>
    </row>
    <row r="586" spans="1:16" s="1007" customFormat="1" ht="12" hidden="1">
      <c r="A586" s="2882"/>
      <c r="B586" s="478" t="s">
        <v>12</v>
      </c>
      <c r="C586" s="2890"/>
      <c r="D586" s="1024"/>
      <c r="E586" s="1024"/>
      <c r="F586" s="76"/>
      <c r="G586" s="76"/>
      <c r="H586" s="76"/>
      <c r="I586" s="301"/>
      <c r="J586" s="288"/>
      <c r="K586" s="288"/>
      <c r="L586" s="288"/>
      <c r="M586" s="36">
        <f>SUM(E586:K586)</f>
        <v>0</v>
      </c>
      <c r="N586" s="36">
        <f>SUM(F586:L586)</f>
        <v>0</v>
      </c>
      <c r="O586" s="2885"/>
    </row>
    <row r="587" spans="1:16" s="1007" customFormat="1" ht="12" hidden="1">
      <c r="A587" s="2882"/>
      <c r="B587" s="137" t="s">
        <v>78</v>
      </c>
      <c r="C587" s="2891"/>
      <c r="D587" s="1024"/>
      <c r="E587" s="1024"/>
      <c r="F587" s="76"/>
      <c r="G587" s="76"/>
      <c r="H587" s="301"/>
      <c r="I587" s="301"/>
      <c r="J587" s="288"/>
      <c r="K587" s="288"/>
      <c r="L587" s="288"/>
      <c r="M587" s="36">
        <f>SUM(E587:K587)</f>
        <v>0</v>
      </c>
      <c r="N587" s="36">
        <f>SUM(F587:L587)</f>
        <v>0</v>
      </c>
      <c r="O587" s="2885"/>
    </row>
    <row r="588" spans="1:16" s="1007" customFormat="1" ht="12" hidden="1">
      <c r="A588" s="2882"/>
      <c r="B588" s="81" t="s">
        <v>22</v>
      </c>
      <c r="C588" s="22"/>
      <c r="D588" s="129"/>
      <c r="E588" s="129"/>
      <c r="F588" s="298"/>
      <c r="G588" s="298"/>
      <c r="H588" s="298"/>
      <c r="I588" s="298"/>
      <c r="J588" s="298"/>
      <c r="K588" s="298"/>
      <c r="L588" s="298"/>
      <c r="M588" s="2897" t="s">
        <v>23</v>
      </c>
      <c r="N588" s="2897" t="s">
        <v>23</v>
      </c>
      <c r="O588" s="2885"/>
    </row>
    <row r="589" spans="1:16" s="1007" customFormat="1" ht="12" hidden="1">
      <c r="A589" s="2882"/>
      <c r="B589" s="174" t="s">
        <v>24</v>
      </c>
      <c r="C589" s="2889" t="s">
        <v>84</v>
      </c>
      <c r="D589" s="453"/>
      <c r="E589" s="453"/>
      <c r="F589" s="302"/>
      <c r="G589" s="302"/>
      <c r="H589" s="302"/>
      <c r="I589" s="292"/>
      <c r="J589" s="292"/>
      <c r="K589" s="292"/>
      <c r="L589" s="292"/>
      <c r="M589" s="2865"/>
      <c r="N589" s="2865"/>
      <c r="O589" s="2885"/>
    </row>
    <row r="590" spans="1:16" s="1007" customFormat="1" hidden="1" thickBot="1">
      <c r="A590" s="2883"/>
      <c r="B590" s="137" t="s">
        <v>13</v>
      </c>
      <c r="C590" s="2896"/>
      <c r="D590" s="1024"/>
      <c r="E590" s="1024"/>
      <c r="F590" s="304"/>
      <c r="G590" s="304"/>
      <c r="H590" s="304"/>
      <c r="I590" s="303"/>
      <c r="J590" s="303"/>
      <c r="K590" s="303"/>
      <c r="L590" s="303"/>
      <c r="M590" s="2866"/>
      <c r="N590" s="2866"/>
      <c r="O590" s="2886"/>
    </row>
    <row r="591" spans="1:16" s="1007" customFormat="1" ht="14.25" hidden="1" customHeight="1">
      <c r="A591" s="2881" t="s">
        <v>92</v>
      </c>
      <c r="B591" s="287"/>
      <c r="C591" s="59"/>
      <c r="D591" s="131"/>
      <c r="E591" s="44"/>
      <c r="F591" s="44"/>
      <c r="G591" s="44"/>
      <c r="H591" s="44"/>
      <c r="I591" s="44"/>
      <c r="J591" s="44"/>
      <c r="K591" s="44"/>
      <c r="L591" s="44"/>
      <c r="M591" s="45"/>
      <c r="N591" s="45"/>
      <c r="O591" s="2884" t="s">
        <v>86</v>
      </c>
    </row>
    <row r="592" spans="1:16" s="1007" customFormat="1" ht="12" hidden="1">
      <c r="A592" s="2882"/>
      <c r="B592" s="21" t="s">
        <v>10</v>
      </c>
      <c r="C592" s="22"/>
      <c r="D592" s="129"/>
      <c r="E592" s="129"/>
      <c r="F592" s="129"/>
      <c r="G592" s="129"/>
      <c r="H592" s="298"/>
      <c r="I592" s="298"/>
      <c r="J592" s="298"/>
      <c r="K592" s="298"/>
      <c r="L592" s="298"/>
      <c r="M592" s="66">
        <f>+M593</f>
        <v>0</v>
      </c>
      <c r="N592" s="66">
        <f>+N593</f>
        <v>0</v>
      </c>
      <c r="O592" s="2885"/>
      <c r="P592" s="1006"/>
    </row>
    <row r="593" spans="1:16" s="1007" customFormat="1" ht="12" hidden="1">
      <c r="A593" s="2882"/>
      <c r="B593" s="174" t="s">
        <v>24</v>
      </c>
      <c r="C593" s="2889" t="s">
        <v>84</v>
      </c>
      <c r="D593" s="130"/>
      <c r="E593" s="130"/>
      <c r="F593" s="130"/>
      <c r="G593" s="130"/>
      <c r="H593" s="299"/>
      <c r="I593" s="299"/>
      <c r="J593" s="299"/>
      <c r="K593" s="299"/>
      <c r="L593" s="299"/>
      <c r="M593" s="80">
        <f>+M594</f>
        <v>0</v>
      </c>
      <c r="N593" s="80">
        <f>+N594</f>
        <v>0</v>
      </c>
      <c r="O593" s="2885"/>
    </row>
    <row r="594" spans="1:16" s="1007" customFormat="1" hidden="1" thickBot="1">
      <c r="A594" s="2883"/>
      <c r="B594" s="477" t="s">
        <v>12</v>
      </c>
      <c r="C594" s="2896"/>
      <c r="D594" s="1024"/>
      <c r="E594" s="1024"/>
      <c r="F594" s="242"/>
      <c r="G594" s="242"/>
      <c r="H594" s="312"/>
      <c r="I594" s="312"/>
      <c r="J594" s="300"/>
      <c r="K594" s="300"/>
      <c r="L594" s="300"/>
      <c r="M594" s="36">
        <f>SUM(E594:K594)</f>
        <v>0</v>
      </c>
      <c r="N594" s="36">
        <f>SUM(F594:L594)</f>
        <v>0</v>
      </c>
      <c r="O594" s="2886"/>
    </row>
    <row r="595" spans="1:16" s="1007" customFormat="1" ht="14.25" hidden="1" customHeight="1">
      <c r="A595" s="2881" t="s">
        <v>93</v>
      </c>
      <c r="B595" s="287"/>
      <c r="C595" s="59"/>
      <c r="D595" s="131"/>
      <c r="E595" s="44"/>
      <c r="F595" s="44"/>
      <c r="G595" s="44"/>
      <c r="H595" s="44"/>
      <c r="I595" s="44"/>
      <c r="J595" s="44"/>
      <c r="K595" s="44"/>
      <c r="L595" s="44"/>
      <c r="M595" s="45"/>
      <c r="N595" s="45"/>
      <c r="O595" s="2884" t="s">
        <v>86</v>
      </c>
    </row>
    <row r="596" spans="1:16" s="1007" customFormat="1" ht="12" hidden="1">
      <c r="A596" s="2882"/>
      <c r="B596" s="21" t="s">
        <v>10</v>
      </c>
      <c r="C596" s="22"/>
      <c r="D596" s="129"/>
      <c r="E596" s="298"/>
      <c r="F596" s="129"/>
      <c r="G596" s="129"/>
      <c r="H596" s="129"/>
      <c r="I596" s="298"/>
      <c r="J596" s="298"/>
      <c r="K596" s="298"/>
      <c r="L596" s="298"/>
      <c r="M596" s="66">
        <f>+M597</f>
        <v>0</v>
      </c>
      <c r="N596" s="66">
        <f>+N597</f>
        <v>0</v>
      </c>
      <c r="O596" s="2885"/>
      <c r="P596" s="1006"/>
    </row>
    <row r="597" spans="1:16" s="1007" customFormat="1" ht="12" hidden="1">
      <c r="A597" s="2882"/>
      <c r="B597" s="174" t="s">
        <v>24</v>
      </c>
      <c r="C597" s="2889" t="s">
        <v>84</v>
      </c>
      <c r="D597" s="130"/>
      <c r="E597" s="299"/>
      <c r="F597" s="130"/>
      <c r="G597" s="130"/>
      <c r="H597" s="130"/>
      <c r="I597" s="299"/>
      <c r="J597" s="299"/>
      <c r="K597" s="299"/>
      <c r="L597" s="299"/>
      <c r="M597" s="80">
        <f>+M598</f>
        <v>0</v>
      </c>
      <c r="N597" s="80">
        <f>+N598</f>
        <v>0</v>
      </c>
      <c r="O597" s="2885"/>
    </row>
    <row r="598" spans="1:16" s="1007" customFormat="1" hidden="1" thickBot="1">
      <c r="A598" s="2883"/>
      <c r="B598" s="477" t="s">
        <v>12</v>
      </c>
      <c r="C598" s="2896"/>
      <c r="D598" s="1024"/>
      <c r="E598" s="741"/>
      <c r="F598" s="242"/>
      <c r="G598" s="242"/>
      <c r="H598" s="242"/>
      <c r="I598" s="312"/>
      <c r="J598" s="300"/>
      <c r="K598" s="300"/>
      <c r="L598" s="300"/>
      <c r="M598" s="36">
        <f>SUM(E598:K598)</f>
        <v>0</v>
      </c>
      <c r="N598" s="36">
        <f>SUM(F598:L598)</f>
        <v>0</v>
      </c>
      <c r="O598" s="2886"/>
    </row>
    <row r="599" spans="1:16" s="1007" customFormat="1" ht="24.75" customHeight="1">
      <c r="A599" s="2881" t="s">
        <v>88</v>
      </c>
      <c r="B599" s="287" t="s">
        <v>439</v>
      </c>
      <c r="C599" s="2117" t="s">
        <v>109</v>
      </c>
      <c r="D599" s="2118"/>
      <c r="E599" s="449"/>
      <c r="F599" s="449"/>
      <c r="G599" s="449"/>
      <c r="H599" s="449"/>
      <c r="I599" s="42"/>
      <c r="J599" s="44"/>
      <c r="K599" s="44"/>
      <c r="L599" s="44"/>
      <c r="M599" s="45"/>
      <c r="N599" s="45"/>
      <c r="O599" s="2884" t="s">
        <v>102</v>
      </c>
    </row>
    <row r="600" spans="1:16" s="1007" customFormat="1" ht="12">
      <c r="A600" s="2882"/>
      <c r="B600" s="21" t="s">
        <v>10</v>
      </c>
      <c r="C600" s="22"/>
      <c r="D600" s="129">
        <f>+D601</f>
        <v>777055</v>
      </c>
      <c r="E600" s="129">
        <f t="shared" ref="E600:J601" si="355">+E601</f>
        <v>116055</v>
      </c>
      <c r="F600" s="129">
        <f t="shared" si="355"/>
        <v>91000</v>
      </c>
      <c r="G600" s="129">
        <f t="shared" si="355"/>
        <v>135000</v>
      </c>
      <c r="H600" s="129">
        <f t="shared" si="355"/>
        <v>145000</v>
      </c>
      <c r="I600" s="129">
        <f t="shared" si="355"/>
        <v>145000</v>
      </c>
      <c r="J600" s="129">
        <f t="shared" si="355"/>
        <v>145000</v>
      </c>
      <c r="K600" s="298">
        <v>0</v>
      </c>
      <c r="L600" s="298">
        <v>0</v>
      </c>
      <c r="M600" s="66">
        <f>+M601</f>
        <v>661000</v>
      </c>
      <c r="N600" s="66">
        <f>+N601</f>
        <v>570000</v>
      </c>
      <c r="O600" s="2885"/>
      <c r="P600" s="1006"/>
    </row>
    <row r="601" spans="1:16" s="1007" customFormat="1" ht="12">
      <c r="A601" s="2882"/>
      <c r="B601" s="174" t="s">
        <v>24</v>
      </c>
      <c r="C601" s="2889" t="s">
        <v>98</v>
      </c>
      <c r="D601" s="130">
        <f>+D602</f>
        <v>777055</v>
      </c>
      <c r="E601" s="130">
        <f t="shared" si="355"/>
        <v>116055</v>
      </c>
      <c r="F601" s="130">
        <f t="shared" si="355"/>
        <v>91000</v>
      </c>
      <c r="G601" s="130">
        <f t="shared" si="355"/>
        <v>135000</v>
      </c>
      <c r="H601" s="130">
        <f t="shared" si="355"/>
        <v>145000</v>
      </c>
      <c r="I601" s="130">
        <f t="shared" si="355"/>
        <v>145000</v>
      </c>
      <c r="J601" s="130">
        <f>145000</f>
        <v>145000</v>
      </c>
      <c r="K601" s="299">
        <v>0</v>
      </c>
      <c r="L601" s="299">
        <v>0</v>
      </c>
      <c r="M601" s="80">
        <f>+M602</f>
        <v>661000</v>
      </c>
      <c r="N601" s="80">
        <f>+N602</f>
        <v>570000</v>
      </c>
      <c r="O601" s="2885"/>
    </row>
    <row r="602" spans="1:16" s="1007" customFormat="1" thickBot="1">
      <c r="A602" s="2883"/>
      <c r="B602" s="473" t="s">
        <v>12</v>
      </c>
      <c r="C602" s="2896"/>
      <c r="D602" s="251">
        <f>E602+F602+G602+H602+I602+J602+K602+L602</f>
        <v>777055</v>
      </c>
      <c r="E602" s="289">
        <v>116055</v>
      </c>
      <c r="F602" s="242">
        <f>135000-44000</f>
        <v>91000</v>
      </c>
      <c r="G602" s="242">
        <f>135000</f>
        <v>135000</v>
      </c>
      <c r="H602" s="242">
        <f>135000+10000</f>
        <v>145000</v>
      </c>
      <c r="I602" s="242">
        <f>135000+10000</f>
        <v>145000</v>
      </c>
      <c r="J602" s="242">
        <f>145000</f>
        <v>145000</v>
      </c>
      <c r="K602" s="312">
        <v>0</v>
      </c>
      <c r="L602" s="312">
        <v>0</v>
      </c>
      <c r="M602" s="1065">
        <f>SUM(F602:K602)</f>
        <v>661000</v>
      </c>
      <c r="N602" s="1065">
        <f>SUM(G602:L602)</f>
        <v>570000</v>
      </c>
      <c r="O602" s="2886"/>
    </row>
    <row r="603" spans="1:16" s="1007" customFormat="1" ht="27" customHeight="1">
      <c r="A603" s="2881" t="s">
        <v>89</v>
      </c>
      <c r="B603" s="287" t="s">
        <v>440</v>
      </c>
      <c r="C603" s="59" t="s">
        <v>81</v>
      </c>
      <c r="D603" s="131"/>
      <c r="E603" s="44"/>
      <c r="F603" s="44"/>
      <c r="G603" s="44"/>
      <c r="H603" s="44"/>
      <c r="I603" s="44"/>
      <c r="J603" s="44"/>
      <c r="K603" s="44"/>
      <c r="L603" s="44"/>
      <c r="M603" s="45"/>
      <c r="N603" s="45"/>
      <c r="O603" s="2884" t="s">
        <v>86</v>
      </c>
    </row>
    <row r="604" spans="1:16" s="1007" customFormat="1" ht="12">
      <c r="A604" s="2882"/>
      <c r="B604" s="728" t="s">
        <v>10</v>
      </c>
      <c r="C604" s="2017"/>
      <c r="D604" s="2054">
        <f>+D605</f>
        <v>6355000</v>
      </c>
      <c r="E604" s="2054">
        <v>3810194</v>
      </c>
      <c r="F604" s="2054">
        <f t="shared" ref="F604:G605" si="356">+F605</f>
        <v>2021758</v>
      </c>
      <c r="G604" s="2054">
        <f t="shared" si="356"/>
        <v>523048</v>
      </c>
      <c r="H604" s="2060">
        <v>0</v>
      </c>
      <c r="I604" s="2060">
        <v>0</v>
      </c>
      <c r="J604" s="2060">
        <v>0</v>
      </c>
      <c r="K604" s="2060">
        <v>0</v>
      </c>
      <c r="L604" s="2060">
        <v>0</v>
      </c>
      <c r="M604" s="2019">
        <f>+M605</f>
        <v>2544806</v>
      </c>
      <c r="N604" s="2019">
        <f>+N605</f>
        <v>523048</v>
      </c>
      <c r="O604" s="2885"/>
      <c r="P604" s="1006"/>
    </row>
    <row r="605" spans="1:16" s="1007" customFormat="1" ht="12">
      <c r="A605" s="2882"/>
      <c r="B605" s="694" t="s">
        <v>24</v>
      </c>
      <c r="C605" s="2918" t="s">
        <v>84</v>
      </c>
      <c r="D605" s="2055">
        <f>+D606</f>
        <v>6355000</v>
      </c>
      <c r="E605" s="2055">
        <v>3810194</v>
      </c>
      <c r="F605" s="2055">
        <f t="shared" si="356"/>
        <v>2021758</v>
      </c>
      <c r="G605" s="2055">
        <f t="shared" si="356"/>
        <v>523048</v>
      </c>
      <c r="H605" s="2058">
        <v>0</v>
      </c>
      <c r="I605" s="2058">
        <v>0</v>
      </c>
      <c r="J605" s="2058">
        <v>0</v>
      </c>
      <c r="K605" s="2058">
        <v>0</v>
      </c>
      <c r="L605" s="2058">
        <v>0</v>
      </c>
      <c r="M605" s="2022">
        <f>+M606</f>
        <v>2544806</v>
      </c>
      <c r="N605" s="2022">
        <f>+N606</f>
        <v>523048</v>
      </c>
      <c r="O605" s="2885"/>
    </row>
    <row r="606" spans="1:16" s="1007" customFormat="1" thickBot="1">
      <c r="A606" s="2883"/>
      <c r="B606" s="477" t="s">
        <v>12</v>
      </c>
      <c r="C606" s="2896"/>
      <c r="D606" s="2222">
        <f>E606+F606+G606+H606+I606+J606+K606+L606</f>
        <v>6355000</v>
      </c>
      <c r="E606" s="2222">
        <v>3810194</v>
      </c>
      <c r="F606" s="2506">
        <f>1965000+93736+486070-523048</f>
        <v>2021758</v>
      </c>
      <c r="G606" s="2506">
        <v>523048</v>
      </c>
      <c r="H606" s="2507">
        <v>0</v>
      </c>
      <c r="I606" s="2507">
        <v>0</v>
      </c>
      <c r="J606" s="2507">
        <v>0</v>
      </c>
      <c r="K606" s="2507">
        <v>0</v>
      </c>
      <c r="L606" s="2507">
        <v>0</v>
      </c>
      <c r="M606" s="2508">
        <f>SUM(F606:K606)</f>
        <v>2544806</v>
      </c>
      <c r="N606" s="2508">
        <f>SUM(G606:L606)</f>
        <v>523048</v>
      </c>
      <c r="O606" s="2886"/>
    </row>
    <row r="607" spans="1:16" s="1007" customFormat="1" ht="16.5" customHeight="1">
      <c r="A607" s="2881" t="s">
        <v>90</v>
      </c>
      <c r="B607" s="287" t="s">
        <v>308</v>
      </c>
      <c r="C607" s="59" t="s">
        <v>109</v>
      </c>
      <c r="D607" s="131"/>
      <c r="E607" s="527"/>
      <c r="F607" s="44"/>
      <c r="G607" s="44"/>
      <c r="H607" s="44"/>
      <c r="I607" s="44"/>
      <c r="J607" s="44"/>
      <c r="K607" s="44"/>
      <c r="L607" s="44"/>
      <c r="M607" s="45"/>
      <c r="N607" s="45"/>
      <c r="O607" s="2884" t="s">
        <v>86</v>
      </c>
    </row>
    <row r="608" spans="1:16" s="1007" customFormat="1" ht="12.75" customHeight="1">
      <c r="A608" s="2882"/>
      <c r="B608" s="21" t="s">
        <v>10</v>
      </c>
      <c r="C608" s="22"/>
      <c r="D608" s="466">
        <f>+D609</f>
        <v>107265718</v>
      </c>
      <c r="E608" s="466">
        <f t="shared" ref="E608:I608" si="357">+E609</f>
        <v>0</v>
      </c>
      <c r="F608" s="466">
        <f t="shared" si="357"/>
        <v>27229019</v>
      </c>
      <c r="G608" s="466">
        <f t="shared" si="357"/>
        <v>26856601</v>
      </c>
      <c r="H608" s="466">
        <f t="shared" si="357"/>
        <v>26265000</v>
      </c>
      <c r="I608" s="466">
        <f t="shared" si="357"/>
        <v>26915098</v>
      </c>
      <c r="J608" s="467">
        <v>0</v>
      </c>
      <c r="K608" s="467">
        <v>0</v>
      </c>
      <c r="L608" s="467">
        <v>0</v>
      </c>
      <c r="M608" s="483">
        <f>+M609</f>
        <v>107265718</v>
      </c>
      <c r="N608" s="483">
        <f>+N609</f>
        <v>80036699</v>
      </c>
      <c r="O608" s="2885"/>
      <c r="P608" s="1006"/>
    </row>
    <row r="609" spans="1:16" s="1007" customFormat="1" ht="12.75" customHeight="1">
      <c r="A609" s="2882"/>
      <c r="B609" s="694" t="s">
        <v>24</v>
      </c>
      <c r="C609" s="2898" t="s">
        <v>412</v>
      </c>
      <c r="D609" s="709">
        <f>+D610+D611</f>
        <v>107265718</v>
      </c>
      <c r="E609" s="709">
        <f t="shared" ref="E609" si="358">+E610+E611</f>
        <v>0</v>
      </c>
      <c r="F609" s="709">
        <f t="shared" ref="F609:L609" si="359">+F610+F611</f>
        <v>27229019</v>
      </c>
      <c r="G609" s="709">
        <f t="shared" si="359"/>
        <v>26856601</v>
      </c>
      <c r="H609" s="709">
        <f t="shared" si="359"/>
        <v>26265000</v>
      </c>
      <c r="I609" s="709">
        <f t="shared" si="359"/>
        <v>26915098</v>
      </c>
      <c r="J609" s="1077">
        <f t="shared" si="359"/>
        <v>0</v>
      </c>
      <c r="K609" s="1077">
        <f t="shared" si="359"/>
        <v>0</v>
      </c>
      <c r="L609" s="1077">
        <f t="shared" si="359"/>
        <v>0</v>
      </c>
      <c r="M609" s="707">
        <f>+M610+M611</f>
        <v>107265718</v>
      </c>
      <c r="N609" s="707">
        <f>+N610+N611</f>
        <v>80036699</v>
      </c>
      <c r="O609" s="2885"/>
    </row>
    <row r="610" spans="1:16" s="1007" customFormat="1" ht="14.25" customHeight="1">
      <c r="A610" s="2882"/>
      <c r="B610" s="1698" t="s">
        <v>12</v>
      </c>
      <c r="C610" s="2890"/>
      <c r="D610" s="251">
        <f>E610+F610+G610+H610+I610+J610+K610+L610</f>
        <v>83839727</v>
      </c>
      <c r="E610" s="289">
        <v>0</v>
      </c>
      <c r="F610" s="710">
        <f>24142831+86188+3000000-23425991</f>
        <v>3803028</v>
      </c>
      <c r="G610" s="710">
        <v>26856601</v>
      </c>
      <c r="H610" s="710">
        <v>26265000</v>
      </c>
      <c r="I610" s="710">
        <v>26915098</v>
      </c>
      <c r="J610" s="1091">
        <v>0</v>
      </c>
      <c r="K610" s="1091">
        <v>0</v>
      </c>
      <c r="L610" s="1091">
        <v>0</v>
      </c>
      <c r="M610" s="1065">
        <f>SUM(F610:K610)</f>
        <v>83839727</v>
      </c>
      <c r="N610" s="1065">
        <f>SUM(G610:L610)</f>
        <v>80036699</v>
      </c>
      <c r="O610" s="2885"/>
    </row>
    <row r="611" spans="1:16" s="1007" customFormat="1" ht="14.25" customHeight="1">
      <c r="A611" s="2882"/>
      <c r="B611" s="1698" t="s">
        <v>78</v>
      </c>
      <c r="C611" s="2891"/>
      <c r="D611" s="1997">
        <f>E611+F611+G611+H611+I611+J611+K611+L611</f>
        <v>23425991</v>
      </c>
      <c r="E611" s="289">
        <v>0</v>
      </c>
      <c r="F611" s="710">
        <f>23425991</f>
        <v>23425991</v>
      </c>
      <c r="G611" s="1091">
        <v>0</v>
      </c>
      <c r="H611" s="1091">
        <v>0</v>
      </c>
      <c r="I611" s="1091">
        <v>0</v>
      </c>
      <c r="J611" s="1091">
        <v>0</v>
      </c>
      <c r="K611" s="1091">
        <v>0</v>
      </c>
      <c r="L611" s="1091"/>
      <c r="M611" s="1065">
        <f>SUM(F611:K611)</f>
        <v>23425991</v>
      </c>
      <c r="N611" s="1065">
        <f>SUM(G611:L611)</f>
        <v>0</v>
      </c>
      <c r="O611" s="2899"/>
    </row>
    <row r="612" spans="1:16" s="1007" customFormat="1" ht="14.25" customHeight="1">
      <c r="A612" s="2882"/>
      <c r="B612" s="83" t="s">
        <v>22</v>
      </c>
      <c r="C612" s="92"/>
      <c r="D612" s="1701">
        <f>+D613</f>
        <v>23425991</v>
      </c>
      <c r="E612" s="1701">
        <f t="shared" ref="E612:E613" si="360">+E613</f>
        <v>0</v>
      </c>
      <c r="F612" s="1701">
        <f t="shared" ref="F612:F613" si="361">+F613</f>
        <v>23425991</v>
      </c>
      <c r="G612" s="1662">
        <f t="shared" ref="G612:G613" si="362">+G613</f>
        <v>0</v>
      </c>
      <c r="H612" s="1662">
        <f t="shared" ref="H612:H613" si="363">+H613</f>
        <v>0</v>
      </c>
      <c r="I612" s="1662">
        <f t="shared" ref="I612:I613" si="364">+I613</f>
        <v>0</v>
      </c>
      <c r="J612" s="1662">
        <f t="shared" ref="J612:J613" si="365">+J613</f>
        <v>0</v>
      </c>
      <c r="K612" s="1662">
        <f t="shared" ref="K612:K613" si="366">+K613</f>
        <v>0</v>
      </c>
      <c r="L612" s="1662">
        <f t="shared" ref="L612:L613" si="367">+L613</f>
        <v>0</v>
      </c>
      <c r="M612" s="2864" t="s">
        <v>23</v>
      </c>
      <c r="N612" s="2864" t="s">
        <v>23</v>
      </c>
      <c r="O612" s="2900" t="s">
        <v>102</v>
      </c>
    </row>
    <row r="613" spans="1:16" s="1007" customFormat="1" ht="14.25" customHeight="1">
      <c r="A613" s="2882"/>
      <c r="B613" s="174" t="s">
        <v>24</v>
      </c>
      <c r="C613" s="2893" t="s">
        <v>84</v>
      </c>
      <c r="D613" s="130">
        <f>+D614</f>
        <v>23425991</v>
      </c>
      <c r="E613" s="130">
        <f t="shared" si="360"/>
        <v>0</v>
      </c>
      <c r="F613" s="130">
        <f t="shared" si="361"/>
        <v>23425991</v>
      </c>
      <c r="G613" s="299">
        <f t="shared" si="362"/>
        <v>0</v>
      </c>
      <c r="H613" s="299">
        <f t="shared" si="363"/>
        <v>0</v>
      </c>
      <c r="I613" s="299">
        <f t="shared" si="364"/>
        <v>0</v>
      </c>
      <c r="J613" s="299">
        <f t="shared" si="365"/>
        <v>0</v>
      </c>
      <c r="K613" s="299">
        <f t="shared" si="366"/>
        <v>0</v>
      </c>
      <c r="L613" s="299">
        <f t="shared" si="367"/>
        <v>0</v>
      </c>
      <c r="M613" s="2865"/>
      <c r="N613" s="2865"/>
      <c r="O613" s="2885"/>
    </row>
    <row r="614" spans="1:16" s="1007" customFormat="1" ht="14.25" customHeight="1" thickBot="1">
      <c r="A614" s="2883"/>
      <c r="B614" s="477" t="s">
        <v>78</v>
      </c>
      <c r="C614" s="2894"/>
      <c r="D614" s="251">
        <f>E614+F614+G614+H614+I614+J614+K614+L614</f>
        <v>23425991</v>
      </c>
      <c r="E614" s="289">
        <v>0</v>
      </c>
      <c r="F614" s="1481">
        <f>23425991</f>
        <v>23425991</v>
      </c>
      <c r="G614" s="312">
        <v>0</v>
      </c>
      <c r="H614" s="312">
        <v>0</v>
      </c>
      <c r="I614" s="312">
        <v>0</v>
      </c>
      <c r="J614" s="312">
        <v>0</v>
      </c>
      <c r="K614" s="312">
        <v>0</v>
      </c>
      <c r="L614" s="312">
        <v>0</v>
      </c>
      <c r="M614" s="2866"/>
      <c r="N614" s="2866"/>
      <c r="O614" s="2886"/>
    </row>
    <row r="615" spans="1:16" s="1007" customFormat="1" ht="15.75" customHeight="1">
      <c r="A615" s="2881" t="s">
        <v>91</v>
      </c>
      <c r="B615" s="287" t="s">
        <v>309</v>
      </c>
      <c r="C615" s="59" t="s">
        <v>81</v>
      </c>
      <c r="D615" s="131"/>
      <c r="E615" s="527"/>
      <c r="F615" s="44"/>
      <c r="G615" s="44"/>
      <c r="H615" s="44"/>
      <c r="I615" s="44"/>
      <c r="J615" s="44"/>
      <c r="K615" s="44"/>
      <c r="L615" s="44"/>
      <c r="M615" s="45"/>
      <c r="N615" s="45"/>
      <c r="O615" s="2884" t="s">
        <v>86</v>
      </c>
    </row>
    <row r="616" spans="1:16" s="1007" customFormat="1" ht="12.75" customHeight="1">
      <c r="A616" s="2882"/>
      <c r="B616" s="728" t="s">
        <v>10</v>
      </c>
      <c r="C616" s="2053"/>
      <c r="D616" s="2054">
        <f>+D617</f>
        <v>115563000</v>
      </c>
      <c r="E616" s="2054">
        <f t="shared" ref="E616:I616" si="368">+E617</f>
        <v>0</v>
      </c>
      <c r="F616" s="2054">
        <f t="shared" si="368"/>
        <v>24533000</v>
      </c>
      <c r="G616" s="2054">
        <f t="shared" si="368"/>
        <v>29200000</v>
      </c>
      <c r="H616" s="2054">
        <f t="shared" si="368"/>
        <v>30550000</v>
      </c>
      <c r="I616" s="2054">
        <f t="shared" si="368"/>
        <v>31280000</v>
      </c>
      <c r="J616" s="2060">
        <v>0</v>
      </c>
      <c r="K616" s="2060">
        <v>0</v>
      </c>
      <c r="L616" s="2060">
        <v>0</v>
      </c>
      <c r="M616" s="1947">
        <f>+M617</f>
        <v>115563000</v>
      </c>
      <c r="N616" s="1947">
        <f>+N617</f>
        <v>91030000</v>
      </c>
      <c r="O616" s="2885"/>
      <c r="P616" s="1006"/>
    </row>
    <row r="617" spans="1:16" s="1007" customFormat="1" ht="12.75" customHeight="1">
      <c r="A617" s="2882"/>
      <c r="B617" s="694" t="s">
        <v>24</v>
      </c>
      <c r="C617" s="2918" t="s">
        <v>84</v>
      </c>
      <c r="D617" s="2055">
        <f>+D618+D619</f>
        <v>115563000</v>
      </c>
      <c r="E617" s="2055">
        <f t="shared" ref="E617" si="369">+E618+E619</f>
        <v>0</v>
      </c>
      <c r="F617" s="2055">
        <f t="shared" ref="F617:L617" si="370">+F618+F619</f>
        <v>24533000</v>
      </c>
      <c r="G617" s="2055">
        <f t="shared" si="370"/>
        <v>29200000</v>
      </c>
      <c r="H617" s="2055">
        <f t="shared" si="370"/>
        <v>30550000</v>
      </c>
      <c r="I617" s="2055">
        <f t="shared" si="370"/>
        <v>31280000</v>
      </c>
      <c r="J617" s="2058">
        <f t="shared" si="370"/>
        <v>0</v>
      </c>
      <c r="K617" s="2058">
        <f t="shared" si="370"/>
        <v>0</v>
      </c>
      <c r="L617" s="2058">
        <f t="shared" si="370"/>
        <v>0</v>
      </c>
      <c r="M617" s="2022">
        <f>+M618+M619</f>
        <v>115563000</v>
      </c>
      <c r="N617" s="2022">
        <f>+N618+N619</f>
        <v>91030000</v>
      </c>
      <c r="O617" s="2885"/>
    </row>
    <row r="618" spans="1:16" s="1007" customFormat="1" ht="12">
      <c r="A618" s="2882"/>
      <c r="B618" s="1698" t="s">
        <v>12</v>
      </c>
      <c r="C618" s="2890"/>
      <c r="D618" s="1926">
        <f>E618+F618+G618+H618+I618+J618+K618+L618</f>
        <v>113140000</v>
      </c>
      <c r="E618" s="1990">
        <v>0</v>
      </c>
      <c r="F618" s="2045">
        <v>22110000</v>
      </c>
      <c r="G618" s="2045">
        <v>29200000</v>
      </c>
      <c r="H618" s="2045">
        <v>30550000</v>
      </c>
      <c r="I618" s="2045">
        <v>31280000</v>
      </c>
      <c r="J618" s="1973">
        <v>0</v>
      </c>
      <c r="K618" s="1973">
        <v>0</v>
      </c>
      <c r="L618" s="1973">
        <v>0</v>
      </c>
      <c r="M618" s="1065">
        <f>SUM(F618:K618)</f>
        <v>113140000</v>
      </c>
      <c r="N618" s="1065">
        <f>SUM(G618:L618)</f>
        <v>91030000</v>
      </c>
      <c r="O618" s="2885"/>
    </row>
    <row r="619" spans="1:16" s="1007" customFormat="1" ht="13.5" customHeight="1">
      <c r="A619" s="2882"/>
      <c r="B619" s="1702" t="s">
        <v>114</v>
      </c>
      <c r="C619" s="2891"/>
      <c r="D619" s="1926">
        <f>E619+F619+G619+H619+I619+J619+K619+L619</f>
        <v>2423000</v>
      </c>
      <c r="E619" s="1990">
        <v>0</v>
      </c>
      <c r="F619" s="2045">
        <f>5000+1565000+235000+335000+53000+30000+200000</f>
        <v>2423000</v>
      </c>
      <c r="G619" s="528">
        <v>0</v>
      </c>
      <c r="H619" s="528">
        <v>0</v>
      </c>
      <c r="I619" s="528">
        <v>0</v>
      </c>
      <c r="J619" s="528">
        <v>0</v>
      </c>
      <c r="K619" s="528">
        <v>0</v>
      </c>
      <c r="L619" s="528">
        <v>0</v>
      </c>
      <c r="M619" s="1065">
        <f>SUM(F619:K619)</f>
        <v>2423000</v>
      </c>
      <c r="N619" s="1065">
        <f>SUM(G619:L619)</f>
        <v>0</v>
      </c>
      <c r="O619" s="2885"/>
    </row>
    <row r="620" spans="1:16" s="1007" customFormat="1" ht="12.75" customHeight="1">
      <c r="A620" s="2882"/>
      <c r="B620" s="728" t="s">
        <v>22</v>
      </c>
      <c r="C620" s="2053"/>
      <c r="D620" s="1946">
        <f>+D621</f>
        <v>2423000</v>
      </c>
      <c r="E620" s="1935">
        <f t="shared" ref="E620" si="371">+E621</f>
        <v>0</v>
      </c>
      <c r="F620" s="2054">
        <f>+F621</f>
        <v>2423000</v>
      </c>
      <c r="G620" s="2060">
        <v>0</v>
      </c>
      <c r="H620" s="2060">
        <v>0</v>
      </c>
      <c r="I620" s="2060">
        <v>0</v>
      </c>
      <c r="J620" s="2060">
        <v>0</v>
      </c>
      <c r="K620" s="2060">
        <v>0</v>
      </c>
      <c r="L620" s="2060">
        <v>0</v>
      </c>
      <c r="M620" s="2876" t="s">
        <v>23</v>
      </c>
      <c r="N620" s="2876" t="s">
        <v>23</v>
      </c>
      <c r="O620" s="2885"/>
    </row>
    <row r="621" spans="1:16" s="1007" customFormat="1" ht="13.5" customHeight="1">
      <c r="A621" s="2882"/>
      <c r="B621" s="694" t="s">
        <v>24</v>
      </c>
      <c r="C621" s="2920" t="s">
        <v>84</v>
      </c>
      <c r="D621" s="2044">
        <f>+D622</f>
        <v>2423000</v>
      </c>
      <c r="E621" s="2055">
        <f>+E622</f>
        <v>0</v>
      </c>
      <c r="F621" s="2055">
        <f>+F622</f>
        <v>2423000</v>
      </c>
      <c r="G621" s="2058">
        <v>0</v>
      </c>
      <c r="H621" s="2058">
        <v>0</v>
      </c>
      <c r="I621" s="2058">
        <v>0</v>
      </c>
      <c r="J621" s="2058">
        <v>0</v>
      </c>
      <c r="K621" s="2058">
        <v>0</v>
      </c>
      <c r="L621" s="2058">
        <v>0</v>
      </c>
      <c r="M621" s="2865"/>
      <c r="N621" s="2865"/>
      <c r="O621" s="2885"/>
    </row>
    <row r="622" spans="1:16" s="1007" customFormat="1" ht="13.5" customHeight="1" thickBot="1">
      <c r="A622" s="2883"/>
      <c r="B622" s="368" t="s">
        <v>114</v>
      </c>
      <c r="C622" s="2921"/>
      <c r="D622" s="1027">
        <f>E622+F622+G622+H622+I622+J622+K622+L622</f>
        <v>2423000</v>
      </c>
      <c r="E622" s="1027">
        <v>0</v>
      </c>
      <c r="F622" s="1078">
        <f>5000+1565000+235000+335000+53000+30000+200000</f>
        <v>2423000</v>
      </c>
      <c r="G622" s="1081">
        <v>0</v>
      </c>
      <c r="H622" s="1081">
        <v>0</v>
      </c>
      <c r="I622" s="1081">
        <v>0</v>
      </c>
      <c r="J622" s="1081">
        <v>0</v>
      </c>
      <c r="K622" s="1081">
        <v>0</v>
      </c>
      <c r="L622" s="1081">
        <v>0</v>
      </c>
      <c r="M622" s="2866"/>
      <c r="N622" s="2866"/>
      <c r="O622" s="2886"/>
    </row>
    <row r="623" spans="1:16" s="1007" customFormat="1" ht="17.25" customHeight="1">
      <c r="A623" s="2881" t="s">
        <v>92</v>
      </c>
      <c r="B623" s="287" t="s">
        <v>376</v>
      </c>
      <c r="C623" s="59" t="s">
        <v>81</v>
      </c>
      <c r="D623" s="131"/>
      <c r="E623" s="527"/>
      <c r="F623" s="44"/>
      <c r="G623" s="44"/>
      <c r="H623" s="44"/>
      <c r="I623" s="44"/>
      <c r="J623" s="44"/>
      <c r="K623" s="44"/>
      <c r="L623" s="44"/>
      <c r="M623" s="45"/>
      <c r="N623" s="45"/>
      <c r="O623" s="2884" t="s">
        <v>86</v>
      </c>
    </row>
    <row r="624" spans="1:16" s="1007" customFormat="1" ht="12">
      <c r="A624" s="2882"/>
      <c r="B624" s="21" t="s">
        <v>10</v>
      </c>
      <c r="C624" s="22"/>
      <c r="D624" s="466">
        <f>+D625</f>
        <v>3000000</v>
      </c>
      <c r="E624" s="466">
        <f t="shared" ref="E624:I625" si="372">+E625</f>
        <v>0</v>
      </c>
      <c r="F624" s="466">
        <f t="shared" si="372"/>
        <v>0</v>
      </c>
      <c r="G624" s="466">
        <f t="shared" si="372"/>
        <v>3000000</v>
      </c>
      <c r="H624" s="466">
        <f t="shared" si="372"/>
        <v>0</v>
      </c>
      <c r="I624" s="466">
        <f t="shared" si="372"/>
        <v>0</v>
      </c>
      <c r="J624" s="467">
        <v>0</v>
      </c>
      <c r="K624" s="467">
        <v>0</v>
      </c>
      <c r="L624" s="467">
        <v>0</v>
      </c>
      <c r="M624" s="483">
        <f>+M625</f>
        <v>3000000</v>
      </c>
      <c r="N624" s="483">
        <f>+N625</f>
        <v>3000000</v>
      </c>
      <c r="O624" s="2885"/>
      <c r="P624" s="1006"/>
    </row>
    <row r="625" spans="1:15" s="1007" customFormat="1" ht="12">
      <c r="A625" s="2882"/>
      <c r="B625" s="174" t="s">
        <v>24</v>
      </c>
      <c r="C625" s="2895" t="s">
        <v>84</v>
      </c>
      <c r="D625" s="486">
        <f>+D626</f>
        <v>3000000</v>
      </c>
      <c r="E625" s="486">
        <f t="shared" si="372"/>
        <v>0</v>
      </c>
      <c r="F625" s="486">
        <f t="shared" si="372"/>
        <v>0</v>
      </c>
      <c r="G625" s="486">
        <f t="shared" si="372"/>
        <v>3000000</v>
      </c>
      <c r="H625" s="486">
        <f t="shared" si="372"/>
        <v>0</v>
      </c>
      <c r="I625" s="486">
        <f t="shared" si="372"/>
        <v>0</v>
      </c>
      <c r="J625" s="488">
        <v>0</v>
      </c>
      <c r="K625" s="488">
        <v>0</v>
      </c>
      <c r="L625" s="488">
        <v>0</v>
      </c>
      <c r="M625" s="484">
        <f>+M626</f>
        <v>3000000</v>
      </c>
      <c r="N625" s="484">
        <f>+N626</f>
        <v>3000000</v>
      </c>
      <c r="O625" s="2885"/>
    </row>
    <row r="626" spans="1:15" s="1007" customFormat="1" thickBot="1">
      <c r="A626" s="2883"/>
      <c r="B626" s="477" t="s">
        <v>12</v>
      </c>
      <c r="C626" s="2896"/>
      <c r="D626" s="251">
        <f>E626+F626+G626+H626+I626+J626+K626+L626</f>
        <v>3000000</v>
      </c>
      <c r="E626" s="289">
        <v>0</v>
      </c>
      <c r="F626" s="242">
        <v>0</v>
      </c>
      <c r="G626" s="242">
        <v>3000000</v>
      </c>
      <c r="H626" s="242"/>
      <c r="I626" s="242"/>
      <c r="J626" s="312">
        <v>0</v>
      </c>
      <c r="K626" s="312">
        <v>0</v>
      </c>
      <c r="L626" s="312">
        <v>0</v>
      </c>
      <c r="M626" s="1065">
        <f>SUM(F626:K626)</f>
        <v>3000000</v>
      </c>
      <c r="N626" s="1065">
        <f>SUM(G626:L626)</f>
        <v>3000000</v>
      </c>
      <c r="O626" s="2886"/>
    </row>
    <row r="627" spans="1:15" s="1007" customFormat="1" ht="17.25" customHeight="1">
      <c r="A627" s="2881" t="s">
        <v>93</v>
      </c>
      <c r="B627" s="287" t="s">
        <v>406</v>
      </c>
      <c r="C627" s="59" t="s">
        <v>81</v>
      </c>
      <c r="D627" s="131"/>
      <c r="E627" s="44"/>
      <c r="F627" s="44"/>
      <c r="G627" s="44"/>
      <c r="H627" s="44"/>
      <c r="I627" s="44"/>
      <c r="J627" s="44"/>
      <c r="K627" s="44"/>
      <c r="L627" s="44"/>
      <c r="M627" s="45"/>
      <c r="N627" s="45"/>
      <c r="O627" s="2884" t="s">
        <v>86</v>
      </c>
    </row>
    <row r="628" spans="1:15" s="1007" customFormat="1" ht="12">
      <c r="A628" s="2882"/>
      <c r="B628" s="728" t="s">
        <v>10</v>
      </c>
      <c r="C628" s="829"/>
      <c r="D628" s="708">
        <f>+D629</f>
        <v>30000000</v>
      </c>
      <c r="E628" s="708">
        <f t="shared" ref="E628:L629" si="373">+E629</f>
        <v>0</v>
      </c>
      <c r="F628" s="708">
        <f t="shared" si="373"/>
        <v>10000000</v>
      </c>
      <c r="G628" s="708">
        <f t="shared" si="373"/>
        <v>10000000</v>
      </c>
      <c r="H628" s="708">
        <f t="shared" si="373"/>
        <v>10000000</v>
      </c>
      <c r="I628" s="708">
        <f t="shared" si="373"/>
        <v>0</v>
      </c>
      <c r="J628" s="708">
        <f t="shared" si="373"/>
        <v>0</v>
      </c>
      <c r="K628" s="708">
        <f t="shared" si="373"/>
        <v>0</v>
      </c>
      <c r="L628" s="708">
        <f t="shared" si="373"/>
        <v>0</v>
      </c>
      <c r="M628" s="1587">
        <f>+M629</f>
        <v>30000000</v>
      </c>
      <c r="N628" s="1587">
        <f>+N629</f>
        <v>20000000</v>
      </c>
      <c r="O628" s="2885"/>
    </row>
    <row r="629" spans="1:15" s="1007" customFormat="1" ht="12">
      <c r="A629" s="2882"/>
      <c r="B629" s="694" t="s">
        <v>24</v>
      </c>
      <c r="C629" s="2887" t="s">
        <v>84</v>
      </c>
      <c r="D629" s="709">
        <f>+D630</f>
        <v>30000000</v>
      </c>
      <c r="E629" s="709">
        <f t="shared" si="373"/>
        <v>0</v>
      </c>
      <c r="F629" s="709">
        <f t="shared" si="373"/>
        <v>10000000</v>
      </c>
      <c r="G629" s="709">
        <f t="shared" si="373"/>
        <v>10000000</v>
      </c>
      <c r="H629" s="709">
        <f t="shared" si="373"/>
        <v>10000000</v>
      </c>
      <c r="I629" s="709">
        <f t="shared" si="373"/>
        <v>0</v>
      </c>
      <c r="J629" s="709">
        <f t="shared" si="373"/>
        <v>0</v>
      </c>
      <c r="K629" s="709">
        <f t="shared" si="373"/>
        <v>0</v>
      </c>
      <c r="L629" s="709">
        <f t="shared" si="373"/>
        <v>0</v>
      </c>
      <c r="M629" s="707">
        <f>+M630</f>
        <v>30000000</v>
      </c>
      <c r="N629" s="707">
        <f>+N630</f>
        <v>20000000</v>
      </c>
      <c r="O629" s="2885"/>
    </row>
    <row r="630" spans="1:15" s="1007" customFormat="1" thickBot="1">
      <c r="A630" s="2883"/>
      <c r="B630" s="473" t="s">
        <v>12</v>
      </c>
      <c r="C630" s="2888"/>
      <c r="D630" s="1026">
        <f>E630+F630+G630+H630+I630+J630+K630+L630</f>
        <v>30000000</v>
      </c>
      <c r="E630" s="1026">
        <v>0</v>
      </c>
      <c r="F630" s="1078">
        <v>10000000</v>
      </c>
      <c r="G630" s="1078">
        <v>10000000</v>
      </c>
      <c r="H630" s="1078">
        <v>10000000</v>
      </c>
      <c r="I630" s="1078"/>
      <c r="J630" s="1703"/>
      <c r="K630" s="534"/>
      <c r="L630" s="1078"/>
      <c r="M630" s="1065">
        <f>SUM(F630:K630)</f>
        <v>30000000</v>
      </c>
      <c r="N630" s="1065">
        <f>SUM(G630:L630)</f>
        <v>20000000</v>
      </c>
      <c r="O630" s="2886"/>
    </row>
    <row r="631" spans="1:15" hidden="1"/>
    <row r="632" spans="1:15" hidden="1">
      <c r="B632" s="237" t="s">
        <v>390</v>
      </c>
    </row>
    <row r="633" spans="1:15" hidden="1">
      <c r="B633" s="237" t="s">
        <v>391</v>
      </c>
      <c r="D633" s="491">
        <f t="shared" ref="D633:L633" si="374">D405</f>
        <v>384389</v>
      </c>
      <c r="E633" s="491">
        <f t="shared" si="374"/>
        <v>0</v>
      </c>
      <c r="F633" s="491">
        <f t="shared" si="374"/>
        <v>45897</v>
      </c>
      <c r="G633" s="491">
        <f t="shared" si="374"/>
        <v>239058</v>
      </c>
      <c r="H633" s="491">
        <f t="shared" si="374"/>
        <v>99434</v>
      </c>
      <c r="I633" s="491">
        <f t="shared" si="374"/>
        <v>0</v>
      </c>
      <c r="J633" s="491">
        <f t="shared" si="374"/>
        <v>0</v>
      </c>
      <c r="K633" s="491">
        <f t="shared" si="374"/>
        <v>0</v>
      </c>
      <c r="L633" s="491">
        <f t="shared" si="374"/>
        <v>0</v>
      </c>
    </row>
    <row r="634" spans="1:15" hidden="1">
      <c r="B634" s="237" t="s">
        <v>392</v>
      </c>
      <c r="D634" s="491">
        <f t="shared" ref="D634:L634" si="375">D22-D405</f>
        <v>755221310</v>
      </c>
      <c r="E634" s="491">
        <f t="shared" si="375"/>
        <v>172029251</v>
      </c>
      <c r="F634" s="491">
        <f t="shared" si="375"/>
        <v>187613881</v>
      </c>
      <c r="G634" s="491">
        <f t="shared" si="375"/>
        <v>344621903</v>
      </c>
      <c r="H634" s="491">
        <f t="shared" si="375"/>
        <v>47822213</v>
      </c>
      <c r="I634" s="491">
        <f t="shared" si="375"/>
        <v>3134062</v>
      </c>
      <c r="J634" s="491">
        <f t="shared" si="375"/>
        <v>0</v>
      </c>
      <c r="K634" s="491">
        <f t="shared" si="375"/>
        <v>0</v>
      </c>
      <c r="L634" s="491">
        <f t="shared" si="375"/>
        <v>0</v>
      </c>
    </row>
    <row r="635" spans="1:15" hidden="1">
      <c r="B635" s="237" t="s">
        <v>393</v>
      </c>
      <c r="D635" s="1085">
        <f>D633+D634</f>
        <v>755605699</v>
      </c>
      <c r="E635" s="1085">
        <f t="shared" ref="E635:L635" si="376">E633+E634</f>
        <v>172029251</v>
      </c>
      <c r="F635" s="1085">
        <f t="shared" si="376"/>
        <v>187659778</v>
      </c>
      <c r="G635" s="1085">
        <f t="shared" si="376"/>
        <v>344860961</v>
      </c>
      <c r="H635" s="1085">
        <f t="shared" si="376"/>
        <v>47921647</v>
      </c>
      <c r="I635" s="1085">
        <f t="shared" si="376"/>
        <v>3134062</v>
      </c>
      <c r="J635" s="1085">
        <f t="shared" si="376"/>
        <v>0</v>
      </c>
      <c r="K635" s="1085">
        <f t="shared" si="376"/>
        <v>0</v>
      </c>
      <c r="L635" s="1085">
        <f t="shared" si="376"/>
        <v>0</v>
      </c>
    </row>
    <row r="636" spans="1:15" s="926" customFormat="1" hidden="1">
      <c r="B636" s="926" t="s">
        <v>42</v>
      </c>
      <c r="D636" s="923">
        <f t="shared" ref="D636:L636" si="377">D22-D635</f>
        <v>0</v>
      </c>
      <c r="E636" s="923">
        <f t="shared" si="377"/>
        <v>0</v>
      </c>
      <c r="F636" s="923">
        <f t="shared" si="377"/>
        <v>0</v>
      </c>
      <c r="G636" s="923">
        <f t="shared" si="377"/>
        <v>0</v>
      </c>
      <c r="H636" s="923">
        <f t="shared" si="377"/>
        <v>0</v>
      </c>
      <c r="I636" s="923">
        <f t="shared" si="377"/>
        <v>0</v>
      </c>
      <c r="J636" s="923">
        <f t="shared" si="377"/>
        <v>0</v>
      </c>
      <c r="K636" s="923">
        <f t="shared" si="377"/>
        <v>0</v>
      </c>
      <c r="L636" s="923">
        <f t="shared" si="377"/>
        <v>0</v>
      </c>
    </row>
    <row r="637" spans="1:15" hidden="1"/>
    <row r="638" spans="1:15" hidden="1"/>
    <row r="639" spans="1:15" hidden="1">
      <c r="B639" s="237" t="s">
        <v>500</v>
      </c>
    </row>
    <row r="640" spans="1:15" hidden="1">
      <c r="B640" s="237" t="s">
        <v>391</v>
      </c>
      <c r="D640" s="491">
        <f>D505+D567+D540+D612</f>
        <v>191908615</v>
      </c>
      <c r="E640" s="491">
        <f t="shared" ref="E640:L640" si="378">E505+E567+E540+E612</f>
        <v>56644776</v>
      </c>
      <c r="F640" s="491">
        <f t="shared" si="378"/>
        <v>47275084</v>
      </c>
      <c r="G640" s="491">
        <f t="shared" si="378"/>
        <v>27877585</v>
      </c>
      <c r="H640" s="491">
        <f t="shared" si="378"/>
        <v>30055585</v>
      </c>
      <c r="I640" s="491">
        <f t="shared" si="378"/>
        <v>30055585</v>
      </c>
      <c r="J640" s="491">
        <f t="shared" si="378"/>
        <v>0</v>
      </c>
      <c r="K640" s="491">
        <f t="shared" si="378"/>
        <v>0</v>
      </c>
      <c r="L640" s="491">
        <f t="shared" si="378"/>
        <v>0</v>
      </c>
    </row>
    <row r="641" spans="2:12" hidden="1">
      <c r="B641" s="237" t="s">
        <v>392</v>
      </c>
      <c r="D641" s="491">
        <f>D517+D620</f>
        <v>5267227</v>
      </c>
      <c r="E641" s="491">
        <f t="shared" ref="E641:L641" si="379">E517+E620</f>
        <v>2844227</v>
      </c>
      <c r="F641" s="491">
        <f t="shared" si="379"/>
        <v>2423000</v>
      </c>
      <c r="G641" s="491">
        <f t="shared" si="379"/>
        <v>0</v>
      </c>
      <c r="H641" s="491">
        <f t="shared" si="379"/>
        <v>0</v>
      </c>
      <c r="I641" s="491">
        <f t="shared" si="379"/>
        <v>0</v>
      </c>
      <c r="J641" s="491">
        <f t="shared" si="379"/>
        <v>0</v>
      </c>
      <c r="K641" s="491">
        <f t="shared" si="379"/>
        <v>0</v>
      </c>
      <c r="L641" s="491">
        <f t="shared" si="379"/>
        <v>0</v>
      </c>
    </row>
    <row r="642" spans="2:12" hidden="1">
      <c r="B642" s="237" t="s">
        <v>393</v>
      </c>
      <c r="D642" s="1085">
        <f>D640+D641</f>
        <v>197175842</v>
      </c>
      <c r="E642" s="1085">
        <f t="shared" ref="E642:L642" si="380">E640+E641</f>
        <v>59489003</v>
      </c>
      <c r="F642" s="1085">
        <f t="shared" si="380"/>
        <v>49698084</v>
      </c>
      <c r="G642" s="1085">
        <f t="shared" si="380"/>
        <v>27877585</v>
      </c>
      <c r="H642" s="1085">
        <f t="shared" si="380"/>
        <v>30055585</v>
      </c>
      <c r="I642" s="1085">
        <f t="shared" si="380"/>
        <v>30055585</v>
      </c>
      <c r="J642" s="1085">
        <f t="shared" si="380"/>
        <v>0</v>
      </c>
      <c r="K642" s="1085">
        <f t="shared" si="380"/>
        <v>0</v>
      </c>
      <c r="L642" s="1085">
        <f t="shared" si="380"/>
        <v>0</v>
      </c>
    </row>
    <row r="643" spans="2:12" s="926" customFormat="1" hidden="1">
      <c r="B643" s="926" t="s">
        <v>42</v>
      </c>
      <c r="D643" s="923">
        <f>D494-D642</f>
        <v>0</v>
      </c>
      <c r="E643" s="923">
        <f t="shared" ref="E643:L643" si="381">E494-E642</f>
        <v>0</v>
      </c>
      <c r="F643" s="923">
        <f t="shared" si="381"/>
        <v>0</v>
      </c>
      <c r="G643" s="923">
        <f t="shared" si="381"/>
        <v>0</v>
      </c>
      <c r="H643" s="923">
        <f t="shared" si="381"/>
        <v>0</v>
      </c>
      <c r="I643" s="923">
        <f t="shared" si="381"/>
        <v>0</v>
      </c>
      <c r="J643" s="923">
        <f t="shared" si="381"/>
        <v>0</v>
      </c>
      <c r="K643" s="923">
        <f t="shared" si="381"/>
        <v>0</v>
      </c>
      <c r="L643" s="923">
        <f t="shared" si="381"/>
        <v>0</v>
      </c>
    </row>
    <row r="644" spans="2:12" hidden="1"/>
    <row r="645" spans="2:12" hidden="1"/>
    <row r="646" spans="2:12" hidden="1"/>
    <row r="647" spans="2:12" hidden="1"/>
    <row r="648" spans="2:12" hidden="1"/>
    <row r="649" spans="2:12" hidden="1"/>
    <row r="650" spans="2:12" hidden="1"/>
    <row r="651" spans="2:12" hidden="1"/>
    <row r="652" spans="2:12" hidden="1"/>
    <row r="653" spans="2:12" hidden="1"/>
    <row r="654" spans="2:12" hidden="1"/>
  </sheetData>
  <mergeCells count="354">
    <mergeCell ref="A252:A263"/>
    <mergeCell ref="O252:O258"/>
    <mergeCell ref="C254:C258"/>
    <mergeCell ref="M259:M263"/>
    <mergeCell ref="N259:N263"/>
    <mergeCell ref="O259:O263"/>
    <mergeCell ref="C260:C263"/>
    <mergeCell ref="C621:C622"/>
    <mergeCell ref="A615:A622"/>
    <mergeCell ref="C617:C619"/>
    <mergeCell ref="O615:O622"/>
    <mergeCell ref="A357:A365"/>
    <mergeCell ref="A423:A438"/>
    <mergeCell ref="C406:C407"/>
    <mergeCell ref="C449:C456"/>
    <mergeCell ref="O475:O483"/>
    <mergeCell ref="C477:C480"/>
    <mergeCell ref="C522:C523"/>
    <mergeCell ref="A524:A527"/>
    <mergeCell ref="O524:O527"/>
    <mergeCell ref="C526:C527"/>
    <mergeCell ref="O508:O511"/>
    <mergeCell ref="C510:C511"/>
    <mergeCell ref="O466:O474"/>
    <mergeCell ref="P114:P120"/>
    <mergeCell ref="P158:P162"/>
    <mergeCell ref="P170:P174"/>
    <mergeCell ref="A623:A626"/>
    <mergeCell ref="O623:O626"/>
    <mergeCell ref="C625:C626"/>
    <mergeCell ref="O500:O507"/>
    <mergeCell ref="O204:O210"/>
    <mergeCell ref="A216:A227"/>
    <mergeCell ref="O216:O222"/>
    <mergeCell ref="C218:C222"/>
    <mergeCell ref="N223:N227"/>
    <mergeCell ref="O223:O227"/>
    <mergeCell ref="C224:C227"/>
    <mergeCell ref="O457:O465"/>
    <mergeCell ref="C459:C462"/>
    <mergeCell ref="A326:A334"/>
    <mergeCell ref="O326:O331"/>
    <mergeCell ref="C328:C331"/>
    <mergeCell ref="A384:A392"/>
    <mergeCell ref="O543:O546"/>
    <mergeCell ref="C545:C547"/>
    <mergeCell ref="A457:A465"/>
    <mergeCell ref="A439:A456"/>
    <mergeCell ref="N448:N456"/>
    <mergeCell ref="C410:C416"/>
    <mergeCell ref="C421:C422"/>
    <mergeCell ref="N420:N422"/>
    <mergeCell ref="O423:O437"/>
    <mergeCell ref="C333:C334"/>
    <mergeCell ref="O271:O275"/>
    <mergeCell ref="C395:C401"/>
    <mergeCell ref="N405:N407"/>
    <mergeCell ref="N283:N287"/>
    <mergeCell ref="C284:C287"/>
    <mergeCell ref="M372:M374"/>
    <mergeCell ref="M381:M383"/>
    <mergeCell ref="M390:M392"/>
    <mergeCell ref="M295:M299"/>
    <mergeCell ref="M321:M325"/>
    <mergeCell ref="M332:M334"/>
    <mergeCell ref="O381:O383"/>
    <mergeCell ref="C382:C383"/>
    <mergeCell ref="N390:N392"/>
    <mergeCell ref="C302:C307"/>
    <mergeCell ref="C309:C313"/>
    <mergeCell ref="C353:C356"/>
    <mergeCell ref="C377:C380"/>
    <mergeCell ref="N381:N383"/>
    <mergeCell ref="C359:C362"/>
    <mergeCell ref="O357:O362"/>
    <mergeCell ref="O390:O392"/>
    <mergeCell ref="P276:R276"/>
    <mergeCell ref="A393:A407"/>
    <mergeCell ref="A595:A598"/>
    <mergeCell ref="O595:O598"/>
    <mergeCell ref="C597:C598"/>
    <mergeCell ref="C296:C299"/>
    <mergeCell ref="A336:A344"/>
    <mergeCell ref="O336:O341"/>
    <mergeCell ref="C338:C341"/>
    <mergeCell ref="O342:O344"/>
    <mergeCell ref="C343:C344"/>
    <mergeCell ref="O393:O407"/>
    <mergeCell ref="A345:A356"/>
    <mergeCell ref="O345:O351"/>
    <mergeCell ref="A485:A496"/>
    <mergeCell ref="O490:O499"/>
    <mergeCell ref="A375:A383"/>
    <mergeCell ref="O375:O380"/>
    <mergeCell ref="O352:O356"/>
    <mergeCell ref="N432:N438"/>
    <mergeCell ref="O300:O313"/>
    <mergeCell ref="O276:O287"/>
    <mergeCell ref="A300:A313"/>
    <mergeCell ref="O548:O550"/>
    <mergeCell ref="A113:A127"/>
    <mergeCell ref="O114:O120"/>
    <mergeCell ref="C115:C120"/>
    <mergeCell ref="O54:O60"/>
    <mergeCell ref="A79:A90"/>
    <mergeCell ref="O80:O85"/>
    <mergeCell ref="C81:C85"/>
    <mergeCell ref="O86:O90"/>
    <mergeCell ref="C87:C90"/>
    <mergeCell ref="C55:C60"/>
    <mergeCell ref="A67:A78"/>
    <mergeCell ref="O61:O66"/>
    <mergeCell ref="C62:C66"/>
    <mergeCell ref="O68:O73"/>
    <mergeCell ref="O74:O78"/>
    <mergeCell ref="N74:N78"/>
    <mergeCell ref="C93:C97"/>
    <mergeCell ref="O98:O102"/>
    <mergeCell ref="C99:C102"/>
    <mergeCell ref="N98:N102"/>
    <mergeCell ref="C200:C203"/>
    <mergeCell ref="O187:O191"/>
    <mergeCell ref="C188:C191"/>
    <mergeCell ref="A192:A203"/>
    <mergeCell ref="O151:O155"/>
    <mergeCell ref="A180:A191"/>
    <mergeCell ref="O181:O186"/>
    <mergeCell ref="C182:C186"/>
    <mergeCell ref="N187:N191"/>
    <mergeCell ref="O157:O162"/>
    <mergeCell ref="C158:C162"/>
    <mergeCell ref="N163:N167"/>
    <mergeCell ref="O163:O167"/>
    <mergeCell ref="C164:C167"/>
    <mergeCell ref="A168:A179"/>
    <mergeCell ref="A53:A66"/>
    <mergeCell ref="N61:N66"/>
    <mergeCell ref="O145:O150"/>
    <mergeCell ref="A91:A102"/>
    <mergeCell ref="O92:O97"/>
    <mergeCell ref="C75:C78"/>
    <mergeCell ref="O121:O127"/>
    <mergeCell ref="C122:C127"/>
    <mergeCell ref="M121:M127"/>
    <mergeCell ref="N109:N111"/>
    <mergeCell ref="A128:A143"/>
    <mergeCell ref="C69:C72"/>
    <mergeCell ref="N86:N90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N211:N215"/>
    <mergeCell ref="O211:O215"/>
    <mergeCell ref="C212:C215"/>
    <mergeCell ref="A204:A215"/>
    <mergeCell ref="C206:C210"/>
    <mergeCell ref="O137:O143"/>
    <mergeCell ref="C138:C143"/>
    <mergeCell ref="A103:A111"/>
    <mergeCell ref="O104:O108"/>
    <mergeCell ref="C105:C108"/>
    <mergeCell ref="O109:O111"/>
    <mergeCell ref="C110:C111"/>
    <mergeCell ref="N151:N155"/>
    <mergeCell ref="N121:N127"/>
    <mergeCell ref="N137:N143"/>
    <mergeCell ref="A144:A155"/>
    <mergeCell ref="C146:C150"/>
    <mergeCell ref="C152:C155"/>
    <mergeCell ref="O129:O136"/>
    <mergeCell ref="C130:C136"/>
    <mergeCell ref="O193:O198"/>
    <mergeCell ref="C194:C198"/>
    <mergeCell ref="N199:N203"/>
    <mergeCell ref="O199:O203"/>
    <mergeCell ref="A240:A251"/>
    <mergeCell ref="C176:C179"/>
    <mergeCell ref="A228:A239"/>
    <mergeCell ref="O288:O299"/>
    <mergeCell ref="A264:A275"/>
    <mergeCell ref="A156:A167"/>
    <mergeCell ref="A366:A374"/>
    <mergeCell ref="C368:C371"/>
    <mergeCell ref="N363:N365"/>
    <mergeCell ref="C364:C365"/>
    <mergeCell ref="A288:A299"/>
    <mergeCell ref="C347:C351"/>
    <mergeCell ref="A314:A325"/>
    <mergeCell ref="A276:A287"/>
    <mergeCell ref="C278:C282"/>
    <mergeCell ref="O169:O174"/>
    <mergeCell ref="C170:C174"/>
    <mergeCell ref="O175:O179"/>
    <mergeCell ref="O363:O365"/>
    <mergeCell ref="O228:O234"/>
    <mergeCell ref="C230:C234"/>
    <mergeCell ref="N175:N179"/>
    <mergeCell ref="C266:C270"/>
    <mergeCell ref="C236:C239"/>
    <mergeCell ref="O240:O246"/>
    <mergeCell ref="C242:C246"/>
    <mergeCell ref="O247:O251"/>
    <mergeCell ref="C248:C251"/>
    <mergeCell ref="O366:O371"/>
    <mergeCell ref="O372:O374"/>
    <mergeCell ref="N463:N465"/>
    <mergeCell ref="C391:C392"/>
    <mergeCell ref="O439:O455"/>
    <mergeCell ref="C441:C444"/>
    <mergeCell ref="N372:N374"/>
    <mergeCell ref="C373:C374"/>
    <mergeCell ref="O314:O320"/>
    <mergeCell ref="O384:O389"/>
    <mergeCell ref="N271:N275"/>
    <mergeCell ref="N321:N325"/>
    <mergeCell ref="N332:N334"/>
    <mergeCell ref="N342:N344"/>
    <mergeCell ref="N247:N251"/>
    <mergeCell ref="O264:O270"/>
    <mergeCell ref="C272:C275"/>
    <mergeCell ref="C290:C294"/>
    <mergeCell ref="N295:N299"/>
    <mergeCell ref="C386:C389"/>
    <mergeCell ref="N235:N239"/>
    <mergeCell ref="O235:O239"/>
    <mergeCell ref="C464:C465"/>
    <mergeCell ref="N352:N356"/>
    <mergeCell ref="A536:A542"/>
    <mergeCell ref="O555:O557"/>
    <mergeCell ref="C556:C557"/>
    <mergeCell ref="A512:A519"/>
    <mergeCell ref="O512:O519"/>
    <mergeCell ref="C514:C516"/>
    <mergeCell ref="C518:C519"/>
    <mergeCell ref="N517:N519"/>
    <mergeCell ref="A520:A523"/>
    <mergeCell ref="A528:A535"/>
    <mergeCell ref="O528:O531"/>
    <mergeCell ref="C530:C532"/>
    <mergeCell ref="O533:O535"/>
    <mergeCell ref="C534:C535"/>
    <mergeCell ref="O536:O539"/>
    <mergeCell ref="C538:C539"/>
    <mergeCell ref="A551:A557"/>
    <mergeCell ref="N555:N557"/>
    <mergeCell ref="A543:A550"/>
    <mergeCell ref="C549:C550"/>
    <mergeCell ref="O520:O523"/>
    <mergeCell ref="N533:N535"/>
    <mergeCell ref="N540:N542"/>
    <mergeCell ref="C482:C483"/>
    <mergeCell ref="N472:N474"/>
    <mergeCell ref="N481:N483"/>
    <mergeCell ref="N494:N499"/>
    <mergeCell ref="C502:C503"/>
    <mergeCell ref="A466:A474"/>
    <mergeCell ref="A500:A507"/>
    <mergeCell ref="N505:N507"/>
    <mergeCell ref="A508:A511"/>
    <mergeCell ref="A475:A483"/>
    <mergeCell ref="C506:C507"/>
    <mergeCell ref="M472:M474"/>
    <mergeCell ref="M481:M483"/>
    <mergeCell ref="M494:M499"/>
    <mergeCell ref="M505:M507"/>
    <mergeCell ref="M533:M535"/>
    <mergeCell ref="M540:M542"/>
    <mergeCell ref="A603:A606"/>
    <mergeCell ref="O603:O606"/>
    <mergeCell ref="C605:C606"/>
    <mergeCell ref="O591:O594"/>
    <mergeCell ref="C593:C594"/>
    <mergeCell ref="C581:C582"/>
    <mergeCell ref="A558:A561"/>
    <mergeCell ref="O558:O561"/>
    <mergeCell ref="C560:C561"/>
    <mergeCell ref="A562:A570"/>
    <mergeCell ref="O599:O602"/>
    <mergeCell ref="C601:C602"/>
    <mergeCell ref="A591:A594"/>
    <mergeCell ref="C568:C570"/>
    <mergeCell ref="M567:M570"/>
    <mergeCell ref="M580:M582"/>
    <mergeCell ref="M588:M590"/>
    <mergeCell ref="O612:O614"/>
    <mergeCell ref="N612:N614"/>
    <mergeCell ref="O562:O570"/>
    <mergeCell ref="M61:M66"/>
    <mergeCell ref="M74:M78"/>
    <mergeCell ref="M86:M90"/>
    <mergeCell ref="M98:M102"/>
    <mergeCell ref="M109:M111"/>
    <mergeCell ref="M137:M143"/>
    <mergeCell ref="M151:M155"/>
    <mergeCell ref="M163:M167"/>
    <mergeCell ref="M175:M179"/>
    <mergeCell ref="M187:M191"/>
    <mergeCell ref="M199:M203"/>
    <mergeCell ref="M211:M215"/>
    <mergeCell ref="M223:M227"/>
    <mergeCell ref="M235:M239"/>
    <mergeCell ref="M247:M251"/>
    <mergeCell ref="M271:M275"/>
    <mergeCell ref="M283:M287"/>
    <mergeCell ref="N548:N550"/>
    <mergeCell ref="N567:N570"/>
    <mergeCell ref="N580:N582"/>
    <mergeCell ref="O332:O334"/>
    <mergeCell ref="A627:A630"/>
    <mergeCell ref="O627:O630"/>
    <mergeCell ref="C629:C630"/>
    <mergeCell ref="C585:C587"/>
    <mergeCell ref="A575:A582"/>
    <mergeCell ref="C564:C565"/>
    <mergeCell ref="N620:N622"/>
    <mergeCell ref="C541:C542"/>
    <mergeCell ref="O551:O554"/>
    <mergeCell ref="C553:C554"/>
    <mergeCell ref="A583:A590"/>
    <mergeCell ref="O583:O590"/>
    <mergeCell ref="O575:O582"/>
    <mergeCell ref="C589:C590"/>
    <mergeCell ref="A571:A574"/>
    <mergeCell ref="N588:N590"/>
    <mergeCell ref="O571:O574"/>
    <mergeCell ref="C577:C579"/>
    <mergeCell ref="A599:A602"/>
    <mergeCell ref="M620:M622"/>
    <mergeCell ref="C613:C614"/>
    <mergeCell ref="A607:A614"/>
    <mergeCell ref="C609:C611"/>
    <mergeCell ref="O607:O611"/>
    <mergeCell ref="M612:M614"/>
    <mergeCell ref="M342:M344"/>
    <mergeCell ref="M352:M356"/>
    <mergeCell ref="M363:M365"/>
    <mergeCell ref="M405:M407"/>
    <mergeCell ref="M420:M422"/>
    <mergeCell ref="M432:M438"/>
    <mergeCell ref="M448:M456"/>
    <mergeCell ref="M463:M465"/>
    <mergeCell ref="M517:M519"/>
    <mergeCell ref="M548:M550"/>
    <mergeCell ref="M555:M557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6" orientation="landscape" useFirstPageNumber="1" r:id="rId1"/>
  <headerFooter alignWithMargins="0">
    <oddHeader>&amp;C&amp;"Arial,Kursywa"Wieloletnia prognoza finansowa  Województwa Zachodniopomorskiego na lata 2017 - 2044&amp;"Arial,Normalny"
_______________________________________________________________________________________________________________________________</oddHeader>
    <oddFooter>&amp;C&amp;8&amp;P</oddFooter>
  </headerFooter>
  <rowBreaks count="6" manualBreakCount="6">
    <brk id="111" max="14" man="1"/>
    <brk id="167" max="14" man="1"/>
    <brk id="215" max="14" man="1"/>
    <brk id="344" max="14" man="1"/>
    <brk id="511" max="14" man="1"/>
    <brk id="606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59"/>
  <sheetViews>
    <sheetView showGridLines="0" view="pageBreakPreview" zoomScaleNormal="100" zoomScaleSheetLayoutView="100" workbookViewId="0"/>
  </sheetViews>
  <sheetFormatPr defaultColWidth="9.140625" defaultRowHeight="12.75"/>
  <cols>
    <col min="1" max="1" width="4" style="410" customWidth="1"/>
    <col min="2" max="2" width="53.42578125" style="411" customWidth="1"/>
    <col min="3" max="3" width="10.42578125" style="411" customWidth="1"/>
    <col min="4" max="4" width="14.5703125" style="411" customWidth="1"/>
    <col min="5" max="5" width="12.85546875" style="411" customWidth="1"/>
    <col min="6" max="6" width="10.42578125" style="411" customWidth="1"/>
    <col min="7" max="7" width="10.85546875" style="411" customWidth="1"/>
    <col min="8" max="8" width="11.140625" style="411" customWidth="1"/>
    <col min="9" max="9" width="11.5703125" style="411" customWidth="1"/>
    <col min="10" max="10" width="10" style="411" customWidth="1"/>
    <col min="11" max="12" width="9.42578125" style="411" bestFit="1" customWidth="1"/>
    <col min="13" max="13" width="12.7109375" style="411" customWidth="1"/>
    <col min="14" max="14" width="12.7109375" style="411" hidden="1" customWidth="1"/>
    <col min="15" max="15" width="14.5703125" style="411" customWidth="1"/>
    <col min="16" max="16" width="14" style="411" hidden="1" customWidth="1"/>
    <col min="17" max="17" width="12.140625" style="411" hidden="1" customWidth="1"/>
    <col min="18" max="18" width="9.5703125" style="411" hidden="1" customWidth="1"/>
    <col min="19" max="19" width="14.28515625" style="411" hidden="1" customWidth="1"/>
    <col min="20" max="20" width="12" style="411" hidden="1" customWidth="1"/>
    <col min="21" max="22" width="0" style="411" hidden="1" customWidth="1"/>
    <col min="23" max="23" width="12.5703125" style="411" hidden="1" customWidth="1"/>
    <col min="24" max="66" width="0" style="411" hidden="1" customWidth="1"/>
    <col min="67" max="16384" width="9.140625" style="411"/>
  </cols>
  <sheetData>
    <row r="1" spans="1:17" s="409" customFormat="1" ht="17.25" customHeight="1">
      <c r="A1" s="2065"/>
      <c r="B1" s="2065"/>
      <c r="C1" s="2065"/>
      <c r="D1" s="2065"/>
      <c r="E1" s="2065"/>
      <c r="F1" s="2065"/>
      <c r="G1" s="2065"/>
      <c r="H1" s="2065"/>
      <c r="I1" s="328" t="s">
        <v>116</v>
      </c>
      <c r="J1" s="328"/>
      <c r="K1" s="328"/>
      <c r="L1" s="328"/>
      <c r="M1" s="6"/>
      <c r="N1" s="6"/>
      <c r="O1" s="7"/>
      <c r="P1" s="445"/>
    </row>
    <row r="2" spans="1:17" ht="12.75" customHeight="1">
      <c r="A2" s="2065"/>
      <c r="B2" s="2065"/>
      <c r="C2" s="2065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7"/>
      <c r="P2" s="446"/>
    </row>
    <row r="3" spans="1:17" ht="34.5" customHeight="1" thickBot="1">
      <c r="A3" s="3102" t="s">
        <v>117</v>
      </c>
      <c r="B3" s="3103"/>
      <c r="C3" s="3103"/>
      <c r="D3" s="3103"/>
      <c r="E3" s="3103"/>
      <c r="F3" s="3103"/>
      <c r="G3" s="3103"/>
      <c r="H3" s="3103"/>
      <c r="I3" s="3103"/>
      <c r="J3" s="3103"/>
      <c r="K3" s="3103"/>
      <c r="L3" s="3103"/>
      <c r="M3" s="3103"/>
      <c r="N3" s="3103"/>
      <c r="O3" s="3104"/>
      <c r="P3" s="410"/>
    </row>
    <row r="4" spans="1:17" ht="55.5" customHeight="1">
      <c r="A4" s="3112" t="s">
        <v>74</v>
      </c>
      <c r="B4" s="3110" t="s">
        <v>75</v>
      </c>
      <c r="C4" s="3105" t="s">
        <v>71</v>
      </c>
      <c r="D4" s="3105" t="s">
        <v>118</v>
      </c>
      <c r="E4" s="2547" t="s">
        <v>239</v>
      </c>
      <c r="F4" s="2996" t="s">
        <v>454</v>
      </c>
      <c r="G4" s="2993" t="s">
        <v>456</v>
      </c>
      <c r="H4" s="2994"/>
      <c r="I4" s="2994"/>
      <c r="J4" s="2994"/>
      <c r="K4" s="2994"/>
      <c r="L4" s="2995"/>
      <c r="M4" s="3100" t="s">
        <v>479</v>
      </c>
      <c r="N4" s="3100" t="s">
        <v>457</v>
      </c>
      <c r="O4" s="3108" t="s">
        <v>73</v>
      </c>
      <c r="P4" s="548"/>
    </row>
    <row r="5" spans="1:17" ht="16.5" customHeight="1" thickBot="1">
      <c r="A5" s="3113"/>
      <c r="B5" s="3111"/>
      <c r="C5" s="3106"/>
      <c r="D5" s="3107"/>
      <c r="E5" s="2102" t="s">
        <v>433</v>
      </c>
      <c r="F5" s="2997"/>
      <c r="G5" s="2538" t="s">
        <v>6</v>
      </c>
      <c r="H5" s="2538" t="s">
        <v>184</v>
      </c>
      <c r="I5" s="2538" t="s">
        <v>186</v>
      </c>
      <c r="J5" s="2538" t="s">
        <v>230</v>
      </c>
      <c r="K5" s="2538" t="s">
        <v>231</v>
      </c>
      <c r="L5" s="2538" t="s">
        <v>229</v>
      </c>
      <c r="M5" s="3101"/>
      <c r="N5" s="3101"/>
      <c r="O5" s="3109"/>
      <c r="P5" s="548"/>
    </row>
    <row r="6" spans="1:17" ht="13.5" customHeight="1">
      <c r="A6" s="1137">
        <v>1</v>
      </c>
      <c r="B6" s="1138">
        <v>2</v>
      </c>
      <c r="C6" s="1139" t="s">
        <v>119</v>
      </c>
      <c r="D6" s="1139" t="s">
        <v>120</v>
      </c>
      <c r="E6" s="1139">
        <v>5</v>
      </c>
      <c r="F6" s="1139">
        <v>6</v>
      </c>
      <c r="G6" s="1139">
        <v>7</v>
      </c>
      <c r="H6" s="1139">
        <v>8</v>
      </c>
      <c r="I6" s="1139">
        <v>9</v>
      </c>
      <c r="J6" s="1139">
        <v>10</v>
      </c>
      <c r="K6" s="1139">
        <v>11</v>
      </c>
      <c r="L6" s="1139">
        <v>12</v>
      </c>
      <c r="M6" s="1140">
        <v>13</v>
      </c>
      <c r="N6" s="1140">
        <v>13</v>
      </c>
      <c r="O6" s="1141">
        <v>14</v>
      </c>
      <c r="P6" s="548"/>
    </row>
    <row r="7" spans="1:17" ht="14.25" customHeight="1">
      <c r="A7" s="553"/>
      <c r="B7" s="1142" t="s">
        <v>76</v>
      </c>
      <c r="C7" s="1142"/>
      <c r="D7" s="1143">
        <f>+D8+D9</f>
        <v>102015992</v>
      </c>
      <c r="E7" s="1143">
        <f t="shared" ref="E7" si="0">+E8+E9</f>
        <v>10871664</v>
      </c>
      <c r="F7" s="1143">
        <f t="shared" ref="F7:G7" si="1">+F8+F9</f>
        <v>14205061</v>
      </c>
      <c r="G7" s="1143">
        <f t="shared" si="1"/>
        <v>21325260</v>
      </c>
      <c r="H7" s="1143">
        <f t="shared" ref="H7:N7" si="2">+H8+H9</f>
        <v>16405752</v>
      </c>
      <c r="I7" s="1143">
        <f t="shared" si="2"/>
        <v>12568152</v>
      </c>
      <c r="J7" s="1143">
        <f t="shared" si="2"/>
        <v>9597275</v>
      </c>
      <c r="K7" s="1143">
        <f t="shared" si="2"/>
        <v>8877275</v>
      </c>
      <c r="L7" s="1143">
        <f t="shared" si="2"/>
        <v>8165553</v>
      </c>
      <c r="M7" s="1144">
        <f t="shared" ref="M7" si="3">+M8+M9</f>
        <v>91144328</v>
      </c>
      <c r="N7" s="1144">
        <f t="shared" si="2"/>
        <v>76939267</v>
      </c>
      <c r="O7" s="1145"/>
      <c r="P7" s="549">
        <f>+N7-N10</f>
        <v>0</v>
      </c>
      <c r="Q7" s="412"/>
    </row>
    <row r="8" spans="1:17" ht="13.5" customHeight="1">
      <c r="A8" s="454"/>
      <c r="B8" s="1142" t="s">
        <v>77</v>
      </c>
      <c r="C8" s="1142"/>
      <c r="D8" s="1143">
        <f>+D24+D44+D85+D61+D109+D122</f>
        <v>101540363</v>
      </c>
      <c r="E8" s="1143">
        <f t="shared" ref="E8:L8" si="4">+E24+E44+E85+E61+E109+E122</f>
        <v>10845709</v>
      </c>
      <c r="F8" s="1143">
        <f t="shared" si="4"/>
        <v>14102510</v>
      </c>
      <c r="G8" s="1143">
        <f t="shared" si="4"/>
        <v>21066137</v>
      </c>
      <c r="H8" s="1143">
        <f t="shared" si="4"/>
        <v>16334752</v>
      </c>
      <c r="I8" s="1143">
        <f t="shared" si="4"/>
        <v>12551152</v>
      </c>
      <c r="J8" s="1143">
        <f t="shared" si="4"/>
        <v>9597275</v>
      </c>
      <c r="K8" s="1143">
        <f t="shared" si="4"/>
        <v>8877275</v>
      </c>
      <c r="L8" s="1143">
        <f t="shared" si="4"/>
        <v>8165553</v>
      </c>
      <c r="M8" s="1144">
        <f>+M24+M44+M85+M61+M109+M122</f>
        <v>90694654</v>
      </c>
      <c r="N8" s="1144">
        <f>+N24+N44+N85+N61+N109+N122</f>
        <v>76592144</v>
      </c>
      <c r="O8" s="1145"/>
      <c r="P8" s="549"/>
      <c r="Q8" s="412"/>
    </row>
    <row r="9" spans="1:17" ht="13.5" customHeight="1">
      <c r="A9" s="454"/>
      <c r="B9" s="1146" t="s">
        <v>9</v>
      </c>
      <c r="C9" s="1147"/>
      <c r="D9" s="1148">
        <f>+D73+D97+D134</f>
        <v>475629</v>
      </c>
      <c r="E9" s="1148">
        <f t="shared" ref="E9:L9" si="5">+E73+E97+E134</f>
        <v>25955</v>
      </c>
      <c r="F9" s="1148">
        <f t="shared" si="5"/>
        <v>102551</v>
      </c>
      <c r="G9" s="1148">
        <f t="shared" si="5"/>
        <v>259123</v>
      </c>
      <c r="H9" s="1148">
        <f t="shared" si="5"/>
        <v>71000</v>
      </c>
      <c r="I9" s="1148">
        <f t="shared" si="5"/>
        <v>17000</v>
      </c>
      <c r="J9" s="1148">
        <f t="shared" si="5"/>
        <v>0</v>
      </c>
      <c r="K9" s="1148">
        <f t="shared" si="5"/>
        <v>0</v>
      </c>
      <c r="L9" s="1148">
        <f t="shared" si="5"/>
        <v>0</v>
      </c>
      <c r="M9" s="1144">
        <f>+M73+M97+M134</f>
        <v>449674</v>
      </c>
      <c r="N9" s="1144">
        <f>+N73+N97+N134</f>
        <v>347123</v>
      </c>
      <c r="O9" s="1145"/>
      <c r="P9" s="548"/>
    </row>
    <row r="10" spans="1:17" ht="13.5" customHeight="1">
      <c r="A10" s="454"/>
      <c r="B10" s="1041" t="s">
        <v>10</v>
      </c>
      <c r="C10" s="1041"/>
      <c r="D10" s="1149">
        <f>+D11+D14</f>
        <v>102015992</v>
      </c>
      <c r="E10" s="1149">
        <f t="shared" ref="E10" si="6">E11+E14</f>
        <v>10871664</v>
      </c>
      <c r="F10" s="1149">
        <f t="shared" ref="F10:I10" si="7">F11+F14</f>
        <v>14205061</v>
      </c>
      <c r="G10" s="1149">
        <f t="shared" si="7"/>
        <v>21325260</v>
      </c>
      <c r="H10" s="1149">
        <f t="shared" si="7"/>
        <v>16405752</v>
      </c>
      <c r="I10" s="1149">
        <f t="shared" si="7"/>
        <v>12568152</v>
      </c>
      <c r="J10" s="1149">
        <f>J11+J14</f>
        <v>9597275</v>
      </c>
      <c r="K10" s="1149">
        <f>K11+K14</f>
        <v>8877275</v>
      </c>
      <c r="L10" s="1149">
        <f>L11+L14</f>
        <v>8165553</v>
      </c>
      <c r="M10" s="1039">
        <f>M11+M14</f>
        <v>91144328</v>
      </c>
      <c r="N10" s="1039">
        <f>N11+N14</f>
        <v>76939267</v>
      </c>
      <c r="O10" s="1150"/>
      <c r="P10" s="549"/>
      <c r="Q10" s="412"/>
    </row>
    <row r="11" spans="1:17" s="413" customFormat="1" ht="13.5" customHeight="1">
      <c r="A11" s="454"/>
      <c r="B11" s="1151" t="s">
        <v>24</v>
      </c>
      <c r="C11" s="1151"/>
      <c r="D11" s="1152">
        <f>D12+D13</f>
        <v>13332381</v>
      </c>
      <c r="E11" s="1152">
        <f t="shared" ref="E11" si="8">E12+E13</f>
        <v>1643614</v>
      </c>
      <c r="F11" s="1152">
        <f t="shared" ref="F11:I11" si="9">F12+F13</f>
        <v>2063805</v>
      </c>
      <c r="G11" s="1152">
        <f t="shared" si="9"/>
        <v>2000915</v>
      </c>
      <c r="H11" s="1152">
        <f>H12+H13</f>
        <v>1815316</v>
      </c>
      <c r="I11" s="1152">
        <f t="shared" si="9"/>
        <v>1812714</v>
      </c>
      <c r="J11" s="1152">
        <f>J12+J13</f>
        <v>1439591</v>
      </c>
      <c r="K11" s="1152">
        <f>K12+K13</f>
        <v>1331592</v>
      </c>
      <c r="L11" s="1152">
        <f>L12+L13</f>
        <v>1224834</v>
      </c>
      <c r="M11" s="1153">
        <f>M12+M13</f>
        <v>11688767</v>
      </c>
      <c r="N11" s="1153">
        <f>N12+N13</f>
        <v>9624962</v>
      </c>
      <c r="O11" s="1145"/>
      <c r="P11" s="550"/>
    </row>
    <row r="12" spans="1:17" ht="12.75" customHeight="1">
      <c r="A12" s="454"/>
      <c r="B12" s="1154" t="s">
        <v>12</v>
      </c>
      <c r="C12" s="1154"/>
      <c r="D12" s="1155">
        <f>D46+D87+D63+D75+D26+D99+D111</f>
        <v>13332381</v>
      </c>
      <c r="E12" s="1155">
        <f t="shared" ref="E12:L12" si="10">E46+E87+E63+E75+E26+E99+E111</f>
        <v>1643614</v>
      </c>
      <c r="F12" s="1155">
        <f t="shared" si="10"/>
        <v>2063805</v>
      </c>
      <c r="G12" s="1155">
        <f t="shared" si="10"/>
        <v>2000915</v>
      </c>
      <c r="H12" s="1155">
        <f t="shared" si="10"/>
        <v>1815316</v>
      </c>
      <c r="I12" s="1155">
        <f t="shared" si="10"/>
        <v>1812714</v>
      </c>
      <c r="J12" s="1155">
        <f t="shared" si="10"/>
        <v>1439591</v>
      </c>
      <c r="K12" s="1155">
        <f t="shared" si="10"/>
        <v>1331592</v>
      </c>
      <c r="L12" s="1155">
        <f t="shared" si="10"/>
        <v>1224834</v>
      </c>
      <c r="M12" s="1156">
        <f>SUM(F12:L12)</f>
        <v>11688767</v>
      </c>
      <c r="N12" s="1156">
        <f>SUM(G12:L12)</f>
        <v>9624962</v>
      </c>
      <c r="O12" s="1145"/>
      <c r="P12" s="549"/>
    </row>
    <row r="13" spans="1:17" ht="13.5" hidden="1" customHeight="1">
      <c r="A13" s="454"/>
      <c r="B13" s="1157" t="s">
        <v>13</v>
      </c>
      <c r="C13" s="1154"/>
      <c r="D13" s="804">
        <f>D49+D30+D76</f>
        <v>0</v>
      </c>
      <c r="E13" s="804">
        <f t="shared" ref="E13:L13" si="11">E49+E30+E76</f>
        <v>0</v>
      </c>
      <c r="F13" s="804">
        <f t="shared" si="11"/>
        <v>0</v>
      </c>
      <c r="G13" s="804">
        <f t="shared" si="11"/>
        <v>0</v>
      </c>
      <c r="H13" s="804">
        <f t="shared" si="11"/>
        <v>0</v>
      </c>
      <c r="I13" s="804">
        <f t="shared" si="11"/>
        <v>0</v>
      </c>
      <c r="J13" s="804">
        <f t="shared" si="11"/>
        <v>0</v>
      </c>
      <c r="K13" s="804">
        <f t="shared" si="11"/>
        <v>0</v>
      </c>
      <c r="L13" s="804">
        <f t="shared" si="11"/>
        <v>0</v>
      </c>
      <c r="M13" s="805">
        <f>SUM(F13:H13)</f>
        <v>0</v>
      </c>
      <c r="N13" s="805">
        <f>SUM(G13:I13)</f>
        <v>0</v>
      </c>
      <c r="O13" s="1145"/>
      <c r="P13" s="549"/>
    </row>
    <row r="14" spans="1:17" s="413" customFormat="1" ht="12.75" customHeight="1">
      <c r="A14" s="454"/>
      <c r="B14" s="1158" t="s">
        <v>18</v>
      </c>
      <c r="C14" s="1158"/>
      <c r="D14" s="1152">
        <f>D16+D15</f>
        <v>88683611</v>
      </c>
      <c r="E14" s="1152">
        <f t="shared" ref="E14" si="12">E16+E15</f>
        <v>9228050</v>
      </c>
      <c r="F14" s="1152">
        <f t="shared" ref="F14:N14" si="13">F16+F15</f>
        <v>12141256</v>
      </c>
      <c r="G14" s="1152">
        <f t="shared" si="13"/>
        <v>19324345</v>
      </c>
      <c r="H14" s="1152">
        <f t="shared" si="13"/>
        <v>14590436</v>
      </c>
      <c r="I14" s="1152">
        <f t="shared" si="13"/>
        <v>10755438</v>
      </c>
      <c r="J14" s="1152">
        <f t="shared" si="13"/>
        <v>8157684</v>
      </c>
      <c r="K14" s="1152">
        <f t="shared" si="13"/>
        <v>7545683</v>
      </c>
      <c r="L14" s="1152">
        <f t="shared" si="13"/>
        <v>6940719</v>
      </c>
      <c r="M14" s="1153">
        <f t="shared" ref="M14" si="14">M16+M15</f>
        <v>79455561</v>
      </c>
      <c r="N14" s="1153">
        <f t="shared" si="13"/>
        <v>67314305</v>
      </c>
      <c r="O14" s="1145"/>
      <c r="P14" s="550"/>
    </row>
    <row r="15" spans="1:17" s="501" customFormat="1" ht="12.75" customHeight="1">
      <c r="A15" s="454"/>
      <c r="B15" s="1159" t="s">
        <v>20</v>
      </c>
      <c r="C15" s="1158"/>
      <c r="D15" s="1657">
        <f>+D32</f>
        <v>420817</v>
      </c>
      <c r="E15" s="1657">
        <f t="shared" ref="E15:L15" si="15">+E32</f>
        <v>45222</v>
      </c>
      <c r="F15" s="1657">
        <f t="shared" si="15"/>
        <v>209471</v>
      </c>
      <c r="G15" s="1657">
        <f t="shared" si="15"/>
        <v>107939</v>
      </c>
      <c r="H15" s="1657">
        <f t="shared" si="15"/>
        <v>44968</v>
      </c>
      <c r="I15" s="1657">
        <f t="shared" si="15"/>
        <v>13217</v>
      </c>
      <c r="J15" s="1657">
        <f t="shared" si="15"/>
        <v>0</v>
      </c>
      <c r="K15" s="1657">
        <f t="shared" si="15"/>
        <v>0</v>
      </c>
      <c r="L15" s="1657">
        <f t="shared" si="15"/>
        <v>0</v>
      </c>
      <c r="M15" s="1156">
        <f>SUM(F15:L15)</f>
        <v>375595</v>
      </c>
      <c r="N15" s="1156">
        <f>SUM(G15:L15)</f>
        <v>166124</v>
      </c>
      <c r="O15" s="1145"/>
      <c r="P15" s="550"/>
    </row>
    <row r="16" spans="1:17" ht="12.75" customHeight="1">
      <c r="A16" s="454"/>
      <c r="B16" s="1160" t="s">
        <v>21</v>
      </c>
      <c r="C16" s="1154"/>
      <c r="D16" s="1161">
        <f>+D51+D36+D90+D66+D78+D102+D115+D124+D136</f>
        <v>88262794</v>
      </c>
      <c r="E16" s="1161">
        <f t="shared" ref="E16:L16" si="16">+E51+E36+E90+E66+E78+E102+E115+E124+E136</f>
        <v>9182828</v>
      </c>
      <c r="F16" s="1161">
        <f t="shared" si="16"/>
        <v>11931785</v>
      </c>
      <c r="G16" s="1161">
        <f t="shared" si="16"/>
        <v>19216406</v>
      </c>
      <c r="H16" s="1161">
        <f t="shared" si="16"/>
        <v>14545468</v>
      </c>
      <c r="I16" s="1161">
        <f t="shared" si="16"/>
        <v>10742221</v>
      </c>
      <c r="J16" s="1161">
        <f t="shared" si="16"/>
        <v>8157684</v>
      </c>
      <c r="K16" s="1161">
        <f t="shared" si="16"/>
        <v>7545683</v>
      </c>
      <c r="L16" s="1161">
        <f t="shared" si="16"/>
        <v>6940719</v>
      </c>
      <c r="M16" s="1156">
        <f>SUM(F16:L16)</f>
        <v>79079966</v>
      </c>
      <c r="N16" s="1156">
        <f>SUM(G16:L16)</f>
        <v>67148181</v>
      </c>
      <c r="O16" s="1150"/>
      <c r="P16" s="549"/>
    </row>
    <row r="17" spans="1:17" ht="13.5" customHeight="1">
      <c r="A17" s="454"/>
      <c r="B17" s="1162" t="s">
        <v>22</v>
      </c>
      <c r="C17" s="1041"/>
      <c r="D17" s="1149">
        <f>D18+D20</f>
        <v>88683611</v>
      </c>
      <c r="E17" s="1149">
        <f t="shared" ref="E17" si="17">E18+E20</f>
        <v>9263476</v>
      </c>
      <c r="F17" s="1149">
        <f t="shared" ref="F17:L17" si="18">F18+F20</f>
        <v>11410596</v>
      </c>
      <c r="G17" s="1149">
        <f t="shared" si="18"/>
        <v>19978951</v>
      </c>
      <c r="H17" s="1149">
        <f t="shared" si="18"/>
        <v>14593086</v>
      </c>
      <c r="I17" s="1149">
        <f t="shared" si="18"/>
        <v>10793416</v>
      </c>
      <c r="J17" s="1149">
        <f t="shared" si="18"/>
        <v>8157684</v>
      </c>
      <c r="K17" s="1149">
        <f t="shared" si="18"/>
        <v>7545683</v>
      </c>
      <c r="L17" s="1149">
        <f t="shared" si="18"/>
        <v>6940719</v>
      </c>
      <c r="M17" s="3083" t="s">
        <v>61</v>
      </c>
      <c r="N17" s="3083" t="s">
        <v>61</v>
      </c>
      <c r="O17" s="1145"/>
      <c r="P17" s="551">
        <f>+D7-D10</f>
        <v>0</v>
      </c>
    </row>
    <row r="18" spans="1:17" ht="12.75" hidden="1" customHeight="1">
      <c r="A18" s="454"/>
      <c r="B18" s="1163" t="s">
        <v>24</v>
      </c>
      <c r="C18" s="1164"/>
      <c r="D18" s="1165">
        <f>D19</f>
        <v>0</v>
      </c>
      <c r="E18" s="1165">
        <f t="shared" ref="E18:I18" si="19">E19</f>
        <v>0</v>
      </c>
      <c r="F18" s="1165">
        <f t="shared" si="19"/>
        <v>0</v>
      </c>
      <c r="G18" s="1165">
        <f t="shared" si="19"/>
        <v>0</v>
      </c>
      <c r="H18" s="1165">
        <f t="shared" si="19"/>
        <v>0</v>
      </c>
      <c r="I18" s="1165">
        <f t="shared" si="19"/>
        <v>0</v>
      </c>
      <c r="J18" s="1165">
        <f>J19</f>
        <v>0</v>
      </c>
      <c r="K18" s="1165">
        <f>K19</f>
        <v>0</v>
      </c>
      <c r="L18" s="1165">
        <f>L19</f>
        <v>0</v>
      </c>
      <c r="M18" s="3083"/>
      <c r="N18" s="3083"/>
      <c r="O18" s="1145"/>
      <c r="P18" s="548"/>
    </row>
    <row r="19" spans="1:17" ht="12" hidden="1" customHeight="1">
      <c r="A19" s="454"/>
      <c r="B19" s="1166" t="s">
        <v>13</v>
      </c>
      <c r="C19" s="1167"/>
      <c r="D19" s="1161">
        <f>+D56+D39+D81</f>
        <v>0</v>
      </c>
      <c r="E19" s="1161">
        <f t="shared" ref="E19:L19" si="20">+E56+E39+E81</f>
        <v>0</v>
      </c>
      <c r="F19" s="1161">
        <f t="shared" si="20"/>
        <v>0</v>
      </c>
      <c r="G19" s="1161">
        <f t="shared" si="20"/>
        <v>0</v>
      </c>
      <c r="H19" s="1161">
        <f t="shared" si="20"/>
        <v>0</v>
      </c>
      <c r="I19" s="1161">
        <f t="shared" si="20"/>
        <v>0</v>
      </c>
      <c r="J19" s="1161">
        <f t="shared" si="20"/>
        <v>0</v>
      </c>
      <c r="K19" s="1161">
        <f t="shared" si="20"/>
        <v>0</v>
      </c>
      <c r="L19" s="1161">
        <f t="shared" si="20"/>
        <v>0</v>
      </c>
      <c r="M19" s="3083"/>
      <c r="N19" s="3083"/>
      <c r="O19" s="1145"/>
      <c r="P19" s="548"/>
    </row>
    <row r="20" spans="1:17" s="419" customFormat="1">
      <c r="A20" s="492"/>
      <c r="B20" s="1168" t="s">
        <v>18</v>
      </c>
      <c r="C20" s="1169"/>
      <c r="D20" s="1165">
        <f>D22+D21</f>
        <v>88683611</v>
      </c>
      <c r="E20" s="1165">
        <f t="shared" ref="E20" si="21">E22+E21</f>
        <v>9263476</v>
      </c>
      <c r="F20" s="1165">
        <f t="shared" ref="F20:L20" si="22">F22+F21</f>
        <v>11410596</v>
      </c>
      <c r="G20" s="1165">
        <f t="shared" si="22"/>
        <v>19978951</v>
      </c>
      <c r="H20" s="1165">
        <f t="shared" si="22"/>
        <v>14593086</v>
      </c>
      <c r="I20" s="1165">
        <f t="shared" si="22"/>
        <v>10793416</v>
      </c>
      <c r="J20" s="1165">
        <f t="shared" si="22"/>
        <v>8157684</v>
      </c>
      <c r="K20" s="1165">
        <f t="shared" si="22"/>
        <v>7545683</v>
      </c>
      <c r="L20" s="1165">
        <f t="shared" si="22"/>
        <v>6940719</v>
      </c>
      <c r="M20" s="3083"/>
      <c r="N20" s="3083"/>
      <c r="O20" s="1170"/>
      <c r="P20" s="552"/>
    </row>
    <row r="21" spans="1:17" s="500" customFormat="1">
      <c r="A21" s="492"/>
      <c r="B21" s="1159" t="s">
        <v>20</v>
      </c>
      <c r="C21" s="1169"/>
      <c r="D21" s="2107">
        <f>+D41</f>
        <v>420817</v>
      </c>
      <c r="E21" s="2107">
        <f t="shared" ref="E21:L21" si="23">+E41</f>
        <v>0</v>
      </c>
      <c r="F21" s="2107">
        <f t="shared" si="23"/>
        <v>84212</v>
      </c>
      <c r="G21" s="2107">
        <f t="shared" si="23"/>
        <v>237792</v>
      </c>
      <c r="H21" s="2107">
        <f t="shared" si="23"/>
        <v>47618</v>
      </c>
      <c r="I21" s="2107">
        <f t="shared" si="23"/>
        <v>51195</v>
      </c>
      <c r="J21" s="2107">
        <f t="shared" si="23"/>
        <v>0</v>
      </c>
      <c r="K21" s="2107">
        <f t="shared" si="23"/>
        <v>0</v>
      </c>
      <c r="L21" s="2107">
        <f t="shared" si="23"/>
        <v>0</v>
      </c>
      <c r="M21" s="3084"/>
      <c r="N21" s="3084"/>
      <c r="O21" s="555"/>
      <c r="P21" s="552"/>
    </row>
    <row r="22" spans="1:17" ht="13.5" thickBot="1">
      <c r="A22" s="493"/>
      <c r="B22" s="556" t="s">
        <v>21</v>
      </c>
      <c r="C22" s="556"/>
      <c r="D22" s="557">
        <f>+D58+D42+D59+D95+D71+D83+D107+D120+D132+D142</f>
        <v>88262794</v>
      </c>
      <c r="E22" s="557">
        <f t="shared" ref="E22:L22" si="24">+E58+E42+E59+E95+E71+E83+E107+E120+E132+E142</f>
        <v>9263476</v>
      </c>
      <c r="F22" s="557">
        <f t="shared" si="24"/>
        <v>11326384</v>
      </c>
      <c r="G22" s="557">
        <f t="shared" si="24"/>
        <v>19741159</v>
      </c>
      <c r="H22" s="557">
        <f t="shared" si="24"/>
        <v>14545468</v>
      </c>
      <c r="I22" s="557">
        <f t="shared" si="24"/>
        <v>10742221</v>
      </c>
      <c r="J22" s="557">
        <f t="shared" si="24"/>
        <v>8157684</v>
      </c>
      <c r="K22" s="557">
        <f t="shared" si="24"/>
        <v>7545683</v>
      </c>
      <c r="L22" s="557">
        <f t="shared" si="24"/>
        <v>6940719</v>
      </c>
      <c r="M22" s="3085"/>
      <c r="N22" s="3085"/>
      <c r="O22" s="558"/>
      <c r="P22" s="549">
        <f>D22-D16</f>
        <v>0</v>
      </c>
    </row>
    <row r="23" spans="1:17" ht="40.5" customHeight="1">
      <c r="A23" s="3094" t="s">
        <v>63</v>
      </c>
      <c r="B23" s="2616" t="s">
        <v>286</v>
      </c>
      <c r="C23" s="2617" t="s">
        <v>109</v>
      </c>
      <c r="D23" s="804"/>
      <c r="E23" s="2618"/>
      <c r="F23" s="2618"/>
      <c r="G23" s="2618"/>
      <c r="H23" s="2618"/>
      <c r="I23" s="2618"/>
      <c r="J23" s="2618"/>
      <c r="K23" s="2618"/>
      <c r="L23" s="2618"/>
      <c r="M23" s="1039"/>
      <c r="N23" s="1039"/>
      <c r="O23" s="3071" t="s">
        <v>296</v>
      </c>
      <c r="P23" s="548"/>
    </row>
    <row r="24" spans="1:17" s="419" customFormat="1" ht="13.5" customHeight="1">
      <c r="A24" s="3086"/>
      <c r="B24" s="1040" t="s">
        <v>10</v>
      </c>
      <c r="C24" s="1041"/>
      <c r="D24" s="763">
        <f t="shared" ref="D24:J24" si="25">+D25+D31</f>
        <v>499079</v>
      </c>
      <c r="E24" s="763">
        <f t="shared" ref="E24" si="26">+E25+E31</f>
        <v>53431</v>
      </c>
      <c r="F24" s="763">
        <f t="shared" si="25"/>
        <v>247808</v>
      </c>
      <c r="G24" s="763">
        <f t="shared" si="25"/>
        <v>127787</v>
      </c>
      <c r="H24" s="763">
        <f t="shared" si="25"/>
        <v>53703</v>
      </c>
      <c r="I24" s="763">
        <f t="shared" si="25"/>
        <v>16350</v>
      </c>
      <c r="J24" s="763">
        <f t="shared" si="25"/>
        <v>0</v>
      </c>
      <c r="K24" s="763">
        <v>0</v>
      </c>
      <c r="L24" s="763">
        <v>0</v>
      </c>
      <c r="M24" s="1042">
        <f>+M25+M31</f>
        <v>445648</v>
      </c>
      <c r="N24" s="1042">
        <f>+N25+N31</f>
        <v>197840</v>
      </c>
      <c r="O24" s="3071"/>
      <c r="P24" s="2619"/>
      <c r="Q24" s="2523"/>
    </row>
    <row r="25" spans="1:17" s="419" customFormat="1" ht="13.5" customHeight="1">
      <c r="A25" s="3086"/>
      <c r="B25" s="2620" t="s">
        <v>24</v>
      </c>
      <c r="C25" s="3074" t="s">
        <v>334</v>
      </c>
      <c r="D25" s="812">
        <f t="shared" ref="D25" si="27">+D26+D30</f>
        <v>78262</v>
      </c>
      <c r="E25" s="812">
        <f t="shared" ref="E25" si="28">+E26+E30</f>
        <v>8209</v>
      </c>
      <c r="F25" s="812">
        <f>+F26+F30</f>
        <v>38337</v>
      </c>
      <c r="G25" s="812">
        <f>+G26+G30</f>
        <v>19848</v>
      </c>
      <c r="H25" s="812">
        <f>+H26+H30</f>
        <v>8735</v>
      </c>
      <c r="I25" s="812">
        <f>+I26</f>
        <v>3133</v>
      </c>
      <c r="J25" s="812">
        <f>+J26</f>
        <v>0</v>
      </c>
      <c r="K25" s="812">
        <v>0</v>
      </c>
      <c r="L25" s="812">
        <v>0</v>
      </c>
      <c r="M25" s="1171">
        <f>+M26+M30</f>
        <v>70053</v>
      </c>
      <c r="N25" s="1171">
        <f>+N26+N30</f>
        <v>31716</v>
      </c>
      <c r="O25" s="3071"/>
      <c r="P25" s="552"/>
    </row>
    <row r="26" spans="1:17" s="419" customFormat="1">
      <c r="A26" s="3086"/>
      <c r="B26" s="1084" t="s">
        <v>12</v>
      </c>
      <c r="C26" s="3075"/>
      <c r="D26" s="251">
        <f>E26+F26+G26+H26+I26+J26+K26+L26</f>
        <v>78262</v>
      </c>
      <c r="E26" s="289">
        <f>+E28+E29</f>
        <v>8209</v>
      </c>
      <c r="F26" s="793">
        <f t="shared" ref="F26:I26" si="29">+F28+F29</f>
        <v>38337</v>
      </c>
      <c r="G26" s="793">
        <f t="shared" si="29"/>
        <v>19848</v>
      </c>
      <c r="H26" s="793">
        <f t="shared" si="29"/>
        <v>8735</v>
      </c>
      <c r="I26" s="793">
        <f t="shared" si="29"/>
        <v>3133</v>
      </c>
      <c r="J26" s="793">
        <v>0</v>
      </c>
      <c r="K26" s="793">
        <v>0</v>
      </c>
      <c r="L26" s="793">
        <v>0</v>
      </c>
      <c r="M26" s="1156">
        <f>SUM(F26:K26)</f>
        <v>70053</v>
      </c>
      <c r="N26" s="1156">
        <f>SUM(G26:L26)</f>
        <v>31716</v>
      </c>
      <c r="O26" s="3071"/>
      <c r="P26" s="552"/>
    </row>
    <row r="27" spans="1:17" s="2624" customFormat="1" ht="13.5" hidden="1" customHeight="1">
      <c r="A27" s="3095"/>
      <c r="B27" s="2621" t="s">
        <v>150</v>
      </c>
      <c r="C27" s="3096"/>
      <c r="D27" s="1046"/>
      <c r="E27" s="2622"/>
      <c r="F27" s="2623"/>
      <c r="G27" s="2623"/>
      <c r="H27" s="2623"/>
      <c r="I27" s="2623"/>
      <c r="J27" s="2623"/>
      <c r="K27" s="2623"/>
      <c r="L27" s="793"/>
      <c r="M27" s="1045"/>
      <c r="N27" s="1045"/>
      <c r="O27" s="3071"/>
      <c r="P27" s="552"/>
    </row>
    <row r="28" spans="1:17" s="2624" customFormat="1" ht="13.5" hidden="1" customHeight="1">
      <c r="A28" s="3095"/>
      <c r="B28" s="2621" t="s">
        <v>110</v>
      </c>
      <c r="C28" s="3096"/>
      <c r="D28" s="1046">
        <f>+E28+F28+G28+H28+I28</f>
        <v>55839</v>
      </c>
      <c r="E28" s="2623">
        <v>3119</v>
      </c>
      <c r="F28" s="2623">
        <f>31679-1297</f>
        <v>30382</v>
      </c>
      <c r="G28" s="2623">
        <f>12591-1089</f>
        <v>11502</v>
      </c>
      <c r="H28" s="2623">
        <f>10929-2878-103</f>
        <v>7948</v>
      </c>
      <c r="I28" s="2623">
        <f>2920-32</f>
        <v>2888</v>
      </c>
      <c r="J28" s="2623"/>
      <c r="K28" s="2623"/>
      <c r="L28" s="793"/>
      <c r="M28" s="2625">
        <f t="shared" ref="M28:N30" si="30">SUM(E28:H28)</f>
        <v>52951</v>
      </c>
      <c r="N28" s="2625">
        <f t="shared" si="30"/>
        <v>52720</v>
      </c>
      <c r="O28" s="3071"/>
      <c r="P28" s="552"/>
    </row>
    <row r="29" spans="1:17" s="2624" customFormat="1" ht="13.5" hidden="1" customHeight="1">
      <c r="A29" s="3095"/>
      <c r="B29" s="2621" t="s">
        <v>270</v>
      </c>
      <c r="C29" s="3096"/>
      <c r="D29" s="1046">
        <f>+E29+F29+G29+H29+I29</f>
        <v>22423</v>
      </c>
      <c r="E29" s="2623">
        <f>4426+664</f>
        <v>5090</v>
      </c>
      <c r="F29" s="2623">
        <f>7322+633</f>
        <v>7955</v>
      </c>
      <c r="G29" s="2623">
        <f>6473+784+1089</f>
        <v>8346</v>
      </c>
      <c r="H29" s="2623">
        <f>599+85+103</f>
        <v>787</v>
      </c>
      <c r="I29" s="2623">
        <f>186+27+32</f>
        <v>245</v>
      </c>
      <c r="J29" s="2623"/>
      <c r="K29" s="2623"/>
      <c r="L29" s="793"/>
      <c r="M29" s="2625">
        <f t="shared" si="30"/>
        <v>22178</v>
      </c>
      <c r="N29" s="2625">
        <f t="shared" si="30"/>
        <v>17333</v>
      </c>
      <c r="O29" s="3071"/>
      <c r="P29" s="552"/>
    </row>
    <row r="30" spans="1:17" s="419" customFormat="1" ht="14.25" hidden="1" customHeight="1">
      <c r="A30" s="3086"/>
      <c r="B30" s="1084" t="s">
        <v>13</v>
      </c>
      <c r="C30" s="3075"/>
      <c r="D30" s="251">
        <f>E30+F30+G30+H30+I30+J30+K30+L30</f>
        <v>0</v>
      </c>
      <c r="E30" s="802">
        <v>0</v>
      </c>
      <c r="F30" s="793"/>
      <c r="G30" s="793"/>
      <c r="H30" s="793"/>
      <c r="I30" s="793"/>
      <c r="J30" s="793"/>
      <c r="K30" s="793"/>
      <c r="L30" s="793"/>
      <c r="M30" s="1045">
        <f t="shared" si="30"/>
        <v>0</v>
      </c>
      <c r="N30" s="1045">
        <f t="shared" si="30"/>
        <v>0</v>
      </c>
      <c r="O30" s="3071"/>
      <c r="P30" s="552"/>
    </row>
    <row r="31" spans="1:17" s="419" customFormat="1">
      <c r="A31" s="3086"/>
      <c r="B31" s="2626" t="s">
        <v>18</v>
      </c>
      <c r="C31" s="3075"/>
      <c r="D31" s="1048">
        <f>+D36+D32</f>
        <v>420817</v>
      </c>
      <c r="E31" s="1048">
        <f t="shared" ref="E31" si="31">+E36+E32</f>
        <v>45222</v>
      </c>
      <c r="F31" s="1048">
        <f>+F36+F32</f>
        <v>209471</v>
      </c>
      <c r="G31" s="1048">
        <f>+G36+G32</f>
        <v>107939</v>
      </c>
      <c r="H31" s="1048">
        <f>+H36+H32</f>
        <v>44968</v>
      </c>
      <c r="I31" s="1048">
        <f>+I32</f>
        <v>13217</v>
      </c>
      <c r="J31" s="1048">
        <v>0</v>
      </c>
      <c r="K31" s="1048">
        <v>0</v>
      </c>
      <c r="L31" s="1048">
        <v>0</v>
      </c>
      <c r="M31" s="1172">
        <f>+M36+M32</f>
        <v>375595</v>
      </c>
      <c r="N31" s="1172">
        <f>+N36+N32</f>
        <v>166124</v>
      </c>
      <c r="O31" s="3071"/>
      <c r="P31" s="552"/>
    </row>
    <row r="32" spans="1:17" s="500" customFormat="1">
      <c r="A32" s="3086"/>
      <c r="B32" s="1084" t="s">
        <v>20</v>
      </c>
      <c r="C32" s="3075"/>
      <c r="D32" s="251">
        <f>E32+F32+G32+H32+I32+J32+K32+L32</f>
        <v>420817</v>
      </c>
      <c r="E32" s="289">
        <f>+E34+E35</f>
        <v>45222</v>
      </c>
      <c r="F32" s="793">
        <f t="shared" ref="F32:I32" si="32">+F34+F35</f>
        <v>209471</v>
      </c>
      <c r="G32" s="793">
        <f t="shared" si="32"/>
        <v>107939</v>
      </c>
      <c r="H32" s="793">
        <f t="shared" si="32"/>
        <v>44968</v>
      </c>
      <c r="I32" s="793">
        <f t="shared" si="32"/>
        <v>13217</v>
      </c>
      <c r="J32" s="793">
        <v>0</v>
      </c>
      <c r="K32" s="793">
        <v>0</v>
      </c>
      <c r="L32" s="793">
        <v>0</v>
      </c>
      <c r="M32" s="1156">
        <f>SUM(F32:K32)</f>
        <v>375595</v>
      </c>
      <c r="N32" s="1156">
        <f>SUM(G32:L32)</f>
        <v>166124</v>
      </c>
      <c r="O32" s="3071"/>
      <c r="P32" s="2619">
        <f>D32-D41</f>
        <v>0</v>
      </c>
    </row>
    <row r="33" spans="1:16" s="2624" customFormat="1" ht="13.5" hidden="1" customHeight="1">
      <c r="A33" s="3086"/>
      <c r="B33" s="2621" t="s">
        <v>150</v>
      </c>
      <c r="C33" s="3075"/>
      <c r="D33" s="1046"/>
      <c r="E33" s="802"/>
      <c r="F33" s="2623"/>
      <c r="G33" s="2623"/>
      <c r="H33" s="2623"/>
      <c r="I33" s="2623"/>
      <c r="J33" s="2623"/>
      <c r="K33" s="2623"/>
      <c r="L33" s="2623"/>
      <c r="M33" s="2625"/>
      <c r="N33" s="2625"/>
      <c r="O33" s="3071"/>
      <c r="P33" s="552"/>
    </row>
    <row r="34" spans="1:16" s="2624" customFormat="1" ht="13.5" hidden="1" customHeight="1">
      <c r="A34" s="3086"/>
      <c r="B34" s="2621" t="s">
        <v>110</v>
      </c>
      <c r="C34" s="3075"/>
      <c r="D34" s="1046">
        <f>+E34+F34+G34+H34+I34</f>
        <v>293767</v>
      </c>
      <c r="E34" s="2623">
        <v>16375</v>
      </c>
      <c r="F34" s="2623">
        <f>1482+28167+1112+84605+3706+47478+5188-7334</f>
        <v>164404</v>
      </c>
      <c r="G34" s="2623">
        <f>1482+13343+1112+47172+3706-6169</f>
        <v>60646</v>
      </c>
      <c r="H34" s="2623">
        <f>1482+15195+1853+32381+6486-16307-582</f>
        <v>40508</v>
      </c>
      <c r="I34" s="2623">
        <f>3706+371+6085+1853-181</f>
        <v>11834</v>
      </c>
      <c r="J34" s="2623"/>
      <c r="K34" s="2623"/>
      <c r="L34" s="2623"/>
      <c r="M34" s="2625">
        <f t="shared" ref="M34:N36" si="33">SUM(E34:H34)</f>
        <v>281933</v>
      </c>
      <c r="N34" s="2625">
        <f t="shared" si="33"/>
        <v>277392</v>
      </c>
      <c r="O34" s="3071"/>
      <c r="P34" s="552"/>
    </row>
    <row r="35" spans="1:16" s="2624" customFormat="1" ht="13.5" hidden="1" customHeight="1">
      <c r="A35" s="3086"/>
      <c r="B35" s="2621" t="s">
        <v>270</v>
      </c>
      <c r="C35" s="3075"/>
      <c r="D35" s="1046">
        <f>+E35+F35+G35+H35+I35</f>
        <v>127050</v>
      </c>
      <c r="E35" s="2623">
        <f>25085+3762</f>
        <v>28847</v>
      </c>
      <c r="F35" s="2623">
        <f>28369+1756+4789+710+1512+4359+3572</f>
        <v>45067</v>
      </c>
      <c r="G35" s="2623">
        <f>28654+2364+4931+731+4444+6169</f>
        <v>47293</v>
      </c>
      <c r="H35" s="2623">
        <f>2663+220+445+67+483+582</f>
        <v>4460</v>
      </c>
      <c r="I35" s="2623">
        <f>672+222+138+21+149+181</f>
        <v>1383</v>
      </c>
      <c r="J35" s="2623"/>
      <c r="K35" s="2623"/>
      <c r="L35" s="2623"/>
      <c r="M35" s="2625">
        <f t="shared" si="33"/>
        <v>125667</v>
      </c>
      <c r="N35" s="2625">
        <f t="shared" si="33"/>
        <v>98203</v>
      </c>
      <c r="O35" s="3071"/>
      <c r="P35" s="552"/>
    </row>
    <row r="36" spans="1:16" s="419" customFormat="1" ht="13.5" hidden="1" customHeight="1" collapsed="1">
      <c r="A36" s="3086"/>
      <c r="B36" s="1084" t="s">
        <v>21</v>
      </c>
      <c r="C36" s="3075"/>
      <c r="D36" s="251">
        <f>E36+F36+G36+H36+I36+J36+K36+L36</f>
        <v>0</v>
      </c>
      <c r="E36" s="802">
        <v>0</v>
      </c>
      <c r="F36" s="793"/>
      <c r="G36" s="793"/>
      <c r="H36" s="793"/>
      <c r="I36" s="793"/>
      <c r="J36" s="793"/>
      <c r="K36" s="793"/>
      <c r="L36" s="793"/>
      <c r="M36" s="1045">
        <f t="shared" si="33"/>
        <v>0</v>
      </c>
      <c r="N36" s="1045">
        <f t="shared" si="33"/>
        <v>0</v>
      </c>
      <c r="O36" s="3071"/>
      <c r="P36" s="2619"/>
    </row>
    <row r="37" spans="1:16" s="419" customFormat="1" ht="12.75" customHeight="1">
      <c r="A37" s="3087"/>
      <c r="B37" s="1040" t="s">
        <v>22</v>
      </c>
      <c r="C37" s="1041"/>
      <c r="D37" s="781">
        <f>+D38+D40</f>
        <v>420817</v>
      </c>
      <c r="E37" s="781">
        <v>0</v>
      </c>
      <c r="F37" s="781">
        <f>+F38+F40</f>
        <v>84212</v>
      </c>
      <c r="G37" s="781">
        <f t="shared" ref="G37:J37" si="34">+G38+G40</f>
        <v>237792</v>
      </c>
      <c r="H37" s="781">
        <f t="shared" si="34"/>
        <v>47618</v>
      </c>
      <c r="I37" s="781">
        <f t="shared" si="34"/>
        <v>51195</v>
      </c>
      <c r="J37" s="781">
        <f t="shared" si="34"/>
        <v>0</v>
      </c>
      <c r="K37" s="781">
        <v>0</v>
      </c>
      <c r="L37" s="781">
        <v>0</v>
      </c>
      <c r="M37" s="3043" t="s">
        <v>61</v>
      </c>
      <c r="N37" s="3043" t="s">
        <v>61</v>
      </c>
      <c r="O37" s="3088"/>
      <c r="P37" s="2619"/>
    </row>
    <row r="38" spans="1:16" s="419" customFormat="1" ht="13.5" hidden="1" customHeight="1">
      <c r="A38" s="3087"/>
      <c r="B38" s="2620" t="s">
        <v>24</v>
      </c>
      <c r="C38" s="3097" t="s">
        <v>287</v>
      </c>
      <c r="D38" s="1048">
        <f>+D39</f>
        <v>0</v>
      </c>
      <c r="E38" s="1048">
        <v>0</v>
      </c>
      <c r="F38" s="1048"/>
      <c r="G38" s="1048"/>
      <c r="H38" s="1048"/>
      <c r="I38" s="1048"/>
      <c r="J38" s="1048"/>
      <c r="K38" s="1048"/>
      <c r="L38" s="1048"/>
      <c r="M38" s="3043"/>
      <c r="N38" s="3043"/>
      <c r="O38" s="3088"/>
      <c r="P38" s="552"/>
    </row>
    <row r="39" spans="1:16" s="419" customFormat="1" ht="13.5" hidden="1" customHeight="1">
      <c r="A39" s="3087"/>
      <c r="B39" s="1084" t="s">
        <v>13</v>
      </c>
      <c r="C39" s="3075"/>
      <c r="D39" s="251">
        <f>E39+F39+G39+H39+I39+J39+K39+L39</f>
        <v>0</v>
      </c>
      <c r="E39" s="1046"/>
      <c r="F39" s="1046"/>
      <c r="G39" s="1046"/>
      <c r="H39" s="1046"/>
      <c r="I39" s="1046"/>
      <c r="J39" s="1046"/>
      <c r="K39" s="1046"/>
      <c r="L39" s="1046"/>
      <c r="M39" s="3043"/>
      <c r="N39" s="3043"/>
      <c r="O39" s="3088"/>
      <c r="P39" s="552"/>
    </row>
    <row r="40" spans="1:16" s="419" customFormat="1">
      <c r="A40" s="3087"/>
      <c r="B40" s="2626" t="s">
        <v>18</v>
      </c>
      <c r="C40" s="3098"/>
      <c r="D40" s="1048">
        <f>+D42+D41</f>
        <v>420817</v>
      </c>
      <c r="E40" s="1048">
        <v>0</v>
      </c>
      <c r="F40" s="1048">
        <f t="shared" ref="F40:J40" si="35">+F42+F41</f>
        <v>84212</v>
      </c>
      <c r="G40" s="1048">
        <f t="shared" si="35"/>
        <v>237792</v>
      </c>
      <c r="H40" s="1048">
        <f>+H42+H41</f>
        <v>47618</v>
      </c>
      <c r="I40" s="1048">
        <f t="shared" si="35"/>
        <v>51195</v>
      </c>
      <c r="J40" s="1048">
        <f t="shared" si="35"/>
        <v>0</v>
      </c>
      <c r="K40" s="1048">
        <v>0</v>
      </c>
      <c r="L40" s="1048">
        <v>0</v>
      </c>
      <c r="M40" s="3043"/>
      <c r="N40" s="3043"/>
      <c r="O40" s="3088"/>
      <c r="P40" s="552"/>
    </row>
    <row r="41" spans="1:16" s="500" customFormat="1" ht="15.75" customHeight="1" thickBot="1">
      <c r="A41" s="3087"/>
      <c r="B41" s="1084" t="s">
        <v>20</v>
      </c>
      <c r="C41" s="3098"/>
      <c r="D41" s="251">
        <f>E41+F41+G41+H41+I41+J41+K41+L41</f>
        <v>420817</v>
      </c>
      <c r="E41" s="289">
        <v>0</v>
      </c>
      <c r="F41" s="793">
        <f>88766-60286+55732</f>
        <v>84212</v>
      </c>
      <c r="G41" s="793">
        <f>154696+9365+11231+62500</f>
        <v>237792</v>
      </c>
      <c r="H41" s="793">
        <f>103495-26700+4444-33621</f>
        <v>47618</v>
      </c>
      <c r="I41" s="793">
        <f>60792+32027-15824-25800</f>
        <v>51195</v>
      </c>
      <c r="J41" s="793">
        <f>13068+45594+149-58811</f>
        <v>0</v>
      </c>
      <c r="K41" s="793">
        <v>0</v>
      </c>
      <c r="L41" s="793">
        <v>0</v>
      </c>
      <c r="M41" s="3043"/>
      <c r="N41" s="3043"/>
      <c r="O41" s="3088"/>
      <c r="P41" s="552"/>
    </row>
    <row r="42" spans="1:16" ht="13.5" hidden="1" customHeight="1" thickBot="1">
      <c r="A42" s="3051"/>
      <c r="B42" s="532" t="s">
        <v>21</v>
      </c>
      <c r="C42" s="3099"/>
      <c r="D42" s="251">
        <f>E42+F42+G42+H42+I42+J42+K42+L42</f>
        <v>0</v>
      </c>
      <c r="E42" s="1076">
        <v>0</v>
      </c>
      <c r="F42" s="533"/>
      <c r="G42" s="533"/>
      <c r="H42" s="533"/>
      <c r="I42" s="533"/>
      <c r="J42" s="533"/>
      <c r="K42" s="533"/>
      <c r="L42" s="533"/>
      <c r="M42" s="3044"/>
      <c r="N42" s="3044"/>
      <c r="O42" s="3055"/>
      <c r="P42" s="548"/>
    </row>
    <row r="43" spans="1:16" ht="26.25" customHeight="1">
      <c r="A43" s="3048" t="s">
        <v>290</v>
      </c>
      <c r="B43" s="1604" t="s">
        <v>337</v>
      </c>
      <c r="C43" s="1605" t="s">
        <v>109</v>
      </c>
      <c r="D43" s="61"/>
      <c r="E43" s="705"/>
      <c r="F43" s="42"/>
      <c r="G43" s="42"/>
      <c r="H43" s="42"/>
      <c r="I43" s="42"/>
      <c r="J43" s="42"/>
      <c r="K43" s="42"/>
      <c r="L43" s="42"/>
      <c r="M43" s="721"/>
      <c r="N43" s="721"/>
      <c r="O43" s="3052" t="s">
        <v>297</v>
      </c>
      <c r="P43" s="548"/>
    </row>
    <row r="44" spans="1:16">
      <c r="A44" s="3086"/>
      <c r="B44" s="1040" t="s">
        <v>10</v>
      </c>
      <c r="C44" s="1606"/>
      <c r="D44" s="1149">
        <f t="shared" ref="D44" si="36">+D45+D50</f>
        <v>1439977</v>
      </c>
      <c r="E44" s="763">
        <f t="shared" ref="E44" si="37">+E45+E50</f>
        <v>377120</v>
      </c>
      <c r="F44" s="763">
        <f t="shared" ref="F44:L44" si="38">+F45+F50</f>
        <v>1062857</v>
      </c>
      <c r="G44" s="763">
        <f t="shared" si="38"/>
        <v>0</v>
      </c>
      <c r="H44" s="763">
        <f t="shared" si="38"/>
        <v>0</v>
      </c>
      <c r="I44" s="763">
        <f t="shared" si="38"/>
        <v>0</v>
      </c>
      <c r="J44" s="763">
        <f t="shared" si="38"/>
        <v>0</v>
      </c>
      <c r="K44" s="763">
        <f t="shared" si="38"/>
        <v>0</v>
      </c>
      <c r="L44" s="763">
        <f t="shared" si="38"/>
        <v>0</v>
      </c>
      <c r="M44" s="1042">
        <f>+M45+M50</f>
        <v>1062857</v>
      </c>
      <c r="N44" s="1042">
        <f>+N45+N50</f>
        <v>0</v>
      </c>
      <c r="O44" s="3071"/>
      <c r="P44" s="549"/>
    </row>
    <row r="45" spans="1:16" ht="12.75" customHeight="1">
      <c r="A45" s="3086"/>
      <c r="B45" s="1043" t="s">
        <v>24</v>
      </c>
      <c r="C45" s="3089" t="s">
        <v>293</v>
      </c>
      <c r="D45" s="812">
        <f t="shared" ref="D45:N45" si="39">+D46+D49</f>
        <v>215997</v>
      </c>
      <c r="E45" s="812">
        <f t="shared" ref="E45" si="40">+E46+E49</f>
        <v>56568</v>
      </c>
      <c r="F45" s="812">
        <f t="shared" si="39"/>
        <v>159429</v>
      </c>
      <c r="G45" s="812">
        <f t="shared" si="39"/>
        <v>0</v>
      </c>
      <c r="H45" s="812">
        <f t="shared" si="39"/>
        <v>0</v>
      </c>
      <c r="I45" s="812">
        <f t="shared" si="39"/>
        <v>0</v>
      </c>
      <c r="J45" s="812">
        <f t="shared" si="39"/>
        <v>0</v>
      </c>
      <c r="K45" s="812">
        <f t="shared" si="39"/>
        <v>0</v>
      </c>
      <c r="L45" s="812">
        <f t="shared" si="39"/>
        <v>0</v>
      </c>
      <c r="M45" s="1171">
        <f t="shared" ref="M45" si="41">+M46+M49</f>
        <v>159429</v>
      </c>
      <c r="N45" s="1171">
        <f t="shared" si="39"/>
        <v>0</v>
      </c>
      <c r="O45" s="3071"/>
      <c r="P45" s="548"/>
    </row>
    <row r="46" spans="1:16" ht="12.75" customHeight="1">
      <c r="A46" s="3086"/>
      <c r="B46" s="1044" t="s">
        <v>12</v>
      </c>
      <c r="C46" s="3090"/>
      <c r="D46" s="251">
        <f>E46+F46+G46+H46+I46+J46+K46+L46</f>
        <v>215997</v>
      </c>
      <c r="E46" s="289">
        <f>56568</f>
        <v>56568</v>
      </c>
      <c r="F46" s="794">
        <f t="shared" ref="F46:L46" si="42">+F47+F48</f>
        <v>159429</v>
      </c>
      <c r="G46" s="793">
        <f t="shared" si="42"/>
        <v>0</v>
      </c>
      <c r="H46" s="793">
        <f t="shared" si="42"/>
        <v>0</v>
      </c>
      <c r="I46" s="793">
        <f t="shared" si="42"/>
        <v>0</v>
      </c>
      <c r="J46" s="793">
        <f t="shared" si="42"/>
        <v>0</v>
      </c>
      <c r="K46" s="793">
        <f t="shared" si="42"/>
        <v>0</v>
      </c>
      <c r="L46" s="793">
        <f t="shared" si="42"/>
        <v>0</v>
      </c>
      <c r="M46" s="1156">
        <f>SUM(F46:K46)</f>
        <v>159429</v>
      </c>
      <c r="N46" s="1156">
        <f>SUM(G46:L46)</f>
        <v>0</v>
      </c>
      <c r="O46" s="3071"/>
      <c r="P46" s="548"/>
    </row>
    <row r="47" spans="1:16" s="502" customFormat="1" ht="13.5" hidden="1" customHeight="1">
      <c r="A47" s="3086"/>
      <c r="B47" s="1044" t="s">
        <v>270</v>
      </c>
      <c r="C47" s="3090"/>
      <c r="D47" s="1046">
        <f>SUM(E47:L47)</f>
        <v>57325</v>
      </c>
      <c r="E47" s="802">
        <v>0</v>
      </c>
      <c r="F47" s="794">
        <f>57325+0</f>
        <v>57325</v>
      </c>
      <c r="G47" s="793"/>
      <c r="H47" s="793"/>
      <c r="I47" s="793"/>
      <c r="J47" s="793"/>
      <c r="K47" s="793"/>
      <c r="L47" s="793"/>
      <c r="M47" s="1045"/>
      <c r="N47" s="1045"/>
      <c r="O47" s="3071"/>
      <c r="P47" s="548"/>
    </row>
    <row r="48" spans="1:16" s="502" customFormat="1" ht="13.5" hidden="1" customHeight="1">
      <c r="A48" s="3086"/>
      <c r="B48" s="1044" t="s">
        <v>291</v>
      </c>
      <c r="C48" s="3090"/>
      <c r="D48" s="1046">
        <f>SUM(E48:L48)</f>
        <v>102104</v>
      </c>
      <c r="E48" s="802">
        <v>0</v>
      </c>
      <c r="F48" s="794">
        <f>55368+32504+14232</f>
        <v>102104</v>
      </c>
      <c r="G48" s="793"/>
      <c r="H48" s="793"/>
      <c r="I48" s="793"/>
      <c r="J48" s="793"/>
      <c r="K48" s="793"/>
      <c r="L48" s="793"/>
      <c r="M48" s="1045"/>
      <c r="N48" s="1045"/>
      <c r="O48" s="3071"/>
      <c r="P48" s="548"/>
    </row>
    <row r="49" spans="1:16" ht="12.75" customHeight="1">
      <c r="A49" s="3086"/>
      <c r="B49" s="1044" t="s">
        <v>13</v>
      </c>
      <c r="C49" s="3090"/>
      <c r="D49" s="1046">
        <f>SUM(E49:G49)</f>
        <v>0</v>
      </c>
      <c r="E49" s="802">
        <v>0</v>
      </c>
      <c r="F49" s="793"/>
      <c r="G49" s="793"/>
      <c r="H49" s="793"/>
      <c r="I49" s="793"/>
      <c r="J49" s="793"/>
      <c r="K49" s="793"/>
      <c r="L49" s="793"/>
      <c r="M49" s="1045">
        <f>SUM(E49:K49)</f>
        <v>0</v>
      </c>
      <c r="N49" s="1045">
        <f>SUM(F49:L49)</f>
        <v>0</v>
      </c>
      <c r="O49" s="3071"/>
      <c r="P49" s="548"/>
    </row>
    <row r="50" spans="1:16" ht="13.5" customHeight="1">
      <c r="A50" s="3086"/>
      <c r="B50" s="1043" t="s">
        <v>18</v>
      </c>
      <c r="C50" s="3090"/>
      <c r="D50" s="1048">
        <f>+D51</f>
        <v>1223980</v>
      </c>
      <c r="E50" s="1048">
        <f t="shared" ref="E50:L50" si="43">+E51</f>
        <v>320552</v>
      </c>
      <c r="F50" s="1048">
        <f t="shared" si="43"/>
        <v>903428</v>
      </c>
      <c r="G50" s="1048">
        <f t="shared" si="43"/>
        <v>0</v>
      </c>
      <c r="H50" s="1048">
        <f t="shared" si="43"/>
        <v>0</v>
      </c>
      <c r="I50" s="1048">
        <f t="shared" si="43"/>
        <v>0</v>
      </c>
      <c r="J50" s="1048">
        <f t="shared" si="43"/>
        <v>0</v>
      </c>
      <c r="K50" s="1048">
        <f t="shared" si="43"/>
        <v>0</v>
      </c>
      <c r="L50" s="1048">
        <f t="shared" si="43"/>
        <v>0</v>
      </c>
      <c r="M50" s="1172">
        <f>+M51</f>
        <v>903428</v>
      </c>
      <c r="N50" s="1172">
        <f>+N51</f>
        <v>0</v>
      </c>
      <c r="O50" s="3071"/>
      <c r="P50" s="548"/>
    </row>
    <row r="51" spans="1:16" ht="12" customHeight="1" collapsed="1">
      <c r="A51" s="3086"/>
      <c r="B51" s="1044" t="s">
        <v>21</v>
      </c>
      <c r="C51" s="3090"/>
      <c r="D51" s="251">
        <f>E51+F51+G51+H51+I51+J51+K51+L51</f>
        <v>1223980</v>
      </c>
      <c r="E51" s="289">
        <f>320552</f>
        <v>320552</v>
      </c>
      <c r="F51" s="793">
        <f t="shared" ref="F51:L51" si="44">+F52+F53</f>
        <v>903428</v>
      </c>
      <c r="G51" s="793">
        <f t="shared" si="44"/>
        <v>0</v>
      </c>
      <c r="H51" s="793">
        <f t="shared" si="44"/>
        <v>0</v>
      </c>
      <c r="I51" s="793">
        <f t="shared" si="44"/>
        <v>0</v>
      </c>
      <c r="J51" s="793">
        <f t="shared" si="44"/>
        <v>0</v>
      </c>
      <c r="K51" s="793">
        <f t="shared" si="44"/>
        <v>0</v>
      </c>
      <c r="L51" s="793">
        <f t="shared" si="44"/>
        <v>0</v>
      </c>
      <c r="M51" s="1156">
        <f>SUM(F51:K51)</f>
        <v>903428</v>
      </c>
      <c r="N51" s="1156">
        <f>SUM(G51:L51)</f>
        <v>0</v>
      </c>
      <c r="O51" s="3071"/>
      <c r="P51" s="548"/>
    </row>
    <row r="52" spans="1:16" s="502" customFormat="1" ht="13.5" hidden="1" customHeight="1">
      <c r="A52" s="3086"/>
      <c r="B52" s="1044" t="s">
        <v>270</v>
      </c>
      <c r="C52" s="2545"/>
      <c r="D52" s="1046">
        <f>SUM(E52:L52)</f>
        <v>324841</v>
      </c>
      <c r="E52" s="802"/>
      <c r="F52" s="793">
        <f>324841</f>
        <v>324841</v>
      </c>
      <c r="G52" s="793"/>
      <c r="H52" s="793"/>
      <c r="I52" s="793"/>
      <c r="J52" s="793"/>
      <c r="K52" s="793"/>
      <c r="L52" s="793"/>
      <c r="M52" s="1045"/>
      <c r="N52" s="1045"/>
      <c r="O52" s="3071"/>
      <c r="P52" s="548"/>
    </row>
    <row r="53" spans="1:16" s="502" customFormat="1" ht="13.5" hidden="1" customHeight="1">
      <c r="A53" s="3086"/>
      <c r="B53" s="1044" t="s">
        <v>291</v>
      </c>
      <c r="C53" s="2545"/>
      <c r="D53" s="1046">
        <f>SUM(E53:L53)</f>
        <v>578587</v>
      </c>
      <c r="E53" s="802"/>
      <c r="F53" s="793">
        <f>313750+184189+80648</f>
        <v>578587</v>
      </c>
      <c r="G53" s="793"/>
      <c r="H53" s="793"/>
      <c r="I53" s="793"/>
      <c r="J53" s="793"/>
      <c r="K53" s="793"/>
      <c r="L53" s="793"/>
      <c r="M53" s="1045"/>
      <c r="N53" s="1045"/>
      <c r="O53" s="3071"/>
      <c r="P53" s="548"/>
    </row>
    <row r="54" spans="1:16">
      <c r="A54" s="3087"/>
      <c r="B54" s="1040" t="s">
        <v>22</v>
      </c>
      <c r="C54" s="1041"/>
      <c r="D54" s="1050">
        <f t="shared" ref="D54:L54" si="45">+D55+D57</f>
        <v>1223980</v>
      </c>
      <c r="E54" s="1050">
        <f t="shared" ref="E54" si="46">+E55+E57</f>
        <v>401200</v>
      </c>
      <c r="F54" s="1050">
        <f t="shared" si="45"/>
        <v>822780</v>
      </c>
      <c r="G54" s="1050">
        <f t="shared" si="45"/>
        <v>0</v>
      </c>
      <c r="H54" s="1050">
        <f t="shared" si="45"/>
        <v>0</v>
      </c>
      <c r="I54" s="1050">
        <f t="shared" si="45"/>
        <v>0</v>
      </c>
      <c r="J54" s="1050">
        <f t="shared" si="45"/>
        <v>0</v>
      </c>
      <c r="K54" s="1050">
        <f t="shared" si="45"/>
        <v>0</v>
      </c>
      <c r="L54" s="1050">
        <f t="shared" si="45"/>
        <v>0</v>
      </c>
      <c r="M54" s="3043" t="s">
        <v>61</v>
      </c>
      <c r="N54" s="3043" t="s">
        <v>61</v>
      </c>
      <c r="O54" s="3088"/>
      <c r="P54" s="548"/>
    </row>
    <row r="55" spans="1:16" ht="13.5" hidden="1" customHeight="1">
      <c r="A55" s="3087"/>
      <c r="B55" s="1043" t="s">
        <v>24</v>
      </c>
      <c r="C55" s="3091" t="s">
        <v>292</v>
      </c>
      <c r="D55" s="1048">
        <f>+D56</f>
        <v>0</v>
      </c>
      <c r="E55" s="1048">
        <f t="shared" ref="E55:L55" si="47">+E56</f>
        <v>0</v>
      </c>
      <c r="F55" s="1048">
        <f t="shared" si="47"/>
        <v>0</v>
      </c>
      <c r="G55" s="1048">
        <f t="shared" si="47"/>
        <v>0</v>
      </c>
      <c r="H55" s="1048">
        <f t="shared" si="47"/>
        <v>0</v>
      </c>
      <c r="I55" s="1048">
        <f t="shared" si="47"/>
        <v>0</v>
      </c>
      <c r="J55" s="1048">
        <f t="shared" si="47"/>
        <v>0</v>
      </c>
      <c r="K55" s="1048">
        <f t="shared" si="47"/>
        <v>0</v>
      </c>
      <c r="L55" s="1048">
        <f t="shared" si="47"/>
        <v>0</v>
      </c>
      <c r="M55" s="3043"/>
      <c r="N55" s="3043"/>
      <c r="O55" s="3088"/>
      <c r="P55" s="548"/>
    </row>
    <row r="56" spans="1:16" ht="13.5" hidden="1" customHeight="1">
      <c r="A56" s="3087"/>
      <c r="B56" s="1044" t="s">
        <v>13</v>
      </c>
      <c r="C56" s="3092"/>
      <c r="D56" s="1046">
        <f>SUM(E56:G56)</f>
        <v>0</v>
      </c>
      <c r="E56" s="1046"/>
      <c r="F56" s="1046"/>
      <c r="G56" s="1046"/>
      <c r="H56" s="1046"/>
      <c r="I56" s="1046"/>
      <c r="J56" s="1046"/>
      <c r="K56" s="1046"/>
      <c r="L56" s="1046"/>
      <c r="M56" s="3043"/>
      <c r="N56" s="3043"/>
      <c r="O56" s="3088"/>
      <c r="P56" s="548"/>
    </row>
    <row r="57" spans="1:16" ht="13.9" customHeight="1">
      <c r="A57" s="3087"/>
      <c r="B57" s="1043" t="s">
        <v>18</v>
      </c>
      <c r="C57" s="3092"/>
      <c r="D57" s="1048">
        <f t="shared" ref="D57:L57" si="48">+D58</f>
        <v>1223980</v>
      </c>
      <c r="E57" s="1048">
        <f t="shared" si="48"/>
        <v>401200</v>
      </c>
      <c r="F57" s="1048">
        <f t="shared" si="48"/>
        <v>822780</v>
      </c>
      <c r="G57" s="1048">
        <f t="shared" si="48"/>
        <v>0</v>
      </c>
      <c r="H57" s="1048">
        <f t="shared" si="48"/>
        <v>0</v>
      </c>
      <c r="I57" s="1048">
        <f t="shared" si="48"/>
        <v>0</v>
      </c>
      <c r="J57" s="1048">
        <f t="shared" si="48"/>
        <v>0</v>
      </c>
      <c r="K57" s="1048">
        <f t="shared" si="48"/>
        <v>0</v>
      </c>
      <c r="L57" s="1048">
        <f t="shared" si="48"/>
        <v>0</v>
      </c>
      <c r="M57" s="3043"/>
      <c r="N57" s="3043"/>
      <c r="O57" s="3088"/>
      <c r="P57" s="548"/>
    </row>
    <row r="58" spans="1:16" ht="13.5" customHeight="1" thickBot="1">
      <c r="A58" s="3051"/>
      <c r="B58" s="722" t="s">
        <v>21</v>
      </c>
      <c r="C58" s="3093"/>
      <c r="D58" s="1026">
        <f>E58+F58+G58+H58+I58+J58+K58+L58</f>
        <v>1223980</v>
      </c>
      <c r="E58" s="1026">
        <f>401200</f>
        <v>401200</v>
      </c>
      <c r="F58" s="533">
        <f>638591+184189</f>
        <v>822780</v>
      </c>
      <c r="G58" s="533">
        <v>0</v>
      </c>
      <c r="H58" s="533">
        <v>0</v>
      </c>
      <c r="I58" s="533">
        <v>0</v>
      </c>
      <c r="J58" s="533">
        <v>0</v>
      </c>
      <c r="K58" s="533">
        <v>0</v>
      </c>
      <c r="L58" s="533">
        <v>0</v>
      </c>
      <c r="M58" s="3044"/>
      <c r="N58" s="3044"/>
      <c r="O58" s="3055"/>
      <c r="P58" s="548"/>
    </row>
    <row r="59" spans="1:16" ht="0.6" customHeight="1">
      <c r="A59" s="2541"/>
      <c r="B59" s="1084" t="s">
        <v>21</v>
      </c>
      <c r="C59" s="2544"/>
      <c r="D59" s="1046">
        <f>SUM(E59:G59)</f>
        <v>0</v>
      </c>
      <c r="E59" s="793">
        <v>0</v>
      </c>
      <c r="F59" s="793"/>
      <c r="G59" s="793"/>
      <c r="H59" s="793"/>
      <c r="I59" s="793"/>
      <c r="J59" s="793"/>
      <c r="K59" s="793"/>
      <c r="L59" s="793"/>
      <c r="M59" s="2543"/>
      <c r="N59" s="2543"/>
      <c r="O59" s="2542"/>
      <c r="P59" s="548"/>
    </row>
    <row r="60" spans="1:16" ht="27" customHeight="1">
      <c r="A60" s="3114" t="s">
        <v>65</v>
      </c>
      <c r="B60" s="2627" t="s">
        <v>328</v>
      </c>
      <c r="C60" s="2509" t="s">
        <v>109</v>
      </c>
      <c r="D60" s="2165"/>
      <c r="E60" s="2510"/>
      <c r="F60" s="2510"/>
      <c r="G60" s="2510"/>
      <c r="H60" s="2510"/>
      <c r="I60" s="2510"/>
      <c r="J60" s="2510"/>
      <c r="K60" s="2510"/>
      <c r="L60" s="2510"/>
      <c r="M60" s="2123"/>
      <c r="N60" s="2123"/>
      <c r="O60" s="3053" t="s">
        <v>466</v>
      </c>
      <c r="P60" s="548"/>
    </row>
    <row r="61" spans="1:16" ht="12" customHeight="1">
      <c r="A61" s="3114"/>
      <c r="B61" s="2628" t="s">
        <v>10</v>
      </c>
      <c r="C61" s="2199"/>
      <c r="D61" s="2122">
        <f t="shared" ref="D61:I61" si="49">+D62+D65</f>
        <v>9546263</v>
      </c>
      <c r="E61" s="2122">
        <f t="shared" ref="E61" si="50">+E62+E65</f>
        <v>1741141</v>
      </c>
      <c r="F61" s="2122">
        <f t="shared" si="49"/>
        <v>1453488</v>
      </c>
      <c r="G61" s="2122">
        <f t="shared" si="49"/>
        <v>1842854</v>
      </c>
      <c r="H61" s="2122">
        <f t="shared" si="49"/>
        <v>2254390</v>
      </c>
      <c r="I61" s="2122">
        <f t="shared" si="49"/>
        <v>2254390</v>
      </c>
      <c r="J61" s="2122"/>
      <c r="K61" s="2122"/>
      <c r="L61" s="2122"/>
      <c r="M61" s="2019">
        <f>+M62+M65</f>
        <v>7805122</v>
      </c>
      <c r="N61" s="2019">
        <f>+N62+N65</f>
        <v>6351634</v>
      </c>
      <c r="O61" s="3053"/>
      <c r="P61" s="548"/>
    </row>
    <row r="62" spans="1:16" ht="12" customHeight="1">
      <c r="A62" s="3114"/>
      <c r="B62" s="2629" t="s">
        <v>24</v>
      </c>
      <c r="C62" s="3116" t="s">
        <v>121</v>
      </c>
      <c r="D62" s="2483">
        <f t="shared" ref="D62:I62" si="51">+D63+D64</f>
        <v>1500673</v>
      </c>
      <c r="E62" s="2483">
        <f t="shared" ref="E62" si="52">+E63+E64</f>
        <v>273708</v>
      </c>
      <c r="F62" s="2483">
        <f t="shared" si="51"/>
        <v>228488</v>
      </c>
      <c r="G62" s="2483">
        <f t="shared" si="51"/>
        <v>289697</v>
      </c>
      <c r="H62" s="2483">
        <f t="shared" si="51"/>
        <v>354390</v>
      </c>
      <c r="I62" s="2483">
        <f t="shared" si="51"/>
        <v>354390</v>
      </c>
      <c r="J62" s="2483"/>
      <c r="K62" s="2483"/>
      <c r="L62" s="2483"/>
      <c r="M62" s="2495">
        <f>+M63+M64</f>
        <v>1226965</v>
      </c>
      <c r="N62" s="2495">
        <f>+N63+N64</f>
        <v>998477</v>
      </c>
      <c r="O62" s="3053"/>
      <c r="P62" s="548"/>
    </row>
    <row r="63" spans="1:16" ht="12" customHeight="1">
      <c r="A63" s="3114"/>
      <c r="B63" s="2630" t="s">
        <v>12</v>
      </c>
      <c r="C63" s="3117"/>
      <c r="D63" s="1926">
        <f>E63+F63+G63+H63+I63+J63+K63+L63</f>
        <v>1500673</v>
      </c>
      <c r="E63" s="1990">
        <v>273708</v>
      </c>
      <c r="F63" s="2041">
        <f>219137+39195+186-30030</f>
        <v>228488</v>
      </c>
      <c r="G63" s="2041">
        <f>219137+40716-186+30030</f>
        <v>289697</v>
      </c>
      <c r="H63" s="2041">
        <v>354390</v>
      </c>
      <c r="I63" s="2041">
        <v>354390</v>
      </c>
      <c r="J63" s="2041"/>
      <c r="K63" s="2041"/>
      <c r="L63" s="2041"/>
      <c r="M63" s="2511">
        <f>SUM(F63:K63)</f>
        <v>1226965</v>
      </c>
      <c r="N63" s="2511">
        <f>SUM(G63:L63)</f>
        <v>998477</v>
      </c>
      <c r="O63" s="3053"/>
      <c r="P63" s="548"/>
    </row>
    <row r="64" spans="1:16" ht="12" hidden="1" customHeight="1">
      <c r="A64" s="3114"/>
      <c r="B64" s="2630" t="s">
        <v>13</v>
      </c>
      <c r="C64" s="3117"/>
      <c r="D64" s="2050"/>
      <c r="E64" s="2041"/>
      <c r="F64" s="2041"/>
      <c r="G64" s="2041"/>
      <c r="H64" s="2041"/>
      <c r="I64" s="2041"/>
      <c r="J64" s="2041"/>
      <c r="K64" s="2041"/>
      <c r="L64" s="2041"/>
      <c r="M64" s="2511">
        <f>SUM(F64:K64)</f>
        <v>0</v>
      </c>
      <c r="N64" s="2511">
        <f>SUM(G64:L64)</f>
        <v>0</v>
      </c>
      <c r="O64" s="3053"/>
      <c r="P64" s="548"/>
    </row>
    <row r="65" spans="1:16" ht="12" customHeight="1">
      <c r="A65" s="3114"/>
      <c r="B65" s="2631" t="s">
        <v>18</v>
      </c>
      <c r="C65" s="3117"/>
      <c r="D65" s="2027">
        <f>+D66</f>
        <v>8045590</v>
      </c>
      <c r="E65" s="2027">
        <f t="shared" ref="E65:I65" si="53">+E66</f>
        <v>1467433</v>
      </c>
      <c r="F65" s="2027">
        <f t="shared" si="53"/>
        <v>1225000</v>
      </c>
      <c r="G65" s="2027">
        <f t="shared" si="53"/>
        <v>1553157</v>
      </c>
      <c r="H65" s="2027">
        <f t="shared" si="53"/>
        <v>1900000</v>
      </c>
      <c r="I65" s="2027">
        <f t="shared" si="53"/>
        <v>1900000</v>
      </c>
      <c r="J65" s="2027"/>
      <c r="K65" s="2027"/>
      <c r="L65" s="2027"/>
      <c r="M65" s="2186">
        <f>+M66</f>
        <v>6578157</v>
      </c>
      <c r="N65" s="2186">
        <f>+N66</f>
        <v>5353157</v>
      </c>
      <c r="O65" s="3053"/>
      <c r="P65" s="548"/>
    </row>
    <row r="66" spans="1:16" ht="11.25" customHeight="1">
      <c r="A66" s="3114"/>
      <c r="B66" s="2630" t="s">
        <v>21</v>
      </c>
      <c r="C66" s="3117"/>
      <c r="D66" s="1926">
        <f>E66+F66+G66+H66+I66+J66+K66+L66</f>
        <v>8045590</v>
      </c>
      <c r="E66" s="1990">
        <v>1467433</v>
      </c>
      <c r="F66" s="2041">
        <f>1174863+210137+1000-161000</f>
        <v>1225000</v>
      </c>
      <c r="G66" s="2041">
        <f>1174863+218294-1000+161000</f>
        <v>1553157</v>
      </c>
      <c r="H66" s="2041">
        <v>1900000</v>
      </c>
      <c r="I66" s="2041">
        <v>1900000</v>
      </c>
      <c r="J66" s="2041"/>
      <c r="K66" s="2041"/>
      <c r="L66" s="2041"/>
      <c r="M66" s="2511">
        <f>SUM(F66:K66)</f>
        <v>6578157</v>
      </c>
      <c r="N66" s="2511">
        <f>SUM(G66:L66)</f>
        <v>5353157</v>
      </c>
      <c r="O66" s="3053"/>
      <c r="P66" s="548"/>
    </row>
    <row r="67" spans="1:16">
      <c r="A67" s="3114"/>
      <c r="B67" s="2628" t="s">
        <v>22</v>
      </c>
      <c r="C67" s="2199"/>
      <c r="D67" s="2512">
        <f t="shared" ref="D67" si="54">+D68+D70</f>
        <v>8045590</v>
      </c>
      <c r="E67" s="2512">
        <f t="shared" ref="E67" si="55">+E68+E70</f>
        <v>1467433</v>
      </c>
      <c r="F67" s="2512">
        <f>+F68+F70</f>
        <v>1225000</v>
      </c>
      <c r="G67" s="2512">
        <f>+G68+G70</f>
        <v>1553157</v>
      </c>
      <c r="H67" s="2512">
        <f t="shared" ref="H67:I67" si="56">+H68+H70</f>
        <v>1900000</v>
      </c>
      <c r="I67" s="2512">
        <f t="shared" si="56"/>
        <v>1900000</v>
      </c>
      <c r="J67" s="2512"/>
      <c r="K67" s="2512"/>
      <c r="L67" s="2512"/>
      <c r="M67" s="3045" t="s">
        <v>61</v>
      </c>
      <c r="N67" s="3045" t="s">
        <v>61</v>
      </c>
      <c r="O67" s="3115"/>
      <c r="P67" s="1899">
        <f>'[1]Tab. 6B Polit społ i rozwój prz'!$M$162+'[1]Tab. 6B Polit społ i rozwój prz'!$P$162-E67</f>
        <v>0</v>
      </c>
    </row>
    <row r="68" spans="1:16" ht="12" hidden="1" customHeight="1">
      <c r="A68" s="3114"/>
      <c r="B68" s="2629" t="s">
        <v>24</v>
      </c>
      <c r="C68" s="3118" t="s">
        <v>121</v>
      </c>
      <c r="D68" s="2027">
        <f t="shared" ref="D68:G68" si="57">+D69</f>
        <v>0</v>
      </c>
      <c r="E68" s="2027">
        <f t="shared" si="57"/>
        <v>0</v>
      </c>
      <c r="F68" s="2027">
        <f t="shared" si="57"/>
        <v>0</v>
      </c>
      <c r="G68" s="2027">
        <f t="shared" si="57"/>
        <v>0</v>
      </c>
      <c r="H68" s="2027"/>
      <c r="I68" s="2027"/>
      <c r="J68" s="2027"/>
      <c r="K68" s="2027"/>
      <c r="L68" s="2027"/>
      <c r="M68" s="3045"/>
      <c r="N68" s="3045"/>
      <c r="O68" s="3115"/>
      <c r="P68" s="548"/>
    </row>
    <row r="69" spans="1:16" ht="12" hidden="1" customHeight="1">
      <c r="A69" s="3114"/>
      <c r="B69" s="2630" t="s">
        <v>13</v>
      </c>
      <c r="C69" s="3117"/>
      <c r="D69" s="2050"/>
      <c r="E69" s="2050">
        <v>0</v>
      </c>
      <c r="F69" s="2050"/>
      <c r="G69" s="2050"/>
      <c r="H69" s="2050"/>
      <c r="I69" s="2050"/>
      <c r="J69" s="2050"/>
      <c r="K69" s="2050"/>
      <c r="L69" s="2050"/>
      <c r="M69" s="3045"/>
      <c r="N69" s="3045"/>
      <c r="O69" s="3115"/>
      <c r="P69" s="548"/>
    </row>
    <row r="70" spans="1:16" ht="12" customHeight="1">
      <c r="A70" s="3114"/>
      <c r="B70" s="2631" t="s">
        <v>18</v>
      </c>
      <c r="C70" s="3119"/>
      <c r="D70" s="2027">
        <f t="shared" ref="D70:I70" si="58">+D71</f>
        <v>8045590</v>
      </c>
      <c r="E70" s="2027">
        <f t="shared" si="58"/>
        <v>1467433</v>
      </c>
      <c r="F70" s="2027">
        <f t="shared" si="58"/>
        <v>1225000</v>
      </c>
      <c r="G70" s="2027">
        <f t="shared" si="58"/>
        <v>1553157</v>
      </c>
      <c r="H70" s="2027">
        <f t="shared" si="58"/>
        <v>1900000</v>
      </c>
      <c r="I70" s="2027">
        <f t="shared" si="58"/>
        <v>1900000</v>
      </c>
      <c r="J70" s="2027"/>
      <c r="K70" s="2027"/>
      <c r="L70" s="2027"/>
      <c r="M70" s="3045"/>
      <c r="N70" s="3045"/>
      <c r="O70" s="3115"/>
      <c r="P70" s="548"/>
    </row>
    <row r="71" spans="1:16" ht="12" customHeight="1" thickBot="1">
      <c r="A71" s="3069"/>
      <c r="B71" s="2632" t="s">
        <v>21</v>
      </c>
      <c r="C71" s="3120"/>
      <c r="D71" s="2222">
        <f>E71+F71+G71+H71+I71+J71+K71+L71</f>
        <v>8045590</v>
      </c>
      <c r="E71" s="2222">
        <v>1467433</v>
      </c>
      <c r="F71" s="2499">
        <f>1174863+210137+1000-161000</f>
        <v>1225000</v>
      </c>
      <c r="G71" s="2499">
        <f>1174863+218294-1000+161000</f>
        <v>1553157</v>
      </c>
      <c r="H71" s="2499">
        <v>1900000</v>
      </c>
      <c r="I71" s="2499">
        <v>1900000</v>
      </c>
      <c r="J71" s="2499"/>
      <c r="K71" s="2499"/>
      <c r="L71" s="2499"/>
      <c r="M71" s="3046"/>
      <c r="N71" s="3046"/>
      <c r="O71" s="3073"/>
      <c r="P71" s="548"/>
    </row>
    <row r="72" spans="1:16" ht="28.5" customHeight="1">
      <c r="A72" s="3067" t="s">
        <v>66</v>
      </c>
      <c r="B72" s="529" t="s">
        <v>329</v>
      </c>
      <c r="C72" s="530" t="s">
        <v>81</v>
      </c>
      <c r="D72" s="86"/>
      <c r="E72" s="87"/>
      <c r="F72" s="87"/>
      <c r="G72" s="87"/>
      <c r="H72" s="87"/>
      <c r="I72" s="87"/>
      <c r="J72" s="87"/>
      <c r="K72" s="87"/>
      <c r="L72" s="87"/>
      <c r="M72" s="531"/>
      <c r="N72" s="531"/>
      <c r="O72" s="3070" t="s">
        <v>467</v>
      </c>
      <c r="P72" s="548"/>
    </row>
    <row r="73" spans="1:16" ht="14.25" customHeight="1">
      <c r="A73" s="3068"/>
      <c r="B73" s="1040" t="s">
        <v>10</v>
      </c>
      <c r="C73" s="1041"/>
      <c r="D73" s="763">
        <f t="shared" ref="D73:F73" si="59">+D74+D77</f>
        <v>36503</v>
      </c>
      <c r="E73" s="763">
        <f t="shared" ref="E73" si="60">+E74+E77</f>
        <v>18705</v>
      </c>
      <c r="F73" s="763">
        <f t="shared" si="59"/>
        <v>17798</v>
      </c>
      <c r="G73" s="763"/>
      <c r="H73" s="763"/>
      <c r="I73" s="763"/>
      <c r="J73" s="763"/>
      <c r="K73" s="763"/>
      <c r="L73" s="763"/>
      <c r="M73" s="1042">
        <f>+M74+M77</f>
        <v>17798</v>
      </c>
      <c r="N73" s="1042">
        <f>+N74+N77</f>
        <v>0</v>
      </c>
      <c r="O73" s="3071"/>
      <c r="P73" s="548"/>
    </row>
    <row r="74" spans="1:16" ht="12" customHeight="1">
      <c r="A74" s="3068"/>
      <c r="B74" s="1043" t="s">
        <v>24</v>
      </c>
      <c r="C74" s="3074" t="s">
        <v>121</v>
      </c>
      <c r="D74" s="812">
        <f t="shared" ref="D74:F74" si="61">+D75+D76</f>
        <v>5738</v>
      </c>
      <c r="E74" s="812">
        <f t="shared" ref="E74" si="62">+E75+E76</f>
        <v>2940</v>
      </c>
      <c r="F74" s="812">
        <f t="shared" si="61"/>
        <v>2798</v>
      </c>
      <c r="G74" s="812"/>
      <c r="H74" s="812"/>
      <c r="I74" s="812"/>
      <c r="J74" s="812"/>
      <c r="K74" s="812"/>
      <c r="L74" s="812"/>
      <c r="M74" s="810">
        <f>+M75+M76</f>
        <v>2798</v>
      </c>
      <c r="N74" s="810">
        <f>+N75+N76</f>
        <v>0</v>
      </c>
      <c r="O74" s="3071"/>
      <c r="P74" s="548"/>
    </row>
    <row r="75" spans="1:16" ht="12" customHeight="1">
      <c r="A75" s="3068"/>
      <c r="B75" s="1044" t="s">
        <v>12</v>
      </c>
      <c r="C75" s="3075"/>
      <c r="D75" s="251">
        <f>E75+F75+G75+H75+I75+J75+K75+L75</f>
        <v>5738</v>
      </c>
      <c r="E75" s="289">
        <v>2940</v>
      </c>
      <c r="F75" s="793">
        <v>2798</v>
      </c>
      <c r="G75" s="793"/>
      <c r="H75" s="793"/>
      <c r="I75" s="793"/>
      <c r="J75" s="793"/>
      <c r="K75" s="793"/>
      <c r="L75" s="793"/>
      <c r="M75" s="1156">
        <f>SUM(F75:K75)</f>
        <v>2798</v>
      </c>
      <c r="N75" s="1156">
        <f>SUM(G75:L75)</f>
        <v>0</v>
      </c>
      <c r="O75" s="3071"/>
      <c r="P75" s="548"/>
    </row>
    <row r="76" spans="1:16" ht="12" hidden="1" customHeight="1">
      <c r="A76" s="3068"/>
      <c r="B76" s="1044" t="s">
        <v>13</v>
      </c>
      <c r="C76" s="3075"/>
      <c r="D76" s="1046"/>
      <c r="E76" s="793"/>
      <c r="F76" s="793"/>
      <c r="G76" s="793"/>
      <c r="H76" s="793"/>
      <c r="I76" s="793"/>
      <c r="J76" s="793"/>
      <c r="K76" s="793"/>
      <c r="L76" s="793"/>
      <c r="M76" s="1156">
        <f>SUM(F76:K76)</f>
        <v>0</v>
      </c>
      <c r="N76" s="1156">
        <f>SUM(G76:L76)</f>
        <v>0</v>
      </c>
      <c r="O76" s="3071"/>
      <c r="P76" s="548"/>
    </row>
    <row r="77" spans="1:16" ht="12" customHeight="1">
      <c r="A77" s="3068"/>
      <c r="B77" s="1047" t="s">
        <v>18</v>
      </c>
      <c r="C77" s="3075"/>
      <c r="D77" s="1048">
        <f>+D78</f>
        <v>30765</v>
      </c>
      <c r="E77" s="1048">
        <f t="shared" ref="E77:F77" si="63">+E78</f>
        <v>15765</v>
      </c>
      <c r="F77" s="1048">
        <f t="shared" si="63"/>
        <v>15000</v>
      </c>
      <c r="G77" s="1048"/>
      <c r="H77" s="1048"/>
      <c r="I77" s="1048"/>
      <c r="J77" s="1048"/>
      <c r="K77" s="1048"/>
      <c r="L77" s="1048"/>
      <c r="M77" s="1049">
        <f>+M78</f>
        <v>15000</v>
      </c>
      <c r="N77" s="1049">
        <f>+N78</f>
        <v>0</v>
      </c>
      <c r="O77" s="3071"/>
      <c r="P77" s="548"/>
    </row>
    <row r="78" spans="1:16" ht="12" customHeight="1">
      <c r="A78" s="3068"/>
      <c r="B78" s="1044" t="s">
        <v>21</v>
      </c>
      <c r="C78" s="3075"/>
      <c r="D78" s="251">
        <f>E78+F78+G78+H78+I78+J78+K78+L78</f>
        <v>30765</v>
      </c>
      <c r="E78" s="289">
        <v>15765</v>
      </c>
      <c r="F78" s="793">
        <v>15000</v>
      </c>
      <c r="G78" s="793"/>
      <c r="H78" s="793"/>
      <c r="I78" s="793"/>
      <c r="J78" s="793"/>
      <c r="K78" s="793"/>
      <c r="L78" s="793"/>
      <c r="M78" s="1156">
        <f>SUM(F78:K78)</f>
        <v>15000</v>
      </c>
      <c r="N78" s="1156">
        <f>SUM(G78:L78)</f>
        <v>0</v>
      </c>
      <c r="O78" s="3071"/>
      <c r="P78" s="548"/>
    </row>
    <row r="79" spans="1:16">
      <c r="A79" s="3068"/>
      <c r="B79" s="1040" t="s">
        <v>22</v>
      </c>
      <c r="C79" s="1041"/>
      <c r="D79" s="1050">
        <f t="shared" ref="D79" si="64">+D80+D82</f>
        <v>30765</v>
      </c>
      <c r="E79" s="1050">
        <f t="shared" ref="E79" si="65">+E80+E82</f>
        <v>15765</v>
      </c>
      <c r="F79" s="1050">
        <f>+F80+F82</f>
        <v>15000</v>
      </c>
      <c r="G79" s="1050"/>
      <c r="H79" s="1050"/>
      <c r="I79" s="1050"/>
      <c r="J79" s="1050"/>
      <c r="K79" s="1050"/>
      <c r="L79" s="1050"/>
      <c r="M79" s="3043" t="s">
        <v>61</v>
      </c>
      <c r="N79" s="3043" t="s">
        <v>61</v>
      </c>
      <c r="O79" s="3072"/>
      <c r="P79" s="548"/>
    </row>
    <row r="80" spans="1:16" ht="12" hidden="1" customHeight="1">
      <c r="A80" s="3068"/>
      <c r="B80" s="1043" t="s">
        <v>24</v>
      </c>
      <c r="C80" s="3097" t="s">
        <v>121</v>
      </c>
      <c r="D80" s="1048">
        <f t="shared" ref="D80:E80" si="66">+D81</f>
        <v>0</v>
      </c>
      <c r="E80" s="1048">
        <f t="shared" si="66"/>
        <v>0</v>
      </c>
      <c r="F80" s="1048"/>
      <c r="G80" s="1048"/>
      <c r="H80" s="1048"/>
      <c r="I80" s="1048"/>
      <c r="J80" s="1048"/>
      <c r="K80" s="1048"/>
      <c r="L80" s="1048"/>
      <c r="M80" s="3043"/>
      <c r="N80" s="3043"/>
      <c r="O80" s="3072"/>
      <c r="P80" s="548"/>
    </row>
    <row r="81" spans="1:19" ht="12" hidden="1" customHeight="1">
      <c r="A81" s="3068"/>
      <c r="B81" s="1044" t="s">
        <v>13</v>
      </c>
      <c r="C81" s="3075"/>
      <c r="D81" s="1046"/>
      <c r="E81" s="1046">
        <v>0</v>
      </c>
      <c r="F81" s="1046"/>
      <c r="G81" s="1046"/>
      <c r="H81" s="1046"/>
      <c r="I81" s="1046"/>
      <c r="J81" s="1046"/>
      <c r="K81" s="1046"/>
      <c r="L81" s="1046"/>
      <c r="M81" s="3043"/>
      <c r="N81" s="3043"/>
      <c r="O81" s="3072"/>
      <c r="P81" s="548"/>
    </row>
    <row r="82" spans="1:19" ht="12" customHeight="1">
      <c r="A82" s="3068"/>
      <c r="B82" s="1047" t="s">
        <v>18</v>
      </c>
      <c r="C82" s="3098"/>
      <c r="D82" s="1048">
        <f t="shared" ref="D82:F82" si="67">+D83</f>
        <v>30765</v>
      </c>
      <c r="E82" s="1048">
        <f t="shared" si="67"/>
        <v>15765</v>
      </c>
      <c r="F82" s="1048">
        <f t="shared" si="67"/>
        <v>15000</v>
      </c>
      <c r="G82" s="1048"/>
      <c r="H82" s="1048"/>
      <c r="I82" s="1048"/>
      <c r="J82" s="1048"/>
      <c r="K82" s="1048"/>
      <c r="L82" s="1048"/>
      <c r="M82" s="3043"/>
      <c r="N82" s="3043"/>
      <c r="O82" s="3072"/>
      <c r="P82" s="548"/>
    </row>
    <row r="83" spans="1:19" ht="12" customHeight="1" thickBot="1">
      <c r="A83" s="3069"/>
      <c r="B83" s="623" t="s">
        <v>21</v>
      </c>
      <c r="C83" s="3099"/>
      <c r="D83" s="1026">
        <f>E83+F83+G83+H83+I83+J83+K83+L83</f>
        <v>30765</v>
      </c>
      <c r="E83" s="1026">
        <v>15765</v>
      </c>
      <c r="F83" s="533">
        <v>15000</v>
      </c>
      <c r="G83" s="533"/>
      <c r="H83" s="533"/>
      <c r="I83" s="533"/>
      <c r="J83" s="533"/>
      <c r="K83" s="533"/>
      <c r="L83" s="533"/>
      <c r="M83" s="3044"/>
      <c r="N83" s="3044"/>
      <c r="O83" s="3073"/>
      <c r="P83" s="548"/>
    </row>
    <row r="84" spans="1:19" ht="19.5" customHeight="1">
      <c r="A84" s="3068" t="s">
        <v>67</v>
      </c>
      <c r="B84" s="2633" t="s">
        <v>281</v>
      </c>
      <c r="C84" s="1574" t="s">
        <v>109</v>
      </c>
      <c r="D84" s="1575"/>
      <c r="E84" s="1576"/>
      <c r="F84" s="1576"/>
      <c r="G84" s="1576"/>
      <c r="H84" s="1576"/>
      <c r="I84" s="1576"/>
      <c r="J84" s="1576"/>
      <c r="K84" s="1576"/>
      <c r="L84" s="1576"/>
      <c r="M84" s="1577"/>
      <c r="N84" s="1577"/>
      <c r="O84" s="3071" t="s">
        <v>298</v>
      </c>
      <c r="P84" s="548"/>
      <c r="S84" s="418"/>
    </row>
    <row r="85" spans="1:19" ht="12" customHeight="1">
      <c r="A85" s="3068"/>
      <c r="B85" s="2634" t="s">
        <v>10</v>
      </c>
      <c r="C85" s="1578"/>
      <c r="D85" s="1579">
        <f>+D86+D89</f>
        <v>75096479</v>
      </c>
      <c r="E85" s="1579">
        <f t="shared" ref="E85" si="68">+E86+E89</f>
        <v>8674017</v>
      </c>
      <c r="F85" s="1579">
        <f t="shared" ref="F85:N85" si="69">+F86+F89</f>
        <v>10034300</v>
      </c>
      <c r="G85" s="1579">
        <f t="shared" si="69"/>
        <v>10365509</v>
      </c>
      <c r="H85" s="1579">
        <f t="shared" si="69"/>
        <v>9681275</v>
      </c>
      <c r="I85" s="1579">
        <f t="shared" si="69"/>
        <v>9701275</v>
      </c>
      <c r="J85" s="1579">
        <f t="shared" si="69"/>
        <v>9597275</v>
      </c>
      <c r="K85" s="1579">
        <f t="shared" si="69"/>
        <v>8877275</v>
      </c>
      <c r="L85" s="1579">
        <f t="shared" si="69"/>
        <v>8165553</v>
      </c>
      <c r="M85" s="1580">
        <f t="shared" ref="M85" si="70">+M86+M89</f>
        <v>66422462</v>
      </c>
      <c r="N85" s="1580">
        <f t="shared" si="69"/>
        <v>56388162</v>
      </c>
      <c r="O85" s="3071"/>
      <c r="P85" s="549"/>
      <c r="Q85" s="412"/>
      <c r="R85" s="412"/>
      <c r="S85" s="412"/>
    </row>
    <row r="86" spans="1:19" ht="14.25" customHeight="1">
      <c r="A86" s="3068"/>
      <c r="B86" s="2635" t="s">
        <v>24</v>
      </c>
      <c r="C86" s="3080" t="s">
        <v>121</v>
      </c>
      <c r="D86" s="1539">
        <f t="shared" ref="D86" si="71">+D87+D88</f>
        <v>11264472</v>
      </c>
      <c r="E86" s="1539">
        <f t="shared" ref="E86" si="72">+E87+E88</f>
        <v>1301102</v>
      </c>
      <c r="F86" s="1539">
        <f t="shared" ref="F86:N86" si="73">+F87+F88</f>
        <v>1505144</v>
      </c>
      <c r="G86" s="1539">
        <f t="shared" si="73"/>
        <v>1554827</v>
      </c>
      <c r="H86" s="1539">
        <f t="shared" si="73"/>
        <v>1452191</v>
      </c>
      <c r="I86" s="1539">
        <f t="shared" si="73"/>
        <v>1455191</v>
      </c>
      <c r="J86" s="1539">
        <f t="shared" si="73"/>
        <v>1439591</v>
      </c>
      <c r="K86" s="1539">
        <f t="shared" si="73"/>
        <v>1331592</v>
      </c>
      <c r="L86" s="1539">
        <f t="shared" si="73"/>
        <v>1224834</v>
      </c>
      <c r="M86" s="1541">
        <f t="shared" ref="M86" si="74">+M87+M88</f>
        <v>9963370</v>
      </c>
      <c r="N86" s="1541">
        <f t="shared" si="73"/>
        <v>8458226</v>
      </c>
      <c r="O86" s="3071"/>
      <c r="P86" s="548"/>
    </row>
    <row r="87" spans="1:19" ht="13.5" customHeight="1">
      <c r="A87" s="3068"/>
      <c r="B87" s="2636" t="s">
        <v>12</v>
      </c>
      <c r="C87" s="3081"/>
      <c r="D87" s="251">
        <f>E87+F87+G87+H87+I87+J87+K87+L87</f>
        <v>11264472</v>
      </c>
      <c r="E87" s="289">
        <v>1301102</v>
      </c>
      <c r="F87" s="1523">
        <f>1467941+1868-1500+27303+9532</f>
        <v>1505144</v>
      </c>
      <c r="G87" s="1523">
        <f>1467941+12137+74749</f>
        <v>1554827</v>
      </c>
      <c r="H87" s="1523">
        <v>1452191</v>
      </c>
      <c r="I87" s="1523">
        <v>1455191</v>
      </c>
      <c r="J87" s="1523">
        <v>1439591</v>
      </c>
      <c r="K87" s="1523">
        <v>1331592</v>
      </c>
      <c r="L87" s="1523">
        <f>1299583-74749</f>
        <v>1224834</v>
      </c>
      <c r="M87" s="1156">
        <f>SUM(F87:L87)</f>
        <v>9963370</v>
      </c>
      <c r="N87" s="1156">
        <f>SUM(G87:L87)</f>
        <v>8458226</v>
      </c>
      <c r="O87" s="3071"/>
      <c r="P87" s="549">
        <f>+N87-D87</f>
        <v>-2806246</v>
      </c>
    </row>
    <row r="88" spans="1:19" ht="13.5" hidden="1" customHeight="1">
      <c r="A88" s="3068"/>
      <c r="B88" s="2636" t="s">
        <v>13</v>
      </c>
      <c r="C88" s="3081"/>
      <c r="D88" s="251">
        <f>E88+F88+G88+H88+I88+J88+K88+L88</f>
        <v>0</v>
      </c>
      <c r="E88" s="1563">
        <v>0</v>
      </c>
      <c r="F88" s="1563"/>
      <c r="G88" s="1563"/>
      <c r="H88" s="1563"/>
      <c r="I88" s="1563"/>
      <c r="J88" s="1563"/>
      <c r="K88" s="1563"/>
      <c r="L88" s="1563"/>
      <c r="M88" s="1156">
        <f>SUM(F88:K88)</f>
        <v>0</v>
      </c>
      <c r="N88" s="1156">
        <f>SUM(G88:L88)</f>
        <v>0</v>
      </c>
      <c r="O88" s="3071"/>
      <c r="P88" s="548"/>
    </row>
    <row r="89" spans="1:19" ht="13.5" customHeight="1">
      <c r="A89" s="3068"/>
      <c r="B89" s="2637" t="s">
        <v>18</v>
      </c>
      <c r="C89" s="3081"/>
      <c r="D89" s="1582">
        <f>+D90</f>
        <v>63832007</v>
      </c>
      <c r="E89" s="1582">
        <f t="shared" ref="E89:N89" si="75">+E90</f>
        <v>7372915</v>
      </c>
      <c r="F89" s="1582">
        <f t="shared" si="75"/>
        <v>8529156</v>
      </c>
      <c r="G89" s="1582">
        <f t="shared" si="75"/>
        <v>8810682</v>
      </c>
      <c r="H89" s="1582">
        <f t="shared" si="75"/>
        <v>8229084</v>
      </c>
      <c r="I89" s="1582">
        <f t="shared" si="75"/>
        <v>8246084</v>
      </c>
      <c r="J89" s="1582">
        <f t="shared" si="75"/>
        <v>8157684</v>
      </c>
      <c r="K89" s="1582">
        <f t="shared" si="75"/>
        <v>7545683</v>
      </c>
      <c r="L89" s="1582">
        <f t="shared" si="75"/>
        <v>6940719</v>
      </c>
      <c r="M89" s="1583">
        <f t="shared" si="75"/>
        <v>56459092</v>
      </c>
      <c r="N89" s="1583">
        <f t="shared" si="75"/>
        <v>47929936</v>
      </c>
      <c r="O89" s="3071"/>
      <c r="P89" s="549">
        <f>+N89-D89</f>
        <v>-15902071</v>
      </c>
    </row>
    <row r="90" spans="1:19" ht="13.5" customHeight="1">
      <c r="A90" s="3068"/>
      <c r="B90" s="2636" t="s">
        <v>21</v>
      </c>
      <c r="C90" s="3081"/>
      <c r="D90" s="251">
        <f>E90+F90+G90+H90+I90+J90+K90+L90</f>
        <v>63832007</v>
      </c>
      <c r="E90" s="289">
        <v>7372915</v>
      </c>
      <c r="F90" s="1584">
        <f>8318334+10585-8500+154719+54018</f>
        <v>8529156</v>
      </c>
      <c r="G90" s="1585">
        <f>8318334+68767+423581</f>
        <v>8810682</v>
      </c>
      <c r="H90" s="1585">
        <v>8229084</v>
      </c>
      <c r="I90" s="1585">
        <v>8246084</v>
      </c>
      <c r="J90" s="1585">
        <v>8157684</v>
      </c>
      <c r="K90" s="1585">
        <v>7545683</v>
      </c>
      <c r="L90" s="1585">
        <f>7364300-423581</f>
        <v>6940719</v>
      </c>
      <c r="M90" s="1156">
        <f>SUM(F90:L90)</f>
        <v>56459092</v>
      </c>
      <c r="N90" s="1156">
        <f>SUM(G90:L90)</f>
        <v>47929936</v>
      </c>
      <c r="O90" s="3071"/>
      <c r="P90" s="548"/>
    </row>
    <row r="91" spans="1:19" s="419" customFormat="1" ht="13.5" customHeight="1">
      <c r="A91" s="3068"/>
      <c r="B91" s="2634" t="s">
        <v>22</v>
      </c>
      <c r="C91" s="1578"/>
      <c r="D91" s="1586">
        <f t="shared" ref="D91" si="76">+D92+D94</f>
        <v>63832007</v>
      </c>
      <c r="E91" s="1586">
        <f t="shared" ref="E91" si="77">+E92+E94</f>
        <v>7372915</v>
      </c>
      <c r="F91" s="1586">
        <f>+F92+F94</f>
        <v>8529156</v>
      </c>
      <c r="G91" s="1586">
        <f t="shared" ref="G91:L91" si="78">+G92+G94</f>
        <v>8810682</v>
      </c>
      <c r="H91" s="1586">
        <f t="shared" si="78"/>
        <v>8229084</v>
      </c>
      <c r="I91" s="1586">
        <f t="shared" si="78"/>
        <v>8246084</v>
      </c>
      <c r="J91" s="1586">
        <f t="shared" si="78"/>
        <v>8157684</v>
      </c>
      <c r="K91" s="1586">
        <f t="shared" si="78"/>
        <v>7545683</v>
      </c>
      <c r="L91" s="1586">
        <f t="shared" si="78"/>
        <v>6940719</v>
      </c>
      <c r="M91" s="3047" t="s">
        <v>61</v>
      </c>
      <c r="N91" s="3047" t="s">
        <v>61</v>
      </c>
      <c r="O91" s="3072"/>
      <c r="P91" s="552"/>
    </row>
    <row r="92" spans="1:19" ht="11.25" hidden="1" customHeight="1">
      <c r="A92" s="3068"/>
      <c r="B92" s="2635" t="s">
        <v>24</v>
      </c>
      <c r="C92" s="3082" t="s">
        <v>221</v>
      </c>
      <c r="D92" s="1582">
        <f t="shared" ref="D92:L92" si="79">+D93</f>
        <v>0</v>
      </c>
      <c r="E92" s="1582">
        <f t="shared" si="79"/>
        <v>0</v>
      </c>
      <c r="F92" s="1582">
        <f t="shared" si="79"/>
        <v>0</v>
      </c>
      <c r="G92" s="1582">
        <f t="shared" si="79"/>
        <v>0</v>
      </c>
      <c r="H92" s="1582">
        <f t="shared" si="79"/>
        <v>0</v>
      </c>
      <c r="I92" s="1582">
        <f t="shared" si="79"/>
        <v>0</v>
      </c>
      <c r="J92" s="1582">
        <f t="shared" si="79"/>
        <v>0</v>
      </c>
      <c r="K92" s="1582">
        <f t="shared" si="79"/>
        <v>0</v>
      </c>
      <c r="L92" s="1582">
        <f t="shared" si="79"/>
        <v>0</v>
      </c>
      <c r="M92" s="3047"/>
      <c r="N92" s="3047"/>
      <c r="O92" s="3072"/>
      <c r="P92" s="548"/>
    </row>
    <row r="93" spans="1:19" ht="11.25" hidden="1" customHeight="1">
      <c r="A93" s="3068"/>
      <c r="B93" s="2636" t="s">
        <v>13</v>
      </c>
      <c r="C93" s="3082"/>
      <c r="D93" s="251">
        <f>E93+F93+G93+H93+I93+J93+K93+L93</f>
        <v>0</v>
      </c>
      <c r="E93" s="1581"/>
      <c r="F93" s="1581"/>
      <c r="G93" s="1581"/>
      <c r="H93" s="1581"/>
      <c r="I93" s="1581"/>
      <c r="J93" s="1581"/>
      <c r="K93" s="1581"/>
      <c r="L93" s="1581"/>
      <c r="M93" s="3047"/>
      <c r="N93" s="3047"/>
      <c r="O93" s="3072"/>
      <c r="P93" s="548"/>
    </row>
    <row r="94" spans="1:19" ht="13.5" customHeight="1">
      <c r="A94" s="3068"/>
      <c r="B94" s="2637" t="s">
        <v>18</v>
      </c>
      <c r="C94" s="3082"/>
      <c r="D94" s="1582">
        <f t="shared" ref="D94:L94" si="80">+D95</f>
        <v>63832007</v>
      </c>
      <c r="E94" s="1582">
        <f t="shared" si="80"/>
        <v>7372915</v>
      </c>
      <c r="F94" s="1582">
        <f t="shared" si="80"/>
        <v>8529156</v>
      </c>
      <c r="G94" s="1582">
        <f t="shared" si="80"/>
        <v>8810682</v>
      </c>
      <c r="H94" s="1582">
        <f t="shared" si="80"/>
        <v>8229084</v>
      </c>
      <c r="I94" s="1582">
        <f t="shared" si="80"/>
        <v>8246084</v>
      </c>
      <c r="J94" s="1582">
        <f t="shared" si="80"/>
        <v>8157684</v>
      </c>
      <c r="K94" s="1582">
        <f t="shared" si="80"/>
        <v>7545683</v>
      </c>
      <c r="L94" s="1582">
        <f t="shared" si="80"/>
        <v>6940719</v>
      </c>
      <c r="M94" s="3047"/>
      <c r="N94" s="3047"/>
      <c r="O94" s="3072"/>
      <c r="P94" s="548"/>
    </row>
    <row r="95" spans="1:19" ht="15" customHeight="1" thickBot="1">
      <c r="A95" s="3069"/>
      <c r="B95" s="722" t="s">
        <v>21</v>
      </c>
      <c r="C95" s="3077"/>
      <c r="D95" s="1026">
        <f>E95+F95+G95+H95+I95+J95+K95+L95</f>
        <v>63832007</v>
      </c>
      <c r="E95" s="1026">
        <v>7372915</v>
      </c>
      <c r="F95" s="723">
        <f>8318334+10585-8500+154719+54018</f>
        <v>8529156</v>
      </c>
      <c r="G95" s="723">
        <f>8318334+68767+423581</f>
        <v>8810682</v>
      </c>
      <c r="H95" s="723">
        <v>8229084</v>
      </c>
      <c r="I95" s="723">
        <v>8246084</v>
      </c>
      <c r="J95" s="723">
        <v>8157684</v>
      </c>
      <c r="K95" s="723">
        <v>7545683</v>
      </c>
      <c r="L95" s="723">
        <f>7364300-423581</f>
        <v>6940719</v>
      </c>
      <c r="M95" s="3044"/>
      <c r="N95" s="3044"/>
      <c r="O95" s="3073"/>
      <c r="P95" s="548"/>
    </row>
    <row r="96" spans="1:19" ht="24">
      <c r="A96" s="3067" t="s">
        <v>115</v>
      </c>
      <c r="B96" s="529" t="s">
        <v>319</v>
      </c>
      <c r="C96" s="530" t="s">
        <v>81</v>
      </c>
      <c r="D96" s="86"/>
      <c r="E96" s="87"/>
      <c r="F96" s="87"/>
      <c r="G96" s="87"/>
      <c r="H96" s="87"/>
      <c r="I96" s="87"/>
      <c r="J96" s="87"/>
      <c r="K96" s="87"/>
      <c r="L96" s="87"/>
      <c r="M96" s="531"/>
      <c r="N96" s="531"/>
      <c r="O96" s="3070" t="s">
        <v>298</v>
      </c>
      <c r="P96" s="548"/>
    </row>
    <row r="97" spans="1:16">
      <c r="A97" s="3068"/>
      <c r="B97" s="1040" t="s">
        <v>10</v>
      </c>
      <c r="C97" s="1041"/>
      <c r="D97" s="763">
        <f t="shared" ref="D97:N97" si="81">+D98+D101</f>
        <v>83250</v>
      </c>
      <c r="E97" s="763">
        <f t="shared" ref="E97" si="82">+E98+E101</f>
        <v>7250</v>
      </c>
      <c r="F97" s="763">
        <f t="shared" si="81"/>
        <v>76000</v>
      </c>
      <c r="G97" s="763">
        <f t="shared" si="81"/>
        <v>0</v>
      </c>
      <c r="H97" s="763">
        <f t="shared" si="81"/>
        <v>0</v>
      </c>
      <c r="I97" s="763">
        <f t="shared" si="81"/>
        <v>0</v>
      </c>
      <c r="J97" s="763">
        <f t="shared" si="81"/>
        <v>0</v>
      </c>
      <c r="K97" s="763">
        <f t="shared" si="81"/>
        <v>0</v>
      </c>
      <c r="L97" s="763">
        <f t="shared" si="81"/>
        <v>0</v>
      </c>
      <c r="M97" s="1042">
        <f t="shared" ref="M97" si="83">+M98+M101</f>
        <v>76000</v>
      </c>
      <c r="N97" s="1042">
        <f t="shared" si="81"/>
        <v>0</v>
      </c>
      <c r="O97" s="3071"/>
      <c r="P97" s="548"/>
    </row>
    <row r="98" spans="1:16">
      <c r="A98" s="3068"/>
      <c r="B98" s="1043" t="s">
        <v>24</v>
      </c>
      <c r="C98" s="3074" t="s">
        <v>121</v>
      </c>
      <c r="D98" s="812">
        <f t="shared" ref="D98:N98" si="84">+D99+D100</f>
        <v>12487</v>
      </c>
      <c r="E98" s="812">
        <f t="shared" ref="E98" si="85">+E99+E100</f>
        <v>1087</v>
      </c>
      <c r="F98" s="812">
        <f t="shared" si="84"/>
        <v>11400</v>
      </c>
      <c r="G98" s="812">
        <f t="shared" si="84"/>
        <v>0</v>
      </c>
      <c r="H98" s="812">
        <f t="shared" si="84"/>
        <v>0</v>
      </c>
      <c r="I98" s="812">
        <f t="shared" si="84"/>
        <v>0</v>
      </c>
      <c r="J98" s="812">
        <f t="shared" si="84"/>
        <v>0</v>
      </c>
      <c r="K98" s="812">
        <f t="shared" si="84"/>
        <v>0</v>
      </c>
      <c r="L98" s="812">
        <f t="shared" si="84"/>
        <v>0</v>
      </c>
      <c r="M98" s="810">
        <f t="shared" ref="M98" si="86">+M99+M100</f>
        <v>11400</v>
      </c>
      <c r="N98" s="810">
        <f t="shared" si="84"/>
        <v>0</v>
      </c>
      <c r="O98" s="3071"/>
      <c r="P98" s="548"/>
    </row>
    <row r="99" spans="1:16">
      <c r="A99" s="3068"/>
      <c r="B99" s="1044" t="s">
        <v>12</v>
      </c>
      <c r="C99" s="3075"/>
      <c r="D99" s="251">
        <f>E99+F99+G99+H99+I99+J99+K99+L99</f>
        <v>12487</v>
      </c>
      <c r="E99" s="289">
        <v>1087</v>
      </c>
      <c r="F99" s="736">
        <f>1500+9900</f>
        <v>11400</v>
      </c>
      <c r="G99" s="736"/>
      <c r="H99" s="736"/>
      <c r="I99" s="736"/>
      <c r="J99" s="736"/>
      <c r="K99" s="736"/>
      <c r="L99" s="736"/>
      <c r="M99" s="1156">
        <f>SUM(F99:K99)</f>
        <v>11400</v>
      </c>
      <c r="N99" s="1156">
        <f>SUM(G99:L99)</f>
        <v>0</v>
      </c>
      <c r="O99" s="3071"/>
      <c r="P99" s="548"/>
    </row>
    <row r="100" spans="1:16" hidden="1">
      <c r="A100" s="3068"/>
      <c r="B100" s="1044" t="s">
        <v>13</v>
      </c>
      <c r="C100" s="3075"/>
      <c r="D100" s="251">
        <f>E100+F100+G100+H100+I100+J100+K100+L100</f>
        <v>0</v>
      </c>
      <c r="E100" s="793">
        <v>0</v>
      </c>
      <c r="F100" s="793"/>
      <c r="G100" s="793"/>
      <c r="H100" s="793"/>
      <c r="I100" s="793"/>
      <c r="J100" s="793"/>
      <c r="K100" s="793"/>
      <c r="L100" s="793"/>
      <c r="M100" s="1156">
        <f>SUM(F100:K100)</f>
        <v>0</v>
      </c>
      <c r="N100" s="1156">
        <f>SUM(G100:L100)</f>
        <v>0</v>
      </c>
      <c r="O100" s="3071"/>
      <c r="P100" s="548"/>
    </row>
    <row r="101" spans="1:16">
      <c r="A101" s="3068"/>
      <c r="B101" s="1047" t="s">
        <v>18</v>
      </c>
      <c r="C101" s="3075"/>
      <c r="D101" s="1048">
        <f>+D102</f>
        <v>70763</v>
      </c>
      <c r="E101" s="1048">
        <f t="shared" ref="E101:N101" si="87">+E102</f>
        <v>6163</v>
      </c>
      <c r="F101" s="1048">
        <f t="shared" si="87"/>
        <v>64600</v>
      </c>
      <c r="G101" s="1048">
        <f t="shared" si="87"/>
        <v>0</v>
      </c>
      <c r="H101" s="1048">
        <f t="shared" si="87"/>
        <v>0</v>
      </c>
      <c r="I101" s="1048">
        <f t="shared" si="87"/>
        <v>0</v>
      </c>
      <c r="J101" s="1048">
        <f t="shared" si="87"/>
        <v>0</v>
      </c>
      <c r="K101" s="1048">
        <f t="shared" si="87"/>
        <v>0</v>
      </c>
      <c r="L101" s="1048">
        <f t="shared" si="87"/>
        <v>0</v>
      </c>
      <c r="M101" s="1049">
        <f t="shared" si="87"/>
        <v>64600</v>
      </c>
      <c r="N101" s="1049">
        <f t="shared" si="87"/>
        <v>0</v>
      </c>
      <c r="O101" s="3071"/>
      <c r="P101" s="548"/>
    </row>
    <row r="102" spans="1:16">
      <c r="A102" s="3068"/>
      <c r="B102" s="1044" t="s">
        <v>21</v>
      </c>
      <c r="C102" s="3075"/>
      <c r="D102" s="251">
        <f>E102+F102+G102+H102+I102+J102+K102+L102</f>
        <v>70763</v>
      </c>
      <c r="E102" s="289">
        <v>6163</v>
      </c>
      <c r="F102" s="1051">
        <f>8500+56100</f>
        <v>64600</v>
      </c>
      <c r="G102" s="1052"/>
      <c r="H102" s="1052"/>
      <c r="I102" s="1052"/>
      <c r="J102" s="1052"/>
      <c r="K102" s="1052"/>
      <c r="L102" s="1052"/>
      <c r="M102" s="1156">
        <f>SUM(F102:K102)</f>
        <v>64600</v>
      </c>
      <c r="N102" s="1156">
        <f>SUM(G102:L102)</f>
        <v>0</v>
      </c>
      <c r="O102" s="3071"/>
      <c r="P102" s="548"/>
    </row>
    <row r="103" spans="1:16">
      <c r="A103" s="3068"/>
      <c r="B103" s="1040" t="s">
        <v>22</v>
      </c>
      <c r="C103" s="1041"/>
      <c r="D103" s="781">
        <f t="shared" ref="D103" si="88">+D104+D106</f>
        <v>70763</v>
      </c>
      <c r="E103" s="781">
        <f t="shared" ref="E103" si="89">+E104+E106</f>
        <v>6163</v>
      </c>
      <c r="F103" s="781">
        <f>+F104+F106</f>
        <v>64600</v>
      </c>
      <c r="G103" s="781">
        <f t="shared" ref="G103:L103" si="90">+G104+G106</f>
        <v>0</v>
      </c>
      <c r="H103" s="781">
        <f t="shared" si="90"/>
        <v>0</v>
      </c>
      <c r="I103" s="781">
        <f t="shared" si="90"/>
        <v>0</v>
      </c>
      <c r="J103" s="781">
        <f t="shared" si="90"/>
        <v>0</v>
      </c>
      <c r="K103" s="781">
        <f t="shared" si="90"/>
        <v>0</v>
      </c>
      <c r="L103" s="781">
        <f t="shared" si="90"/>
        <v>0</v>
      </c>
      <c r="M103" s="3043" t="s">
        <v>61</v>
      </c>
      <c r="N103" s="3043" t="s">
        <v>61</v>
      </c>
      <c r="O103" s="3072"/>
      <c r="P103" s="548"/>
    </row>
    <row r="104" spans="1:16" hidden="1">
      <c r="A104" s="3068"/>
      <c r="B104" s="1043" t="s">
        <v>24</v>
      </c>
      <c r="C104" s="3076" t="s">
        <v>221</v>
      </c>
      <c r="D104" s="1048">
        <f t="shared" ref="D104:L104" si="91">+D105</f>
        <v>0</v>
      </c>
      <c r="E104" s="1048">
        <f t="shared" si="91"/>
        <v>0</v>
      </c>
      <c r="F104" s="1048">
        <f t="shared" si="91"/>
        <v>0</v>
      </c>
      <c r="G104" s="1048">
        <f t="shared" si="91"/>
        <v>0</v>
      </c>
      <c r="H104" s="1048">
        <f t="shared" si="91"/>
        <v>0</v>
      </c>
      <c r="I104" s="1048">
        <f t="shared" si="91"/>
        <v>0</v>
      </c>
      <c r="J104" s="1048">
        <f t="shared" si="91"/>
        <v>0</v>
      </c>
      <c r="K104" s="1048">
        <f t="shared" si="91"/>
        <v>0</v>
      </c>
      <c r="L104" s="1048">
        <f t="shared" si="91"/>
        <v>0</v>
      </c>
      <c r="M104" s="3043"/>
      <c r="N104" s="3043"/>
      <c r="O104" s="3072"/>
      <c r="P104" s="548"/>
    </row>
    <row r="105" spans="1:16" hidden="1">
      <c r="A105" s="3068"/>
      <c r="B105" s="1044" t="s">
        <v>13</v>
      </c>
      <c r="C105" s="3076"/>
      <c r="D105" s="251">
        <f>E105+F105+G105+H105+I105+J105+K105+L105</f>
        <v>0</v>
      </c>
      <c r="E105" s="1046"/>
      <c r="F105" s="1046"/>
      <c r="G105" s="1046"/>
      <c r="H105" s="1046"/>
      <c r="I105" s="1046"/>
      <c r="J105" s="1046"/>
      <c r="K105" s="1046"/>
      <c r="L105" s="1046"/>
      <c r="M105" s="3043"/>
      <c r="N105" s="3043"/>
      <c r="O105" s="3072"/>
      <c r="P105" s="548"/>
    </row>
    <row r="106" spans="1:16">
      <c r="A106" s="3068"/>
      <c r="B106" s="1047" t="s">
        <v>18</v>
      </c>
      <c r="C106" s="3076"/>
      <c r="D106" s="1048">
        <f t="shared" ref="D106:L106" si="92">+D107</f>
        <v>70763</v>
      </c>
      <c r="E106" s="1048">
        <f t="shared" si="92"/>
        <v>6163</v>
      </c>
      <c r="F106" s="1048">
        <f t="shared" si="92"/>
        <v>64600</v>
      </c>
      <c r="G106" s="1048">
        <f t="shared" si="92"/>
        <v>0</v>
      </c>
      <c r="H106" s="1048">
        <f t="shared" si="92"/>
        <v>0</v>
      </c>
      <c r="I106" s="1048">
        <f t="shared" si="92"/>
        <v>0</v>
      </c>
      <c r="J106" s="1048">
        <f t="shared" si="92"/>
        <v>0</v>
      </c>
      <c r="K106" s="1048">
        <f t="shared" si="92"/>
        <v>0</v>
      </c>
      <c r="L106" s="1048">
        <f t="shared" si="92"/>
        <v>0</v>
      </c>
      <c r="M106" s="3043"/>
      <c r="N106" s="3043"/>
      <c r="O106" s="3072"/>
      <c r="P106" s="548"/>
    </row>
    <row r="107" spans="1:16" ht="13.5" thickBot="1">
      <c r="A107" s="3069"/>
      <c r="B107" s="722" t="s">
        <v>21</v>
      </c>
      <c r="C107" s="3077"/>
      <c r="D107" s="251">
        <f>E107+F107+G107+H107+I107+J107+K107+L107</f>
        <v>70763</v>
      </c>
      <c r="E107" s="289">
        <v>6163</v>
      </c>
      <c r="F107" s="723">
        <f>8500+56100</f>
        <v>64600</v>
      </c>
      <c r="G107" s="723"/>
      <c r="H107" s="723"/>
      <c r="I107" s="723"/>
      <c r="J107" s="723"/>
      <c r="K107" s="723"/>
      <c r="L107" s="723"/>
      <c r="M107" s="3044"/>
      <c r="N107" s="3044"/>
      <c r="O107" s="3073"/>
      <c r="P107" s="548"/>
    </row>
    <row r="108" spans="1:16" ht="36.75" customHeight="1">
      <c r="A108" s="3048" t="s">
        <v>87</v>
      </c>
      <c r="B108" s="1604" t="s">
        <v>377</v>
      </c>
      <c r="C108" s="1605" t="s">
        <v>109</v>
      </c>
      <c r="D108" s="61"/>
      <c r="E108" s="42"/>
      <c r="F108" s="42"/>
      <c r="G108" s="42"/>
      <c r="H108" s="42"/>
      <c r="I108" s="42"/>
      <c r="J108" s="42"/>
      <c r="K108" s="42"/>
      <c r="L108" s="42"/>
      <c r="M108" s="721"/>
      <c r="N108" s="721"/>
      <c r="O108" s="3052" t="s">
        <v>297</v>
      </c>
    </row>
    <row r="109" spans="1:16">
      <c r="A109" s="3060"/>
      <c r="B109" s="1944" t="s">
        <v>10</v>
      </c>
      <c r="C109" s="1606"/>
      <c r="D109" s="1945">
        <f t="shared" ref="D109:N109" si="93">+D110+D114</f>
        <v>1698344</v>
      </c>
      <c r="E109" s="1946">
        <f t="shared" ref="E109" si="94">+E110+E114</f>
        <v>0</v>
      </c>
      <c r="F109" s="1946">
        <f t="shared" si="93"/>
        <v>788057</v>
      </c>
      <c r="G109" s="1946">
        <f t="shared" si="93"/>
        <v>910287</v>
      </c>
      <c r="H109" s="1946">
        <f t="shared" si="93"/>
        <v>0</v>
      </c>
      <c r="I109" s="1946">
        <f t="shared" si="93"/>
        <v>0</v>
      </c>
      <c r="J109" s="1946">
        <f t="shared" si="93"/>
        <v>0</v>
      </c>
      <c r="K109" s="1946">
        <f t="shared" si="93"/>
        <v>0</v>
      </c>
      <c r="L109" s="1946">
        <f t="shared" si="93"/>
        <v>0</v>
      </c>
      <c r="M109" s="1947">
        <f t="shared" ref="M109" si="95">+M110+M114</f>
        <v>1698344</v>
      </c>
      <c r="N109" s="1947">
        <f t="shared" si="93"/>
        <v>910287</v>
      </c>
      <c r="O109" s="3053"/>
    </row>
    <row r="110" spans="1:16">
      <c r="A110" s="3060"/>
      <c r="B110" s="1948" t="s">
        <v>24</v>
      </c>
      <c r="C110" s="3078" t="s">
        <v>293</v>
      </c>
      <c r="D110" s="1949">
        <f>+D111</f>
        <v>254752</v>
      </c>
      <c r="E110" s="1949">
        <f t="shared" ref="E110" si="96">+E111</f>
        <v>0</v>
      </c>
      <c r="F110" s="1949">
        <f t="shared" ref="F110:N110" si="97">+F111</f>
        <v>118209</v>
      </c>
      <c r="G110" s="1949">
        <f t="shared" si="97"/>
        <v>136543</v>
      </c>
      <c r="H110" s="1949">
        <f t="shared" si="97"/>
        <v>0</v>
      </c>
      <c r="I110" s="1949">
        <f t="shared" si="97"/>
        <v>0</v>
      </c>
      <c r="J110" s="1949">
        <f t="shared" si="97"/>
        <v>0</v>
      </c>
      <c r="K110" s="1949">
        <f t="shared" si="97"/>
        <v>0</v>
      </c>
      <c r="L110" s="1949">
        <f t="shared" si="97"/>
        <v>0</v>
      </c>
      <c r="M110" s="1950">
        <f t="shared" si="97"/>
        <v>254752</v>
      </c>
      <c r="N110" s="1950">
        <f t="shared" si="97"/>
        <v>136543</v>
      </c>
      <c r="O110" s="3053"/>
    </row>
    <row r="111" spans="1:16">
      <c r="A111" s="3060"/>
      <c r="B111" s="1951" t="s">
        <v>12</v>
      </c>
      <c r="C111" s="3079"/>
      <c r="D111" s="1926">
        <f>E111+F111+G111+H111+I111+J111+K111+L111</f>
        <v>254752</v>
      </c>
      <c r="E111" s="1952">
        <v>0</v>
      </c>
      <c r="F111" s="1953">
        <f t="shared" ref="F111:L111" si="98">+F112+F113</f>
        <v>118209</v>
      </c>
      <c r="G111" s="1954">
        <f t="shared" si="98"/>
        <v>136543</v>
      </c>
      <c r="H111" s="1954">
        <f t="shared" si="98"/>
        <v>0</v>
      </c>
      <c r="I111" s="1954">
        <f t="shared" si="98"/>
        <v>0</v>
      </c>
      <c r="J111" s="1954">
        <f t="shared" si="98"/>
        <v>0</v>
      </c>
      <c r="K111" s="1954">
        <f t="shared" si="98"/>
        <v>0</v>
      </c>
      <c r="L111" s="1954">
        <f t="shared" si="98"/>
        <v>0</v>
      </c>
      <c r="M111" s="1156">
        <f>SUM(F111:K111)</f>
        <v>254752</v>
      </c>
      <c r="N111" s="1156">
        <f>SUM(G111:L111)</f>
        <v>136543</v>
      </c>
      <c r="O111" s="3053"/>
    </row>
    <row r="112" spans="1:16" hidden="1">
      <c r="A112" s="3060"/>
      <c r="B112" s="1951" t="s">
        <v>270</v>
      </c>
      <c r="C112" s="3079"/>
      <c r="D112" s="1956">
        <f>SUM(E112:L112)</f>
        <v>66119</v>
      </c>
      <c r="E112" s="1954">
        <v>0</v>
      </c>
      <c r="F112" s="1953">
        <v>31970</v>
      </c>
      <c r="G112" s="1954">
        <v>34149</v>
      </c>
      <c r="H112" s="1954"/>
      <c r="I112" s="1954"/>
      <c r="J112" s="1954"/>
      <c r="K112" s="1954"/>
      <c r="L112" s="1954"/>
      <c r="M112" s="1955"/>
      <c r="N112" s="1955"/>
      <c r="O112" s="3053"/>
    </row>
    <row r="113" spans="1:16" hidden="1">
      <c r="A113" s="3060"/>
      <c r="B113" s="1951" t="s">
        <v>291</v>
      </c>
      <c r="C113" s="3079"/>
      <c r="D113" s="1956">
        <f>SUM(E113:L113)</f>
        <v>188633</v>
      </c>
      <c r="E113" s="1954">
        <v>0</v>
      </c>
      <c r="F113" s="1953">
        <v>86239</v>
      </c>
      <c r="G113" s="1954">
        <v>102394</v>
      </c>
      <c r="H113" s="1954"/>
      <c r="I113" s="1954"/>
      <c r="J113" s="1954"/>
      <c r="K113" s="1954"/>
      <c r="L113" s="1954"/>
      <c r="M113" s="1955"/>
      <c r="N113" s="1955"/>
      <c r="O113" s="3053"/>
    </row>
    <row r="114" spans="1:16">
      <c r="A114" s="3060"/>
      <c r="B114" s="1948" t="s">
        <v>18</v>
      </c>
      <c r="C114" s="3079"/>
      <c r="D114" s="1957">
        <f>+D115</f>
        <v>1443592</v>
      </c>
      <c r="E114" s="1957">
        <f t="shared" ref="E114:L114" si="99">+E115</f>
        <v>0</v>
      </c>
      <c r="F114" s="1957">
        <f t="shared" si="99"/>
        <v>669848</v>
      </c>
      <c r="G114" s="1957">
        <f t="shared" si="99"/>
        <v>773744</v>
      </c>
      <c r="H114" s="1957">
        <f t="shared" si="99"/>
        <v>0</v>
      </c>
      <c r="I114" s="1957">
        <f t="shared" si="99"/>
        <v>0</v>
      </c>
      <c r="J114" s="1957">
        <f t="shared" si="99"/>
        <v>0</v>
      </c>
      <c r="K114" s="1957">
        <f t="shared" si="99"/>
        <v>0</v>
      </c>
      <c r="L114" s="1957">
        <f t="shared" si="99"/>
        <v>0</v>
      </c>
      <c r="M114" s="1958">
        <f>+M115</f>
        <v>1443592</v>
      </c>
      <c r="N114" s="1958">
        <f>+N115</f>
        <v>773744</v>
      </c>
      <c r="O114" s="3053"/>
    </row>
    <row r="115" spans="1:16">
      <c r="A115" s="3060"/>
      <c r="B115" s="1951" t="s">
        <v>21</v>
      </c>
      <c r="C115" s="3079"/>
      <c r="D115" s="1926">
        <f>E115+F115+G115+H115+I115+J115+K115+L115</f>
        <v>1443592</v>
      </c>
      <c r="E115" s="1952">
        <v>0</v>
      </c>
      <c r="F115" s="1954">
        <f t="shared" ref="F115:L115" si="100">+F116+F117</f>
        <v>669848</v>
      </c>
      <c r="G115" s="1954">
        <f t="shared" si="100"/>
        <v>773744</v>
      </c>
      <c r="H115" s="1954">
        <f t="shared" si="100"/>
        <v>0</v>
      </c>
      <c r="I115" s="1954">
        <f t="shared" si="100"/>
        <v>0</v>
      </c>
      <c r="J115" s="1954">
        <f t="shared" si="100"/>
        <v>0</v>
      </c>
      <c r="K115" s="1954">
        <f t="shared" si="100"/>
        <v>0</v>
      </c>
      <c r="L115" s="1954">
        <f t="shared" si="100"/>
        <v>0</v>
      </c>
      <c r="M115" s="1156">
        <f>SUM(F115:K115)</f>
        <v>1443592</v>
      </c>
      <c r="N115" s="1156">
        <f>SUM(G115:L115)</f>
        <v>773744</v>
      </c>
      <c r="O115" s="3053"/>
    </row>
    <row r="116" spans="1:16" hidden="1">
      <c r="A116" s="3060"/>
      <c r="B116" s="1951" t="s">
        <v>270</v>
      </c>
      <c r="C116" s="2546"/>
      <c r="D116" s="1956">
        <f>SUM(E116:L116)</f>
        <v>374677</v>
      </c>
      <c r="E116" s="1954">
        <v>0</v>
      </c>
      <c r="F116" s="1954">
        <v>181163</v>
      </c>
      <c r="G116" s="1954">
        <v>193514</v>
      </c>
      <c r="H116" s="1954"/>
      <c r="I116" s="1954"/>
      <c r="J116" s="1954"/>
      <c r="K116" s="1954"/>
      <c r="L116" s="1954"/>
      <c r="M116" s="1955"/>
      <c r="N116" s="1955"/>
      <c r="O116" s="3053"/>
    </row>
    <row r="117" spans="1:16" hidden="1">
      <c r="A117" s="3060"/>
      <c r="B117" s="1951" t="s">
        <v>291</v>
      </c>
      <c r="C117" s="2546"/>
      <c r="D117" s="1956">
        <f>SUM(E117:L117)</f>
        <v>1068915</v>
      </c>
      <c r="E117" s="1954">
        <v>0</v>
      </c>
      <c r="F117" s="1954">
        <v>488685</v>
      </c>
      <c r="G117" s="1954">
        <v>580230</v>
      </c>
      <c r="H117" s="1954"/>
      <c r="I117" s="1954"/>
      <c r="J117" s="1954"/>
      <c r="K117" s="1954"/>
      <c r="L117" s="1954"/>
      <c r="M117" s="1955"/>
      <c r="N117" s="1955"/>
      <c r="O117" s="3053"/>
    </row>
    <row r="118" spans="1:16">
      <c r="A118" s="3061"/>
      <c r="B118" s="1944" t="s">
        <v>22</v>
      </c>
      <c r="C118" s="1959"/>
      <c r="D118" s="1960">
        <f>D119</f>
        <v>1443592</v>
      </c>
      <c r="E118" s="1960">
        <f>+E119</f>
        <v>0</v>
      </c>
      <c r="F118" s="1960">
        <f>+F119</f>
        <v>669848</v>
      </c>
      <c r="G118" s="1960">
        <f>+G119</f>
        <v>773744</v>
      </c>
      <c r="H118" s="1960">
        <f>+H119</f>
        <v>0</v>
      </c>
      <c r="I118" s="1960">
        <f>I119</f>
        <v>0</v>
      </c>
      <c r="J118" s="1960">
        <f>+J119</f>
        <v>0</v>
      </c>
      <c r="K118" s="1960">
        <f>+K119</f>
        <v>0</v>
      </c>
      <c r="L118" s="1960">
        <f>L119</f>
        <v>0</v>
      </c>
      <c r="M118" s="3064" t="s">
        <v>61</v>
      </c>
      <c r="N118" s="3064" t="s">
        <v>61</v>
      </c>
      <c r="O118" s="3054"/>
    </row>
    <row r="119" spans="1:16">
      <c r="A119" s="3061"/>
      <c r="B119" s="1948" t="s">
        <v>18</v>
      </c>
      <c r="C119" s="3065" t="s">
        <v>378</v>
      </c>
      <c r="D119" s="1957">
        <f t="shared" ref="D119:L119" si="101">+D120</f>
        <v>1443592</v>
      </c>
      <c r="E119" s="1957">
        <f t="shared" si="101"/>
        <v>0</v>
      </c>
      <c r="F119" s="1957">
        <f t="shared" si="101"/>
        <v>669848</v>
      </c>
      <c r="G119" s="1957">
        <f t="shared" si="101"/>
        <v>773744</v>
      </c>
      <c r="H119" s="1957">
        <f t="shared" si="101"/>
        <v>0</v>
      </c>
      <c r="I119" s="1957">
        <f t="shared" si="101"/>
        <v>0</v>
      </c>
      <c r="J119" s="1957">
        <f t="shared" si="101"/>
        <v>0</v>
      </c>
      <c r="K119" s="1957">
        <f t="shared" si="101"/>
        <v>0</v>
      </c>
      <c r="L119" s="1957">
        <f t="shared" si="101"/>
        <v>0</v>
      </c>
      <c r="M119" s="3064"/>
      <c r="N119" s="3064"/>
      <c r="O119" s="3054"/>
    </row>
    <row r="120" spans="1:16" ht="13.5" thickBot="1">
      <c r="A120" s="3051"/>
      <c r="B120" s="722" t="s">
        <v>21</v>
      </c>
      <c r="C120" s="3066"/>
      <c r="D120" s="1027">
        <f>E120+F120+G120+H120+I120+J120+K120+L120</f>
        <v>1443592</v>
      </c>
      <c r="E120" s="1027">
        <v>0</v>
      </c>
      <c r="F120" s="533">
        <v>669848</v>
      </c>
      <c r="G120" s="533">
        <v>773744</v>
      </c>
      <c r="H120" s="533">
        <v>0</v>
      </c>
      <c r="I120" s="533">
        <v>0</v>
      </c>
      <c r="J120" s="533">
        <v>0</v>
      </c>
      <c r="K120" s="533">
        <v>0</v>
      </c>
      <c r="L120" s="533">
        <v>0</v>
      </c>
      <c r="M120" s="3044"/>
      <c r="N120" s="3044"/>
      <c r="O120" s="3055"/>
    </row>
    <row r="121" spans="1:16" ht="40.5" customHeight="1">
      <c r="A121" s="3048" t="s">
        <v>88</v>
      </c>
      <c r="B121" s="1604" t="s">
        <v>486</v>
      </c>
      <c r="C121" s="1605" t="s">
        <v>109</v>
      </c>
      <c r="D121" s="61"/>
      <c r="E121" s="42"/>
      <c r="F121" s="42"/>
      <c r="G121" s="42"/>
      <c r="H121" s="42"/>
      <c r="I121" s="42"/>
      <c r="J121" s="42"/>
      <c r="K121" s="42"/>
      <c r="L121" s="42"/>
      <c r="M121" s="721"/>
      <c r="N121" s="721"/>
      <c r="O121" s="3052" t="s">
        <v>458</v>
      </c>
      <c r="P121" s="411" t="s">
        <v>395</v>
      </c>
    </row>
    <row r="122" spans="1:16" ht="16.149999999999999" customHeight="1">
      <c r="A122" s="3049"/>
      <c r="B122" s="2628" t="s">
        <v>10</v>
      </c>
      <c r="C122" s="1606"/>
      <c r="D122" s="2638">
        <f>+D123</f>
        <v>13260221</v>
      </c>
      <c r="E122" s="2122">
        <f t="shared" ref="E122" si="102">+E123</f>
        <v>0</v>
      </c>
      <c r="F122" s="2122">
        <f t="shared" ref="F122:H122" si="103">+F123</f>
        <v>516000</v>
      </c>
      <c r="G122" s="2122">
        <f t="shared" si="103"/>
        <v>7819700</v>
      </c>
      <c r="H122" s="2122">
        <f t="shared" si="103"/>
        <v>4345384</v>
      </c>
      <c r="I122" s="2122">
        <f t="shared" ref="I122" si="104">+I123</f>
        <v>579137</v>
      </c>
      <c r="J122" s="2122">
        <f t="shared" ref="J122" si="105">+J123</f>
        <v>0</v>
      </c>
      <c r="K122" s="2122">
        <f t="shared" ref="K122" si="106">+K123</f>
        <v>0</v>
      </c>
      <c r="L122" s="2122">
        <f t="shared" ref="L122" si="107">+L123</f>
        <v>0</v>
      </c>
      <c r="M122" s="2019">
        <f>+M123</f>
        <v>13260221</v>
      </c>
      <c r="N122" s="2019">
        <f>+N123</f>
        <v>12744221</v>
      </c>
      <c r="O122" s="3053"/>
    </row>
    <row r="123" spans="1:16" ht="19.5" customHeight="1">
      <c r="A123" s="3049"/>
      <c r="B123" s="2639" t="s">
        <v>18</v>
      </c>
      <c r="C123" s="3056" t="s">
        <v>382</v>
      </c>
      <c r="D123" s="2027">
        <f>+D124</f>
        <v>13260221</v>
      </c>
      <c r="E123" s="2027">
        <f>+E124</f>
        <v>0</v>
      </c>
      <c r="F123" s="2027">
        <f>+F124</f>
        <v>516000</v>
      </c>
      <c r="G123" s="2027">
        <f t="shared" ref="G123:L123" si="108">+G124</f>
        <v>7819700</v>
      </c>
      <c r="H123" s="2027">
        <f t="shared" si="108"/>
        <v>4345384</v>
      </c>
      <c r="I123" s="2027">
        <f t="shared" si="108"/>
        <v>579137</v>
      </c>
      <c r="J123" s="2027">
        <f t="shared" si="108"/>
        <v>0</v>
      </c>
      <c r="K123" s="2027">
        <f t="shared" si="108"/>
        <v>0</v>
      </c>
      <c r="L123" s="2027">
        <f t="shared" si="108"/>
        <v>0</v>
      </c>
      <c r="M123" s="2513">
        <f>+M124</f>
        <v>13260221</v>
      </c>
      <c r="N123" s="2513">
        <f>+N124</f>
        <v>12744221</v>
      </c>
      <c r="O123" s="3053"/>
    </row>
    <row r="124" spans="1:16" ht="15.75" customHeight="1">
      <c r="A124" s="3049"/>
      <c r="B124" s="2640" t="s">
        <v>21</v>
      </c>
      <c r="C124" s="3058"/>
      <c r="D124" s="1926">
        <f>E124+F124+G124+H124+I124+J124+K124+L124</f>
        <v>13260221</v>
      </c>
      <c r="E124" s="1990">
        <v>0</v>
      </c>
      <c r="F124" s="2041">
        <f>+F125+F126+F127+F128+F129</f>
        <v>516000</v>
      </c>
      <c r="G124" s="2041">
        <f t="shared" ref="G124:H124" si="109">+G125+G126+G127+G128+G129</f>
        <v>7819700</v>
      </c>
      <c r="H124" s="2041">
        <f t="shared" si="109"/>
        <v>4345384</v>
      </c>
      <c r="I124" s="2041">
        <f t="shared" ref="I124" si="110">+I125+I126+I127+I128+I129</f>
        <v>579137</v>
      </c>
      <c r="J124" s="2041">
        <f t="shared" ref="J124" si="111">+J125+J126+J127+J128+J129</f>
        <v>0</v>
      </c>
      <c r="K124" s="2041">
        <f t="shared" ref="K124" si="112">+K125+K126+K127+K128+K129</f>
        <v>0</v>
      </c>
      <c r="L124" s="2041">
        <f t="shared" ref="L124" si="113">+L125+L126+L127+L128+L129</f>
        <v>0</v>
      </c>
      <c r="M124" s="2511">
        <f>SUM(F124:K124)</f>
        <v>13260221</v>
      </c>
      <c r="N124" s="2511">
        <f>SUM(G124:L124)</f>
        <v>12744221</v>
      </c>
      <c r="O124" s="3053"/>
    </row>
    <row r="125" spans="1:16" hidden="1">
      <c r="A125" s="3049"/>
      <c r="B125" s="2630" t="s">
        <v>380</v>
      </c>
      <c r="C125" s="3058"/>
      <c r="D125" s="2050">
        <f>SUM(E125:L125)</f>
        <v>9406521</v>
      </c>
      <c r="E125" s="2041">
        <v>0</v>
      </c>
      <c r="F125" s="2041">
        <f>2700000-2610000</f>
        <v>90000</v>
      </c>
      <c r="G125" s="2041">
        <f>3169000+2619500</f>
        <v>5788500</v>
      </c>
      <c r="H125" s="2041">
        <f>2044159+946725</f>
        <v>2990884</v>
      </c>
      <c r="I125" s="2041">
        <f>0+537137</f>
        <v>537137</v>
      </c>
      <c r="J125" s="2041">
        <v>0</v>
      </c>
      <c r="K125" s="2041">
        <v>0</v>
      </c>
      <c r="L125" s="2041">
        <v>0</v>
      </c>
      <c r="M125" s="2514"/>
      <c r="N125" s="2514"/>
      <c r="O125" s="3053"/>
    </row>
    <row r="126" spans="1:16" hidden="1">
      <c r="A126" s="3049"/>
      <c r="B126" s="2630" t="s">
        <v>381</v>
      </c>
      <c r="C126" s="3058"/>
      <c r="D126" s="2050">
        <f>SUM(E126:L126)</f>
        <v>858500</v>
      </c>
      <c r="E126" s="2041">
        <v>0</v>
      </c>
      <c r="F126" s="2041">
        <f>293500-190200</f>
        <v>103300</v>
      </c>
      <c r="G126" s="2041">
        <f>483000-13800</f>
        <v>469200</v>
      </c>
      <c r="H126" s="2041">
        <f>378000-92000</f>
        <v>286000</v>
      </c>
      <c r="I126" s="2041">
        <v>0</v>
      </c>
      <c r="J126" s="2041">
        <v>0</v>
      </c>
      <c r="K126" s="2041">
        <v>0</v>
      </c>
      <c r="L126" s="2041">
        <v>0</v>
      </c>
      <c r="M126" s="2514"/>
      <c r="N126" s="2514"/>
      <c r="O126" s="3053"/>
    </row>
    <row r="127" spans="1:16" s="1564" customFormat="1" hidden="1">
      <c r="A127" s="3049"/>
      <c r="B127" s="2630" t="s">
        <v>110</v>
      </c>
      <c r="C127" s="3058"/>
      <c r="D127" s="2050">
        <f>SUM(E127:L127)</f>
        <v>603500</v>
      </c>
      <c r="E127" s="2041">
        <v>0</v>
      </c>
      <c r="F127" s="2041">
        <f>174000-30000-144000</f>
        <v>0</v>
      </c>
      <c r="G127" s="2041">
        <f>453000-110000</f>
        <v>343000</v>
      </c>
      <c r="H127" s="2041">
        <f>228000+32500</f>
        <v>260500</v>
      </c>
      <c r="I127" s="2041">
        <v>0</v>
      </c>
      <c r="J127" s="2041">
        <v>0</v>
      </c>
      <c r="K127" s="2041">
        <v>0</v>
      </c>
      <c r="L127" s="2041">
        <v>0</v>
      </c>
      <c r="M127" s="2514"/>
      <c r="N127" s="2514"/>
      <c r="O127" s="3053"/>
    </row>
    <row r="128" spans="1:16" s="1564" customFormat="1" hidden="1">
      <c r="A128" s="3049"/>
      <c r="B128" s="2630" t="s">
        <v>199</v>
      </c>
      <c r="C128" s="3058"/>
      <c r="D128" s="2050">
        <f>SUM(E128:L128)</f>
        <v>1894000</v>
      </c>
      <c r="E128" s="2041">
        <v>0</v>
      </c>
      <c r="F128" s="2041">
        <f>1015500-784500</f>
        <v>231000</v>
      </c>
      <c r="G128" s="2041">
        <f>926500+110500</f>
        <v>1037000</v>
      </c>
      <c r="H128" s="2041">
        <f>342000+284000</f>
        <v>626000</v>
      </c>
      <c r="I128" s="2041">
        <v>0</v>
      </c>
      <c r="J128" s="2041">
        <v>0</v>
      </c>
      <c r="K128" s="2041">
        <v>0</v>
      </c>
      <c r="L128" s="2041">
        <v>0</v>
      </c>
      <c r="M128" s="2514"/>
      <c r="N128" s="2514"/>
      <c r="O128" s="3053"/>
    </row>
    <row r="129" spans="1:16" s="1564" customFormat="1" hidden="1">
      <c r="A129" s="3049"/>
      <c r="B129" s="2630" t="s">
        <v>270</v>
      </c>
      <c r="C129" s="3059"/>
      <c r="D129" s="2050">
        <f>SUM(E129:L129)</f>
        <v>497700</v>
      </c>
      <c r="E129" s="2041">
        <v>0</v>
      </c>
      <c r="F129" s="2041">
        <f>140000-48300</f>
        <v>91700</v>
      </c>
      <c r="G129" s="2041">
        <f>260000-78000</f>
        <v>182000</v>
      </c>
      <c r="H129" s="2041">
        <f>260000-78000</f>
        <v>182000</v>
      </c>
      <c r="I129" s="2041">
        <f>0+42000</f>
        <v>42000</v>
      </c>
      <c r="J129" s="2041">
        <v>0</v>
      </c>
      <c r="K129" s="2041">
        <v>0</v>
      </c>
      <c r="L129" s="2041">
        <v>0</v>
      </c>
      <c r="M129" s="2514"/>
      <c r="N129" s="2514"/>
      <c r="O129" s="3053"/>
    </row>
    <row r="130" spans="1:16">
      <c r="A130" s="3050"/>
      <c r="B130" s="2628" t="s">
        <v>22</v>
      </c>
      <c r="C130" s="2199"/>
      <c r="D130" s="2512">
        <f>D131</f>
        <v>13260221</v>
      </c>
      <c r="E130" s="2512">
        <f>+E131</f>
        <v>0</v>
      </c>
      <c r="F130" s="2512">
        <f>+F131</f>
        <v>0</v>
      </c>
      <c r="G130" s="2512">
        <f>+G131</f>
        <v>8335700</v>
      </c>
      <c r="H130" s="2512">
        <f>+H131</f>
        <v>4345384</v>
      </c>
      <c r="I130" s="2512">
        <f>I131</f>
        <v>579137</v>
      </c>
      <c r="J130" s="2512">
        <f>+J131</f>
        <v>0</v>
      </c>
      <c r="K130" s="2512">
        <f>+K131</f>
        <v>0</v>
      </c>
      <c r="L130" s="2512">
        <f>L131</f>
        <v>0</v>
      </c>
      <c r="M130" s="3045" t="s">
        <v>61</v>
      </c>
      <c r="N130" s="3045" t="s">
        <v>61</v>
      </c>
      <c r="O130" s="3054"/>
    </row>
    <row r="131" spans="1:16" s="419" customFormat="1" ht="13.5" customHeight="1">
      <c r="A131" s="3050"/>
      <c r="B131" s="2639" t="s">
        <v>18</v>
      </c>
      <c r="C131" s="3056" t="s">
        <v>379</v>
      </c>
      <c r="D131" s="2027">
        <f t="shared" ref="D131:L131" si="114">+D132</f>
        <v>13260221</v>
      </c>
      <c r="E131" s="2027">
        <f t="shared" si="114"/>
        <v>0</v>
      </c>
      <c r="F131" s="2027">
        <f t="shared" si="114"/>
        <v>0</v>
      </c>
      <c r="G131" s="2027">
        <f t="shared" si="114"/>
        <v>8335700</v>
      </c>
      <c r="H131" s="2027">
        <f t="shared" si="114"/>
        <v>4345384</v>
      </c>
      <c r="I131" s="2027">
        <f t="shared" si="114"/>
        <v>579137</v>
      </c>
      <c r="J131" s="2027">
        <f t="shared" si="114"/>
        <v>0</v>
      </c>
      <c r="K131" s="2027">
        <f t="shared" si="114"/>
        <v>0</v>
      </c>
      <c r="L131" s="2027">
        <f t="shared" si="114"/>
        <v>0</v>
      </c>
      <c r="M131" s="3045"/>
      <c r="N131" s="3045"/>
      <c r="O131" s="3054"/>
    </row>
    <row r="132" spans="1:16" s="419" customFormat="1" ht="15" customHeight="1" thickBot="1">
      <c r="A132" s="3051"/>
      <c r="B132" s="2641" t="s">
        <v>21</v>
      </c>
      <c r="C132" s="3057"/>
      <c r="D132" s="2222">
        <f>E132+F132+G132+H132+I132+J132+K132+L132</f>
        <v>13260221</v>
      </c>
      <c r="E132" s="2459">
        <v>0</v>
      </c>
      <c r="F132" s="2601">
        <f>4323000-30000-4293000</f>
        <v>0</v>
      </c>
      <c r="G132" s="2601">
        <f>5291500+3044200</f>
        <v>8335700</v>
      </c>
      <c r="H132" s="2499">
        <f>3252159+1093225</f>
        <v>4345384</v>
      </c>
      <c r="I132" s="2499">
        <f>0+579137</f>
        <v>579137</v>
      </c>
      <c r="J132" s="2499">
        <v>0</v>
      </c>
      <c r="K132" s="2499">
        <v>0</v>
      </c>
      <c r="L132" s="2499">
        <v>0</v>
      </c>
      <c r="M132" s="3046"/>
      <c r="N132" s="3046"/>
      <c r="O132" s="3055"/>
      <c r="P132" s="2523">
        <f>D132-'[2]Tab. 6B Polit społ i rozwój prz'!$D$258</f>
        <v>423562</v>
      </c>
    </row>
    <row r="133" spans="1:16" ht="39" customHeight="1">
      <c r="A133" s="3048" t="s">
        <v>89</v>
      </c>
      <c r="B133" s="1604" t="s">
        <v>487</v>
      </c>
      <c r="C133" s="1605" t="s">
        <v>81</v>
      </c>
      <c r="D133" s="61"/>
      <c r="E133" s="42"/>
      <c r="F133" s="42"/>
      <c r="G133" s="42"/>
      <c r="H133" s="42"/>
      <c r="I133" s="42"/>
      <c r="J133" s="42"/>
      <c r="K133" s="42"/>
      <c r="L133" s="42"/>
      <c r="M133" s="721"/>
      <c r="N133" s="721"/>
      <c r="O133" s="3052" t="s">
        <v>468</v>
      </c>
    </row>
    <row r="134" spans="1:16">
      <c r="A134" s="3060"/>
      <c r="B134" s="1944" t="s">
        <v>10</v>
      </c>
      <c r="C134" s="1606"/>
      <c r="D134" s="1945">
        <f>+D135</f>
        <v>355876</v>
      </c>
      <c r="E134" s="1946">
        <f t="shared" ref="E134" si="115">E135</f>
        <v>0</v>
      </c>
      <c r="F134" s="1946">
        <f t="shared" ref="F134:L134" si="116">F135</f>
        <v>8753</v>
      </c>
      <c r="G134" s="1946">
        <f t="shared" si="116"/>
        <v>259123</v>
      </c>
      <c r="H134" s="1946">
        <f t="shared" si="116"/>
        <v>71000</v>
      </c>
      <c r="I134" s="1946">
        <f t="shared" si="116"/>
        <v>17000</v>
      </c>
      <c r="J134" s="1946">
        <f t="shared" si="116"/>
        <v>0</v>
      </c>
      <c r="K134" s="1946">
        <f t="shared" si="116"/>
        <v>0</v>
      </c>
      <c r="L134" s="1946">
        <f t="shared" si="116"/>
        <v>0</v>
      </c>
      <c r="M134" s="1947">
        <f>M135</f>
        <v>355876</v>
      </c>
      <c r="N134" s="1947">
        <f>N135</f>
        <v>347123</v>
      </c>
      <c r="O134" s="3053"/>
      <c r="P134" s="411" t="s">
        <v>395</v>
      </c>
    </row>
    <row r="135" spans="1:16" ht="13.15" customHeight="1">
      <c r="A135" s="3060"/>
      <c r="B135" s="1948" t="s">
        <v>18</v>
      </c>
      <c r="C135" s="3062" t="s">
        <v>383</v>
      </c>
      <c r="D135" s="1957">
        <f>+D136</f>
        <v>355876</v>
      </c>
      <c r="E135" s="1957">
        <f t="shared" ref="E135:L135" si="117">+E136</f>
        <v>0</v>
      </c>
      <c r="F135" s="1957">
        <f t="shared" si="117"/>
        <v>8753</v>
      </c>
      <c r="G135" s="1957">
        <f t="shared" si="117"/>
        <v>259123</v>
      </c>
      <c r="H135" s="1957">
        <f t="shared" si="117"/>
        <v>71000</v>
      </c>
      <c r="I135" s="1957">
        <f t="shared" si="117"/>
        <v>17000</v>
      </c>
      <c r="J135" s="1957">
        <f t="shared" si="117"/>
        <v>0</v>
      </c>
      <c r="K135" s="1957">
        <f t="shared" si="117"/>
        <v>0</v>
      </c>
      <c r="L135" s="1957">
        <f t="shared" si="117"/>
        <v>0</v>
      </c>
      <c r="M135" s="1958">
        <f>+M136</f>
        <v>355876</v>
      </c>
      <c r="N135" s="1958">
        <f>+N136</f>
        <v>347123</v>
      </c>
      <c r="O135" s="3053"/>
    </row>
    <row r="136" spans="1:16">
      <c r="A136" s="3060"/>
      <c r="B136" s="1951" t="s">
        <v>21</v>
      </c>
      <c r="C136" s="3063"/>
      <c r="D136" s="1926">
        <f>E136+F136+G136+H136+I136+J136+K136+L136</f>
        <v>355876</v>
      </c>
      <c r="E136" s="1952">
        <v>0</v>
      </c>
      <c r="F136" s="1954">
        <f>+F137+F138+F139</f>
        <v>8753</v>
      </c>
      <c r="G136" s="1954">
        <f t="shared" ref="G136:K136" si="118">+G137+G138+G139</f>
        <v>259123</v>
      </c>
      <c r="H136" s="1954">
        <f t="shared" si="118"/>
        <v>71000</v>
      </c>
      <c r="I136" s="1954">
        <f t="shared" si="118"/>
        <v>17000</v>
      </c>
      <c r="J136" s="1954">
        <f t="shared" si="118"/>
        <v>0</v>
      </c>
      <c r="K136" s="1954">
        <f t="shared" si="118"/>
        <v>0</v>
      </c>
      <c r="L136" s="1954">
        <f t="shared" ref="L136" si="119">+L137+L138</f>
        <v>0</v>
      </c>
      <c r="M136" s="1156">
        <f>SUM(F136:K136)</f>
        <v>355876</v>
      </c>
      <c r="N136" s="1156">
        <f>SUM(G136:L136)</f>
        <v>347123</v>
      </c>
      <c r="O136" s="3053"/>
    </row>
    <row r="137" spans="1:16" ht="12" hidden="1" customHeight="1">
      <c r="A137" s="3060"/>
      <c r="B137" s="2642" t="s">
        <v>380</v>
      </c>
      <c r="C137" s="2643"/>
      <c r="D137" s="1956">
        <f>SUM(E137:L137)</f>
        <v>170000</v>
      </c>
      <c r="E137" s="1954">
        <v>0</v>
      </c>
      <c r="F137" s="1954">
        <f>30000-30000</f>
        <v>0</v>
      </c>
      <c r="G137" s="1954">
        <f>500000-398000</f>
        <v>102000</v>
      </c>
      <c r="H137" s="1954">
        <f>100000-49000</f>
        <v>51000</v>
      </c>
      <c r="I137" s="1954">
        <f>0+17000</f>
        <v>17000</v>
      </c>
      <c r="J137" s="1954">
        <v>0</v>
      </c>
      <c r="K137" s="1954">
        <v>0</v>
      </c>
      <c r="L137" s="1954">
        <v>0</v>
      </c>
      <c r="M137" s="1955"/>
      <c r="N137" s="1955"/>
      <c r="O137" s="3053"/>
      <c r="P137" s="412">
        <f>D136-D142</f>
        <v>0</v>
      </c>
    </row>
    <row r="138" spans="1:16" ht="12" hidden="1" customHeight="1">
      <c r="A138" s="3060"/>
      <c r="B138" s="2642" t="s">
        <v>381</v>
      </c>
      <c r="C138" s="2546"/>
      <c r="D138" s="1956">
        <f>SUM(E138:L138)</f>
        <v>150000</v>
      </c>
      <c r="E138" s="1954">
        <v>0</v>
      </c>
      <c r="F138" s="1954">
        <f>80000-80000</f>
        <v>0</v>
      </c>
      <c r="G138" s="1954">
        <v>130000</v>
      </c>
      <c r="H138" s="1954">
        <v>20000</v>
      </c>
      <c r="I138" s="1954">
        <v>0</v>
      </c>
      <c r="J138" s="1954">
        <v>0</v>
      </c>
      <c r="K138" s="1954">
        <v>0</v>
      </c>
      <c r="L138" s="1954">
        <v>0</v>
      </c>
      <c r="M138" s="1955"/>
      <c r="N138" s="1955"/>
      <c r="O138" s="3053"/>
    </row>
    <row r="139" spans="1:16" s="2087" customFormat="1" ht="12" hidden="1" customHeight="1">
      <c r="A139" s="3060"/>
      <c r="B139" s="2642" t="s">
        <v>110</v>
      </c>
      <c r="C139" s="2546"/>
      <c r="D139" s="1956">
        <f>SUM(E139:L139)</f>
        <v>35876</v>
      </c>
      <c r="E139" s="1954"/>
      <c r="F139" s="1954">
        <f>30000-21247</f>
        <v>8753</v>
      </c>
      <c r="G139" s="1954">
        <f>0+27123</f>
        <v>27123</v>
      </c>
      <c r="H139" s="1954">
        <v>0</v>
      </c>
      <c r="I139" s="1954">
        <v>0</v>
      </c>
      <c r="J139" s="1954">
        <v>0</v>
      </c>
      <c r="K139" s="1954">
        <v>0</v>
      </c>
      <c r="L139" s="1954">
        <v>0</v>
      </c>
      <c r="M139" s="1955"/>
      <c r="N139" s="1955"/>
      <c r="O139" s="3053"/>
    </row>
    <row r="140" spans="1:16">
      <c r="A140" s="3061"/>
      <c r="B140" s="1944" t="s">
        <v>22</v>
      </c>
      <c r="C140" s="1959"/>
      <c r="D140" s="1960">
        <f>D141</f>
        <v>355876</v>
      </c>
      <c r="E140" s="1960">
        <f>+E141</f>
        <v>0</v>
      </c>
      <c r="F140" s="1960">
        <f>+F141</f>
        <v>0</v>
      </c>
      <c r="G140" s="1960">
        <f>+G141</f>
        <v>267876</v>
      </c>
      <c r="H140" s="1960">
        <f>+H141</f>
        <v>71000</v>
      </c>
      <c r="I140" s="1960">
        <f>I141</f>
        <v>17000</v>
      </c>
      <c r="J140" s="1960">
        <f>+J141</f>
        <v>0</v>
      </c>
      <c r="K140" s="1960">
        <f>+K141</f>
        <v>0</v>
      </c>
      <c r="L140" s="1960">
        <f>L141</f>
        <v>0</v>
      </c>
      <c r="M140" s="3064" t="s">
        <v>61</v>
      </c>
      <c r="N140" s="3064" t="s">
        <v>61</v>
      </c>
      <c r="O140" s="3054"/>
    </row>
    <row r="141" spans="1:16">
      <c r="A141" s="3061"/>
      <c r="B141" s="1948" t="s">
        <v>18</v>
      </c>
      <c r="C141" s="3065" t="s">
        <v>379</v>
      </c>
      <c r="D141" s="1957">
        <f t="shared" ref="D141:L141" si="120">+D142</f>
        <v>355876</v>
      </c>
      <c r="E141" s="1957">
        <f t="shared" si="120"/>
        <v>0</v>
      </c>
      <c r="F141" s="1957">
        <f t="shared" si="120"/>
        <v>0</v>
      </c>
      <c r="G141" s="1957">
        <f t="shared" si="120"/>
        <v>267876</v>
      </c>
      <c r="H141" s="1957">
        <f t="shared" si="120"/>
        <v>71000</v>
      </c>
      <c r="I141" s="1957">
        <f t="shared" si="120"/>
        <v>17000</v>
      </c>
      <c r="J141" s="1957">
        <f t="shared" si="120"/>
        <v>0</v>
      </c>
      <c r="K141" s="1957">
        <f t="shared" si="120"/>
        <v>0</v>
      </c>
      <c r="L141" s="1957">
        <f t="shared" si="120"/>
        <v>0</v>
      </c>
      <c r="M141" s="3064"/>
      <c r="N141" s="3064"/>
      <c r="O141" s="3054"/>
    </row>
    <row r="142" spans="1:16" ht="13.5" thickBot="1">
      <c r="A142" s="3051"/>
      <c r="B142" s="722" t="s">
        <v>21</v>
      </c>
      <c r="C142" s="3066"/>
      <c r="D142" s="1027">
        <f>E142+F142+G142+H142+I142+J142+K142+L142</f>
        <v>355876</v>
      </c>
      <c r="E142" s="1027">
        <v>0</v>
      </c>
      <c r="F142" s="533">
        <f>110000+30000-140000</f>
        <v>0</v>
      </c>
      <c r="G142" s="533">
        <f>520000-252124</f>
        <v>267876</v>
      </c>
      <c r="H142" s="533">
        <f>120000-49000</f>
        <v>71000</v>
      </c>
      <c r="I142" s="533">
        <f>0+17000</f>
        <v>17000</v>
      </c>
      <c r="J142" s="533">
        <v>0</v>
      </c>
      <c r="K142" s="533">
        <v>0</v>
      </c>
      <c r="L142" s="533">
        <v>0</v>
      </c>
      <c r="M142" s="3044"/>
      <c r="N142" s="3044"/>
      <c r="O142" s="3055"/>
      <c r="P142" s="412">
        <f>D142-'[2]Tab. 6B Polit społ i rozwój prz'!$D$268</f>
        <v>-424124</v>
      </c>
    </row>
    <row r="143" spans="1:16" hidden="1">
      <c r="A143" s="1962"/>
      <c r="B143" s="409"/>
      <c r="C143" s="409"/>
      <c r="D143" s="409"/>
      <c r="E143" s="409"/>
      <c r="F143" s="409"/>
      <c r="G143" s="409"/>
      <c r="H143" s="409"/>
      <c r="I143" s="409"/>
      <c r="J143" s="409"/>
      <c r="K143" s="409"/>
      <c r="L143" s="409"/>
      <c r="M143" s="409"/>
      <c r="N143" s="409"/>
      <c r="O143" s="409"/>
    </row>
    <row r="144" spans="1:16" hidden="1">
      <c r="B144" s="1524" t="s">
        <v>390</v>
      </c>
      <c r="C144" s="1524"/>
      <c r="D144" s="1524"/>
      <c r="E144" s="1524"/>
      <c r="F144" s="1524"/>
      <c r="G144" s="1524"/>
      <c r="H144" s="1524"/>
      <c r="I144" s="1524"/>
      <c r="J144" s="1524"/>
      <c r="K144" s="1524"/>
      <c r="L144" s="1524"/>
    </row>
    <row r="145" spans="2:12" hidden="1">
      <c r="B145" s="1524" t="s">
        <v>391</v>
      </c>
      <c r="C145" s="1524"/>
      <c r="D145" s="1565">
        <f t="shared" ref="D145:L145" si="121">D37+D54+D67+D91+D118+D130</f>
        <v>88226207</v>
      </c>
      <c r="E145" s="1565">
        <f t="shared" si="121"/>
        <v>9241548</v>
      </c>
      <c r="F145" s="1565">
        <f t="shared" si="121"/>
        <v>11330996</v>
      </c>
      <c r="G145" s="1565">
        <f t="shared" si="121"/>
        <v>19711075</v>
      </c>
      <c r="H145" s="1565">
        <f t="shared" si="121"/>
        <v>14522086</v>
      </c>
      <c r="I145" s="1565">
        <f t="shared" si="121"/>
        <v>10776416</v>
      </c>
      <c r="J145" s="1565">
        <f t="shared" si="121"/>
        <v>8157684</v>
      </c>
      <c r="K145" s="1565">
        <f t="shared" si="121"/>
        <v>7545683</v>
      </c>
      <c r="L145" s="1565">
        <f t="shared" si="121"/>
        <v>6940719</v>
      </c>
    </row>
    <row r="146" spans="2:12" hidden="1">
      <c r="B146" s="1524" t="s">
        <v>392</v>
      </c>
      <c r="C146" s="1524"/>
      <c r="D146" s="1565">
        <f t="shared" ref="D146:L146" si="122">D79+D103+D140</f>
        <v>457404</v>
      </c>
      <c r="E146" s="1565">
        <f t="shared" si="122"/>
        <v>21928</v>
      </c>
      <c r="F146" s="1565">
        <f t="shared" si="122"/>
        <v>79600</v>
      </c>
      <c r="G146" s="1565">
        <f t="shared" si="122"/>
        <v>267876</v>
      </c>
      <c r="H146" s="1565">
        <f t="shared" si="122"/>
        <v>71000</v>
      </c>
      <c r="I146" s="1565">
        <f t="shared" si="122"/>
        <v>17000</v>
      </c>
      <c r="J146" s="1565">
        <f t="shared" si="122"/>
        <v>0</v>
      </c>
      <c r="K146" s="1565">
        <f t="shared" si="122"/>
        <v>0</v>
      </c>
      <c r="L146" s="1565">
        <f t="shared" si="122"/>
        <v>0</v>
      </c>
    </row>
    <row r="147" spans="2:12" hidden="1">
      <c r="B147" s="1524" t="s">
        <v>393</v>
      </c>
      <c r="C147" s="1524"/>
      <c r="D147" s="1566">
        <f>D145+D146</f>
        <v>88683611</v>
      </c>
      <c r="E147" s="1566">
        <f t="shared" ref="E147:L147" si="123">E145+E146</f>
        <v>9263476</v>
      </c>
      <c r="F147" s="1566">
        <f t="shared" si="123"/>
        <v>11410596</v>
      </c>
      <c r="G147" s="1566">
        <f t="shared" si="123"/>
        <v>19978951</v>
      </c>
      <c r="H147" s="1566">
        <f t="shared" si="123"/>
        <v>14593086</v>
      </c>
      <c r="I147" s="1566">
        <f t="shared" si="123"/>
        <v>10793416</v>
      </c>
      <c r="J147" s="1566">
        <f t="shared" si="123"/>
        <v>8157684</v>
      </c>
      <c r="K147" s="1566">
        <f t="shared" si="123"/>
        <v>7545683</v>
      </c>
      <c r="L147" s="1566">
        <f t="shared" si="123"/>
        <v>6940719</v>
      </c>
    </row>
    <row r="148" spans="2:12" hidden="1">
      <c r="B148" s="1567" t="s">
        <v>42</v>
      </c>
      <c r="C148" s="1567"/>
      <c r="D148" s="1568">
        <f t="shared" ref="D148:L148" si="124">D147-D17</f>
        <v>0</v>
      </c>
      <c r="E148" s="1568">
        <f t="shared" si="124"/>
        <v>0</v>
      </c>
      <c r="F148" s="1568">
        <f t="shared" si="124"/>
        <v>0</v>
      </c>
      <c r="G148" s="1568">
        <f t="shared" si="124"/>
        <v>0</v>
      </c>
      <c r="H148" s="1568">
        <f t="shared" si="124"/>
        <v>0</v>
      </c>
      <c r="I148" s="1568">
        <f t="shared" si="124"/>
        <v>0</v>
      </c>
      <c r="J148" s="1568">
        <f t="shared" si="124"/>
        <v>0</v>
      </c>
      <c r="K148" s="1568">
        <f t="shared" si="124"/>
        <v>0</v>
      </c>
      <c r="L148" s="1568">
        <f t="shared" si="124"/>
        <v>0</v>
      </c>
    </row>
    <row r="149" spans="2:12" hidden="1">
      <c r="B149" s="1564"/>
      <c r="C149" s="1564"/>
      <c r="D149" s="1564"/>
      <c r="E149" s="1564"/>
      <c r="F149" s="1564"/>
      <c r="G149" s="1564"/>
      <c r="H149" s="1564"/>
      <c r="I149" s="1564"/>
      <c r="J149" s="1564"/>
      <c r="K149" s="1564"/>
      <c r="L149" s="1564"/>
    </row>
    <row r="150" spans="2:12" hidden="1"/>
    <row r="151" spans="2:12" hidden="1"/>
    <row r="152" spans="2:12" hidden="1"/>
    <row r="153" spans="2:12" hidden="1"/>
    <row r="154" spans="2:12" hidden="1"/>
    <row r="155" spans="2:12" hidden="1"/>
    <row r="156" spans="2:12" hidden="1"/>
    <row r="157" spans="2:12" hidden="1"/>
    <row r="158" spans="2:12" hidden="1"/>
    <row r="159" spans="2:12" hidden="1"/>
  </sheetData>
  <mergeCells count="66">
    <mergeCell ref="A60:A71"/>
    <mergeCell ref="O60:O71"/>
    <mergeCell ref="C62:C66"/>
    <mergeCell ref="C68:C71"/>
    <mergeCell ref="N67:N71"/>
    <mergeCell ref="A72:A83"/>
    <mergeCell ref="O72:O83"/>
    <mergeCell ref="C74:C78"/>
    <mergeCell ref="N79:N83"/>
    <mergeCell ref="C80:C83"/>
    <mergeCell ref="A3:O3"/>
    <mergeCell ref="C4:C5"/>
    <mergeCell ref="D4:D5"/>
    <mergeCell ref="O4:O5"/>
    <mergeCell ref="N4:N5"/>
    <mergeCell ref="B4:B5"/>
    <mergeCell ref="A4:A5"/>
    <mergeCell ref="N17:N22"/>
    <mergeCell ref="F4:F5"/>
    <mergeCell ref="G4:L4"/>
    <mergeCell ref="A43:A58"/>
    <mergeCell ref="O43:O58"/>
    <mergeCell ref="C45:C51"/>
    <mergeCell ref="C55:C58"/>
    <mergeCell ref="N54:N58"/>
    <mergeCell ref="A23:A42"/>
    <mergeCell ref="O23:O42"/>
    <mergeCell ref="C25:C36"/>
    <mergeCell ref="C38:C42"/>
    <mergeCell ref="N37:N42"/>
    <mergeCell ref="M4:M5"/>
    <mergeCell ref="M17:M22"/>
    <mergeCell ref="M37:M42"/>
    <mergeCell ref="A84:A95"/>
    <mergeCell ref="O84:O95"/>
    <mergeCell ref="C86:C90"/>
    <mergeCell ref="N91:N95"/>
    <mergeCell ref="C92:C95"/>
    <mergeCell ref="A108:A120"/>
    <mergeCell ref="O108:O120"/>
    <mergeCell ref="C110:C115"/>
    <mergeCell ref="N118:N120"/>
    <mergeCell ref="C119:C120"/>
    <mergeCell ref="M118:M120"/>
    <mergeCell ref="A96:A107"/>
    <mergeCell ref="O96:O107"/>
    <mergeCell ref="C98:C102"/>
    <mergeCell ref="N103:N107"/>
    <mergeCell ref="C104:C107"/>
    <mergeCell ref="A133:A142"/>
    <mergeCell ref="O133:O142"/>
    <mergeCell ref="C135:C136"/>
    <mergeCell ref="N140:N142"/>
    <mergeCell ref="C141:C142"/>
    <mergeCell ref="M140:M142"/>
    <mergeCell ref="A121:A132"/>
    <mergeCell ref="O121:O132"/>
    <mergeCell ref="N130:N132"/>
    <mergeCell ref="C131:C132"/>
    <mergeCell ref="C123:C129"/>
    <mergeCell ref="M130:M132"/>
    <mergeCell ref="M54:M58"/>
    <mergeCell ref="M67:M71"/>
    <mergeCell ref="M79:M83"/>
    <mergeCell ref="M91:M95"/>
    <mergeCell ref="M103:M107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70" firstPageNumber="36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</oddHeader>
    <oddFooter>&amp;C&amp;P</oddFooter>
  </headerFooter>
  <rowBreaks count="2" manualBreakCount="2">
    <brk id="71" max="14" man="1"/>
    <brk id="132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69"/>
  <sheetViews>
    <sheetView showGridLines="0" view="pageBreakPreview" zoomScaleNormal="100" zoomScaleSheetLayoutView="100" workbookViewId="0">
      <pane ySplit="8" topLeftCell="A9" activePane="bottomLeft" state="frozen"/>
      <selection activeCell="L250" sqref="L250"/>
      <selection pane="bottomLeft" activeCell="A9" sqref="A9"/>
    </sheetView>
  </sheetViews>
  <sheetFormatPr defaultColWidth="9.140625" defaultRowHeight="12.75"/>
  <cols>
    <col min="1" max="1" width="3.7109375" style="322" customWidth="1"/>
    <col min="2" max="2" width="54.7109375" style="323" customWidth="1"/>
    <col min="3" max="3" width="9.85546875" style="323" customWidth="1"/>
    <col min="4" max="4" width="13.7109375" style="323" customWidth="1"/>
    <col min="5" max="5" width="11.85546875" style="323" customWidth="1"/>
    <col min="6" max="6" width="9.5703125" style="323" customWidth="1"/>
    <col min="7" max="7" width="10.85546875" style="323" customWidth="1"/>
    <col min="8" max="8" width="10.28515625" style="323" customWidth="1"/>
    <col min="9" max="9" width="9.7109375" style="323" customWidth="1"/>
    <col min="10" max="10" width="10.5703125" style="323" customWidth="1"/>
    <col min="11" max="11" width="10" style="323" customWidth="1"/>
    <col min="12" max="12" width="9.7109375" style="323" customWidth="1"/>
    <col min="13" max="13" width="12.140625" style="323" customWidth="1"/>
    <col min="14" max="14" width="10" style="323" hidden="1" customWidth="1"/>
    <col min="15" max="15" width="14.28515625" style="392" customWidth="1"/>
    <col min="16" max="16" width="11.5703125" style="391" hidden="1" customWidth="1"/>
    <col min="17" max="17" width="10.140625" style="391" hidden="1" customWidth="1"/>
    <col min="18" max="18" width="10.7109375" style="391" hidden="1" customWidth="1"/>
    <col min="19" max="19" width="0" style="391" hidden="1" customWidth="1"/>
    <col min="20" max="20" width="10.140625" style="391" hidden="1" customWidth="1"/>
    <col min="21" max="21" width="0" style="391" hidden="1" customWidth="1"/>
    <col min="22" max="22" width="10.7109375" style="391" hidden="1" customWidth="1"/>
    <col min="23" max="29" width="0" style="391" hidden="1" customWidth="1"/>
    <col min="30" max="31" width="9.140625" style="391"/>
    <col min="32" max="32" width="8.5703125" style="391" customWidth="1"/>
    <col min="33" max="44" width="9.140625" style="391"/>
    <col min="45" max="45" width="8.7109375" style="391" customWidth="1"/>
    <col min="46" max="55" width="9.140625" style="391"/>
    <col min="56" max="56" width="4.28515625" style="391" customWidth="1"/>
    <col min="57" max="66" width="9.140625" style="391"/>
    <col min="67" max="67" width="5" style="391" customWidth="1"/>
    <col min="68" max="77" width="9.140625" style="391"/>
    <col min="78" max="78" width="3.85546875" style="391" customWidth="1"/>
    <col min="79" max="90" width="9.140625" style="391"/>
    <col min="91" max="91" width="5.28515625" style="391" customWidth="1"/>
    <col min="92" max="103" width="9.140625" style="391"/>
    <col min="104" max="104" width="1.5703125" style="391" customWidth="1"/>
    <col min="105" max="117" width="9.140625" style="391"/>
    <col min="118" max="118" width="0.7109375" style="391" customWidth="1"/>
    <col min="119" max="130" width="9.140625" style="391"/>
    <col min="131" max="131" width="8.28515625" style="391" customWidth="1"/>
    <col min="132" max="140" width="9.140625" style="391"/>
    <col min="141" max="141" width="0.28515625" style="391" customWidth="1"/>
    <col min="142" max="167" width="9.140625" style="391"/>
    <col min="168" max="168" width="0.7109375" style="391" customWidth="1"/>
    <col min="169" max="16384" width="9.140625" style="391"/>
  </cols>
  <sheetData>
    <row r="1" spans="1:18" ht="17.25" customHeight="1">
      <c r="D1" s="326"/>
      <c r="E1" s="326"/>
      <c r="H1" s="328" t="s">
        <v>424</v>
      </c>
      <c r="I1" s="6"/>
      <c r="J1" s="6"/>
      <c r="K1" s="6"/>
      <c r="L1" s="6"/>
      <c r="M1" s="6"/>
      <c r="N1" s="6"/>
      <c r="O1" s="7"/>
    </row>
    <row r="2" spans="1:18" ht="12" customHeight="1">
      <c r="H2" s="6"/>
      <c r="I2" s="6"/>
      <c r="J2" s="6"/>
      <c r="K2" s="6"/>
      <c r="L2" s="6"/>
      <c r="M2" s="6"/>
      <c r="N2" s="6"/>
      <c r="O2" s="7"/>
    </row>
    <row r="3" spans="1:18" ht="12.75" customHeight="1"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7"/>
    </row>
    <row r="4" spans="1:18" ht="8.25" customHeight="1">
      <c r="D4" s="326"/>
      <c r="E4" s="326"/>
      <c r="F4" s="329"/>
      <c r="G4" s="329"/>
      <c r="H4" s="6"/>
      <c r="I4" s="6"/>
      <c r="J4" s="6"/>
      <c r="K4" s="6"/>
      <c r="L4" s="6"/>
      <c r="M4" s="6"/>
      <c r="N4" s="6"/>
      <c r="O4" s="7"/>
    </row>
    <row r="5" spans="1:18" s="330" customFormat="1" ht="18.75" thickBot="1">
      <c r="A5" s="3160" t="s">
        <v>203</v>
      </c>
      <c r="B5" s="3160"/>
      <c r="C5" s="3160"/>
      <c r="D5" s="3160"/>
      <c r="E5" s="3160"/>
      <c r="F5" s="1802"/>
      <c r="G5" s="1802"/>
      <c r="H5" s="1803"/>
      <c r="I5" s="1803"/>
      <c r="J5" s="1803"/>
      <c r="K5" s="1803"/>
      <c r="L5" s="1803"/>
      <c r="M5" s="1803"/>
      <c r="N5" s="1803"/>
      <c r="O5" s="1803"/>
    </row>
    <row r="6" spans="1:18" ht="36.75" customHeight="1">
      <c r="A6" s="1804"/>
      <c r="B6" s="1804"/>
      <c r="C6" s="2976" t="s">
        <v>71</v>
      </c>
      <c r="D6" s="3162" t="s">
        <v>72</v>
      </c>
      <c r="E6" s="3165" t="s">
        <v>459</v>
      </c>
      <c r="F6" s="2996" t="s">
        <v>454</v>
      </c>
      <c r="G6" s="2993" t="s">
        <v>456</v>
      </c>
      <c r="H6" s="2994"/>
      <c r="I6" s="2994"/>
      <c r="J6" s="2994"/>
      <c r="K6" s="2994"/>
      <c r="L6" s="2995"/>
      <c r="M6" s="2985" t="s">
        <v>479</v>
      </c>
      <c r="N6" s="2985" t="s">
        <v>457</v>
      </c>
      <c r="O6" s="3170" t="s">
        <v>73</v>
      </c>
    </row>
    <row r="7" spans="1:18" ht="45.75" customHeight="1">
      <c r="A7" s="2555" t="s">
        <v>74</v>
      </c>
      <c r="B7" s="1805" t="s">
        <v>75</v>
      </c>
      <c r="C7" s="3161"/>
      <c r="D7" s="3163"/>
      <c r="E7" s="3166"/>
      <c r="F7" s="3158"/>
      <c r="G7" s="3153" t="s">
        <v>6</v>
      </c>
      <c r="H7" s="3153" t="s">
        <v>184</v>
      </c>
      <c r="I7" s="3153" t="s">
        <v>186</v>
      </c>
      <c r="J7" s="3153" t="s">
        <v>230</v>
      </c>
      <c r="K7" s="3153" t="s">
        <v>231</v>
      </c>
      <c r="L7" s="3153" t="s">
        <v>229</v>
      </c>
      <c r="M7" s="3154"/>
      <c r="N7" s="3154"/>
      <c r="O7" s="3171"/>
    </row>
    <row r="8" spans="1:18" ht="15.75" customHeight="1" thickBot="1">
      <c r="A8" s="1806"/>
      <c r="B8" s="1807"/>
      <c r="C8" s="2977"/>
      <c r="D8" s="3164"/>
      <c r="E8" s="3167"/>
      <c r="F8" s="3159"/>
      <c r="G8" s="2997"/>
      <c r="H8" s="2997"/>
      <c r="I8" s="2997"/>
      <c r="J8" s="2997"/>
      <c r="K8" s="2997"/>
      <c r="L8" s="2997"/>
      <c r="M8" s="2986"/>
      <c r="N8" s="2986"/>
      <c r="O8" s="3172"/>
    </row>
    <row r="9" spans="1:18" s="331" customFormat="1" ht="12" customHeight="1" thickBot="1">
      <c r="A9" s="1137">
        <v>1</v>
      </c>
      <c r="B9" s="1138">
        <v>2</v>
      </c>
      <c r="C9" s="1139" t="s">
        <v>119</v>
      </c>
      <c r="D9" s="1139" t="s">
        <v>120</v>
      </c>
      <c r="E9" s="1139">
        <v>5</v>
      </c>
      <c r="F9" s="1139">
        <v>6</v>
      </c>
      <c r="G9" s="1139">
        <v>7</v>
      </c>
      <c r="H9" s="1139">
        <v>8</v>
      </c>
      <c r="I9" s="1139">
        <v>9</v>
      </c>
      <c r="J9" s="1139">
        <v>10</v>
      </c>
      <c r="K9" s="1139">
        <v>11</v>
      </c>
      <c r="L9" s="1139">
        <v>12</v>
      </c>
      <c r="M9" s="1140">
        <v>13</v>
      </c>
      <c r="N9" s="1140">
        <v>13</v>
      </c>
      <c r="O9" s="1141">
        <v>14</v>
      </c>
      <c r="Q9" s="1808"/>
    </row>
    <row r="10" spans="1:18" s="2065" customFormat="1" ht="15.75" customHeight="1">
      <c r="A10" s="1809"/>
      <c r="B10" s="240" t="s">
        <v>76</v>
      </c>
      <c r="C10" s="214"/>
      <c r="D10" s="215">
        <f>+D11+D12</f>
        <v>124021061</v>
      </c>
      <c r="E10" s="215">
        <f t="shared" ref="E10" si="0">+E11+E12</f>
        <v>58251939</v>
      </c>
      <c r="F10" s="215">
        <f t="shared" ref="F10" si="1">+F11+F12</f>
        <v>2303997</v>
      </c>
      <c r="G10" s="215">
        <f t="shared" ref="G10:N10" si="2">+G11+G12</f>
        <v>4247813</v>
      </c>
      <c r="H10" s="215">
        <f t="shared" si="2"/>
        <v>5225973</v>
      </c>
      <c r="I10" s="215">
        <f t="shared" si="2"/>
        <v>5225973</v>
      </c>
      <c r="J10" s="215">
        <f t="shared" si="2"/>
        <v>5225973</v>
      </c>
      <c r="K10" s="215">
        <f t="shared" si="2"/>
        <v>5085973</v>
      </c>
      <c r="L10" s="1810">
        <f t="shared" si="2"/>
        <v>4145973</v>
      </c>
      <c r="M10" s="1811">
        <f t="shared" ref="M10" si="3">+M11+M12</f>
        <v>65769122</v>
      </c>
      <c r="N10" s="1811" t="e">
        <f t="shared" si="2"/>
        <v>#REF!</v>
      </c>
      <c r="O10" s="1812"/>
      <c r="Q10" s="334"/>
      <c r="R10" s="334"/>
    </row>
    <row r="11" spans="1:18" s="2065" customFormat="1" ht="15.75" customHeight="1">
      <c r="A11" s="192"/>
      <c r="B11" s="229" t="s">
        <v>77</v>
      </c>
      <c r="C11" s="217"/>
      <c r="D11" s="218">
        <f>+D46+D51+D56</f>
        <v>63465125</v>
      </c>
      <c r="E11" s="2461">
        <f t="shared" ref="E11:M11" si="4">+E46+E51+E56</f>
        <v>0</v>
      </c>
      <c r="F11" s="2462">
        <f t="shared" si="4"/>
        <v>0</v>
      </c>
      <c r="G11" s="2462">
        <f t="shared" si="4"/>
        <v>4247813</v>
      </c>
      <c r="H11" s="2462">
        <f t="shared" si="4"/>
        <v>5225973</v>
      </c>
      <c r="I11" s="2462">
        <f t="shared" si="4"/>
        <v>5225973</v>
      </c>
      <c r="J11" s="2462">
        <f t="shared" si="4"/>
        <v>5225973</v>
      </c>
      <c r="K11" s="2462">
        <f t="shared" si="4"/>
        <v>5085973</v>
      </c>
      <c r="L11" s="2462">
        <f t="shared" si="4"/>
        <v>4145973</v>
      </c>
      <c r="M11" s="2464">
        <f t="shared" si="4"/>
        <v>63465125</v>
      </c>
      <c r="N11" s="1813" t="e">
        <f>+#REF!+#REF!+N46+#REF!+#REF!+N51+N56</f>
        <v>#REF!</v>
      </c>
      <c r="O11" s="1814"/>
    </row>
    <row r="12" spans="1:18" s="2065" customFormat="1" ht="15.75" customHeight="1" thickBot="1">
      <c r="A12" s="192"/>
      <c r="B12" s="230" t="s">
        <v>9</v>
      </c>
      <c r="C12" s="724"/>
      <c r="D12" s="228">
        <f>+D33+D34+D35</f>
        <v>60555936</v>
      </c>
      <c r="E12" s="2463">
        <f t="shared" ref="E12:M12" si="5">+E33+E34+E35</f>
        <v>58251939</v>
      </c>
      <c r="F12" s="228">
        <f t="shared" si="5"/>
        <v>2303997</v>
      </c>
      <c r="G12" s="228">
        <f t="shared" si="5"/>
        <v>0</v>
      </c>
      <c r="H12" s="228">
        <f t="shared" si="5"/>
        <v>0</v>
      </c>
      <c r="I12" s="228">
        <f t="shared" si="5"/>
        <v>0</v>
      </c>
      <c r="J12" s="228">
        <f t="shared" si="5"/>
        <v>0</v>
      </c>
      <c r="K12" s="228">
        <f t="shared" si="5"/>
        <v>0</v>
      </c>
      <c r="L12" s="228">
        <f t="shared" si="5"/>
        <v>0</v>
      </c>
      <c r="M12" s="1815">
        <f t="shared" si="5"/>
        <v>2303997</v>
      </c>
      <c r="N12" s="1815" t="e">
        <f>+#REF!+#REF!+N33+N34+N35+#REF!+#REF!+#REF!+#REF!+#REF!+#REF!</f>
        <v>#REF!</v>
      </c>
      <c r="O12" s="1814"/>
    </row>
    <row r="13" spans="1:18" s="331" customFormat="1" ht="15" customHeight="1">
      <c r="A13" s="192"/>
      <c r="B13" s="1816" t="s">
        <v>10</v>
      </c>
      <c r="C13" s="1817"/>
      <c r="D13" s="1818">
        <f>+D14+D21</f>
        <v>148582238.63999999</v>
      </c>
      <c r="E13" s="1819">
        <f t="shared" ref="E13:L13" si="6">+E14+E21</f>
        <v>74312927.640000001</v>
      </c>
      <c r="F13" s="1819">
        <f t="shared" si="6"/>
        <v>10804186</v>
      </c>
      <c r="G13" s="1819">
        <f t="shared" si="6"/>
        <v>4247813</v>
      </c>
      <c r="H13" s="1819">
        <f t="shared" si="6"/>
        <v>5225973</v>
      </c>
      <c r="I13" s="1819">
        <f t="shared" si="6"/>
        <v>5225973</v>
      </c>
      <c r="J13" s="1819">
        <f t="shared" si="6"/>
        <v>5225973</v>
      </c>
      <c r="K13" s="1819">
        <f t="shared" si="6"/>
        <v>5085973</v>
      </c>
      <c r="L13" s="1819">
        <f t="shared" si="6"/>
        <v>4145973</v>
      </c>
      <c r="M13" s="1820">
        <f>SUM(M14,M21)</f>
        <v>65769122</v>
      </c>
      <c r="N13" s="1820" t="e">
        <f>SUM(N14,N21)</f>
        <v>#REF!</v>
      </c>
      <c r="O13" s="725"/>
      <c r="R13" s="182"/>
    </row>
    <row r="14" spans="1:18" s="385" customFormat="1" ht="14.25" customHeight="1">
      <c r="A14" s="192"/>
      <c r="B14" s="1821" t="s">
        <v>11</v>
      </c>
      <c r="C14" s="1822"/>
      <c r="D14" s="1823">
        <f>SUM(D15:D20)</f>
        <v>148582238.63999999</v>
      </c>
      <c r="E14" s="1823">
        <f t="shared" ref="E14:L14" si="7">SUM(E15:E20)</f>
        <v>74312927.640000001</v>
      </c>
      <c r="F14" s="1823">
        <f t="shared" si="7"/>
        <v>10804186</v>
      </c>
      <c r="G14" s="1823">
        <f t="shared" si="7"/>
        <v>4247813</v>
      </c>
      <c r="H14" s="1823">
        <f t="shared" si="7"/>
        <v>5225973</v>
      </c>
      <c r="I14" s="1823">
        <f t="shared" si="7"/>
        <v>5225973</v>
      </c>
      <c r="J14" s="1823">
        <f t="shared" si="7"/>
        <v>5225973</v>
      </c>
      <c r="K14" s="1823">
        <f t="shared" si="7"/>
        <v>5085973</v>
      </c>
      <c r="L14" s="1823">
        <f t="shared" si="7"/>
        <v>4145973</v>
      </c>
      <c r="M14" s="1824">
        <f>SUM(M15:M20)</f>
        <v>65769122</v>
      </c>
      <c r="N14" s="1824" t="e">
        <f>SUM(N15:N20)</f>
        <v>#REF!</v>
      </c>
      <c r="O14" s="726"/>
      <c r="Q14" s="386"/>
    </row>
    <row r="15" spans="1:18" s="385" customFormat="1" ht="14.25" customHeight="1">
      <c r="A15" s="192"/>
      <c r="B15" s="1825" t="s">
        <v>12</v>
      </c>
      <c r="C15" s="1822"/>
      <c r="D15" s="1826">
        <f>+D46+D51+D56</f>
        <v>63465125</v>
      </c>
      <c r="E15" s="1826">
        <f t="shared" ref="E15:K15" si="8">+E46+E51+E56</f>
        <v>0</v>
      </c>
      <c r="F15" s="1826">
        <f t="shared" si="8"/>
        <v>0</v>
      </c>
      <c r="G15" s="1826">
        <f t="shared" si="8"/>
        <v>4247813</v>
      </c>
      <c r="H15" s="1826">
        <f t="shared" si="8"/>
        <v>5225973</v>
      </c>
      <c r="I15" s="1826">
        <f t="shared" si="8"/>
        <v>5225973</v>
      </c>
      <c r="J15" s="1826">
        <f t="shared" si="8"/>
        <v>5225973</v>
      </c>
      <c r="K15" s="1826">
        <f t="shared" si="8"/>
        <v>5085973</v>
      </c>
      <c r="L15" s="1826">
        <f>+L46+L51+L56</f>
        <v>4145973</v>
      </c>
      <c r="M15" s="1835">
        <f>+M46+M51+M56</f>
        <v>63465125</v>
      </c>
      <c r="N15" s="1827" t="e">
        <f>+#REF!+#REF!+N46+#REF!+#REF!+N51+N56</f>
        <v>#REF!</v>
      </c>
      <c r="O15" s="726"/>
      <c r="Q15" s="386"/>
      <c r="R15" s="386"/>
    </row>
    <row r="16" spans="1:18" s="331" customFormat="1" ht="14.25" customHeight="1">
      <c r="A16" s="192"/>
      <c r="B16" s="1825" t="s">
        <v>32</v>
      </c>
      <c r="C16" s="1828"/>
      <c r="D16" s="1829">
        <f>+D32+D45+D50+D55</f>
        <v>24561177.640000001</v>
      </c>
      <c r="E16" s="1829">
        <f t="shared" ref="E16:L16" si="9">+E32+E45+E50+E55</f>
        <v>16060988.640000001</v>
      </c>
      <c r="F16" s="1829">
        <f t="shared" si="9"/>
        <v>8500189</v>
      </c>
      <c r="G16" s="1829">
        <f t="shared" si="9"/>
        <v>0</v>
      </c>
      <c r="H16" s="1829">
        <f t="shared" si="9"/>
        <v>0</v>
      </c>
      <c r="I16" s="1829">
        <f t="shared" si="9"/>
        <v>0</v>
      </c>
      <c r="J16" s="1829">
        <f t="shared" si="9"/>
        <v>0</v>
      </c>
      <c r="K16" s="1829">
        <f t="shared" si="9"/>
        <v>0</v>
      </c>
      <c r="L16" s="1829">
        <f t="shared" si="9"/>
        <v>0</v>
      </c>
      <c r="M16" s="1830" t="s">
        <v>61</v>
      </c>
      <c r="N16" s="1830" t="s">
        <v>61</v>
      </c>
      <c r="O16" s="725"/>
      <c r="Q16" s="182"/>
      <c r="R16" s="182"/>
    </row>
    <row r="17" spans="1:19" s="331" customFormat="1" ht="14.25" customHeight="1">
      <c r="A17" s="192"/>
      <c r="B17" s="1825" t="s">
        <v>122</v>
      </c>
      <c r="C17" s="1831"/>
      <c r="D17" s="1829">
        <f>+D33</f>
        <v>24903655</v>
      </c>
      <c r="E17" s="1829">
        <f t="shared" ref="E17:L17" si="10">+E33</f>
        <v>24903655</v>
      </c>
      <c r="F17" s="1829">
        <f t="shared" si="10"/>
        <v>0</v>
      </c>
      <c r="G17" s="1829">
        <f t="shared" si="10"/>
        <v>0</v>
      </c>
      <c r="H17" s="1829">
        <f t="shared" si="10"/>
        <v>0</v>
      </c>
      <c r="I17" s="1829">
        <f t="shared" si="10"/>
        <v>0</v>
      </c>
      <c r="J17" s="1829">
        <f t="shared" si="10"/>
        <v>0</v>
      </c>
      <c r="K17" s="1829">
        <f t="shared" si="10"/>
        <v>0</v>
      </c>
      <c r="L17" s="1829">
        <f t="shared" si="10"/>
        <v>0</v>
      </c>
      <c r="M17" s="1832"/>
      <c r="N17" s="1832"/>
      <c r="O17" s="1833"/>
      <c r="Q17" s="182"/>
      <c r="R17" s="182"/>
    </row>
    <row r="18" spans="1:19" s="385" customFormat="1" ht="14.25" customHeight="1">
      <c r="A18" s="727"/>
      <c r="B18" s="1834" t="s">
        <v>13</v>
      </c>
      <c r="C18" s="1828"/>
      <c r="D18" s="1831">
        <f>D34</f>
        <v>29452281</v>
      </c>
      <c r="E18" s="1831">
        <f t="shared" ref="E18:M18" si="11">E34</f>
        <v>27148284</v>
      </c>
      <c r="F18" s="1831">
        <f t="shared" si="11"/>
        <v>2303997</v>
      </c>
      <c r="G18" s="1831">
        <f t="shared" si="11"/>
        <v>0</v>
      </c>
      <c r="H18" s="1831">
        <f t="shared" si="11"/>
        <v>0</v>
      </c>
      <c r="I18" s="1831">
        <f t="shared" si="11"/>
        <v>0</v>
      </c>
      <c r="J18" s="1831">
        <f t="shared" si="11"/>
        <v>0</v>
      </c>
      <c r="K18" s="1831">
        <f t="shared" si="11"/>
        <v>0</v>
      </c>
      <c r="L18" s="1831">
        <f t="shared" si="11"/>
        <v>0</v>
      </c>
      <c r="M18" s="1835">
        <f t="shared" si="11"/>
        <v>2303997</v>
      </c>
      <c r="N18" s="1835" t="e">
        <f>N34+#REF!+#REF!+#REF!</f>
        <v>#REF!</v>
      </c>
      <c r="O18" s="1836"/>
      <c r="Q18" s="386"/>
    </row>
    <row r="19" spans="1:19" s="341" customFormat="1" ht="14.25" hidden="1" customHeight="1">
      <c r="A19" s="727"/>
      <c r="B19" s="1834" t="s">
        <v>34</v>
      </c>
      <c r="C19" s="1828"/>
      <c r="D19" s="1831"/>
      <c r="E19" s="1831"/>
      <c r="F19" s="1831"/>
      <c r="G19" s="1831"/>
      <c r="H19" s="1831"/>
      <c r="I19" s="1831"/>
      <c r="J19" s="1831"/>
      <c r="K19" s="1831"/>
      <c r="L19" s="1831"/>
      <c r="M19" s="1837"/>
      <c r="N19" s="1837"/>
      <c r="O19" s="1836"/>
      <c r="Q19" s="1838"/>
    </row>
    <row r="20" spans="1:19" s="331" customFormat="1" ht="14.25" customHeight="1">
      <c r="A20" s="192"/>
      <c r="B20" s="1834" t="s">
        <v>123</v>
      </c>
      <c r="C20" s="1828"/>
      <c r="D20" s="1831">
        <f t="shared" ref="D20" si="12">D35</f>
        <v>6200000</v>
      </c>
      <c r="E20" s="1831">
        <f t="shared" ref="E20:L20" si="13">E35</f>
        <v>6200000</v>
      </c>
      <c r="F20" s="1831">
        <f t="shared" si="13"/>
        <v>0</v>
      </c>
      <c r="G20" s="1831">
        <f t="shared" si="13"/>
        <v>0</v>
      </c>
      <c r="H20" s="1831">
        <f t="shared" si="13"/>
        <v>0</v>
      </c>
      <c r="I20" s="1831">
        <f t="shared" si="13"/>
        <v>0</v>
      </c>
      <c r="J20" s="1831">
        <f t="shared" si="13"/>
        <v>0</v>
      </c>
      <c r="K20" s="1831">
        <f t="shared" si="13"/>
        <v>0</v>
      </c>
      <c r="L20" s="1831">
        <f t="shared" si="13"/>
        <v>0</v>
      </c>
      <c r="M20" s="1832">
        <f>M35</f>
        <v>0</v>
      </c>
      <c r="N20" s="1832">
        <f>N35</f>
        <v>0</v>
      </c>
      <c r="O20" s="1833"/>
      <c r="Q20" s="182"/>
    </row>
    <row r="21" spans="1:19" s="385" customFormat="1" ht="14.25" hidden="1" customHeight="1">
      <c r="A21" s="152"/>
      <c r="B21" s="186" t="s">
        <v>18</v>
      </c>
      <c r="C21" s="1839"/>
      <c r="D21" s="1840">
        <f t="shared" ref="D21:L21" si="14">SUM(D22:D22)</f>
        <v>0</v>
      </c>
      <c r="E21" s="1840">
        <f t="shared" si="14"/>
        <v>0</v>
      </c>
      <c r="F21" s="1840">
        <f t="shared" si="14"/>
        <v>0</v>
      </c>
      <c r="G21" s="1840">
        <f t="shared" si="14"/>
        <v>0</v>
      </c>
      <c r="H21" s="1840">
        <f t="shared" si="14"/>
        <v>0</v>
      </c>
      <c r="I21" s="1840">
        <f t="shared" si="14"/>
        <v>0</v>
      </c>
      <c r="J21" s="1840">
        <f t="shared" si="14"/>
        <v>0</v>
      </c>
      <c r="K21" s="1840">
        <f t="shared" si="14"/>
        <v>0</v>
      </c>
      <c r="L21" s="1840">
        <f t="shared" si="14"/>
        <v>0</v>
      </c>
      <c r="M21" s="1830" t="s">
        <v>61</v>
      </c>
      <c r="N21" s="1830" t="s">
        <v>61</v>
      </c>
      <c r="O21" s="726"/>
    </row>
    <row r="22" spans="1:19" s="331" customFormat="1" ht="14.25" hidden="1" customHeight="1">
      <c r="A22" s="168"/>
      <c r="B22" s="1841" t="s">
        <v>35</v>
      </c>
      <c r="C22" s="1842"/>
      <c r="D22" s="1843"/>
      <c r="E22" s="1843"/>
      <c r="F22" s="1843"/>
      <c r="G22" s="1843"/>
      <c r="H22" s="1843"/>
      <c r="I22" s="1843"/>
      <c r="J22" s="1843"/>
      <c r="K22" s="1843"/>
      <c r="L22" s="1843"/>
      <c r="M22" s="1830" t="s">
        <v>61</v>
      </c>
      <c r="N22" s="1830" t="s">
        <v>61</v>
      </c>
      <c r="O22" s="1844"/>
    </row>
    <row r="23" spans="1:19" s="385" customFormat="1" ht="14.25" customHeight="1">
      <c r="A23" s="152"/>
      <c r="B23" s="728" t="s">
        <v>22</v>
      </c>
      <c r="C23" s="191"/>
      <c r="D23" s="746">
        <f>+D24+D27</f>
        <v>35652281</v>
      </c>
      <c r="E23" s="746">
        <f t="shared" ref="E23:L23" si="15">+E24+E27</f>
        <v>33348284</v>
      </c>
      <c r="F23" s="746">
        <f t="shared" si="15"/>
        <v>2303997</v>
      </c>
      <c r="G23" s="746">
        <f t="shared" si="15"/>
        <v>0</v>
      </c>
      <c r="H23" s="746">
        <f t="shared" si="15"/>
        <v>0</v>
      </c>
      <c r="I23" s="746">
        <f t="shared" si="15"/>
        <v>0</v>
      </c>
      <c r="J23" s="746">
        <f t="shared" si="15"/>
        <v>0</v>
      </c>
      <c r="K23" s="746">
        <f t="shared" si="15"/>
        <v>0</v>
      </c>
      <c r="L23" s="746">
        <f t="shared" si="15"/>
        <v>0</v>
      </c>
      <c r="M23" s="3155" t="s">
        <v>23</v>
      </c>
      <c r="N23" s="3155" t="s">
        <v>23</v>
      </c>
      <c r="O23" s="1845"/>
    </row>
    <row r="24" spans="1:19" s="331" customFormat="1" ht="14.25" customHeight="1">
      <c r="A24" s="168"/>
      <c r="B24" s="186" t="s">
        <v>11</v>
      </c>
      <c r="C24" s="1839"/>
      <c r="D24" s="1840">
        <f>+D25+D26</f>
        <v>35652281</v>
      </c>
      <c r="E24" s="1840">
        <f t="shared" ref="E24:L24" si="16">+E25+E26</f>
        <v>33348284</v>
      </c>
      <c r="F24" s="1840">
        <f t="shared" si="16"/>
        <v>2303997</v>
      </c>
      <c r="G24" s="1840">
        <f t="shared" si="16"/>
        <v>0</v>
      </c>
      <c r="H24" s="1840">
        <f t="shared" si="16"/>
        <v>0</v>
      </c>
      <c r="I24" s="1840">
        <f t="shared" si="16"/>
        <v>0</v>
      </c>
      <c r="J24" s="1840">
        <f t="shared" si="16"/>
        <v>0</v>
      </c>
      <c r="K24" s="1840">
        <f t="shared" si="16"/>
        <v>0</v>
      </c>
      <c r="L24" s="1840">
        <f t="shared" si="16"/>
        <v>0</v>
      </c>
      <c r="M24" s="3156"/>
      <c r="N24" s="3156"/>
      <c r="O24" s="1844"/>
    </row>
    <row r="25" spans="1:19" s="331" customFormat="1" ht="14.25" customHeight="1">
      <c r="A25" s="168"/>
      <c r="B25" s="1834" t="s">
        <v>13</v>
      </c>
      <c r="C25" s="1828"/>
      <c r="D25" s="1831">
        <f>D40</f>
        <v>29452281</v>
      </c>
      <c r="E25" s="1831">
        <f t="shared" ref="E25:L25" si="17">E40</f>
        <v>27148284</v>
      </c>
      <c r="F25" s="1831">
        <f t="shared" si="17"/>
        <v>2303997</v>
      </c>
      <c r="G25" s="1831">
        <f t="shared" si="17"/>
        <v>0</v>
      </c>
      <c r="H25" s="1831">
        <f t="shared" si="17"/>
        <v>0</v>
      </c>
      <c r="I25" s="1831">
        <f t="shared" si="17"/>
        <v>0</v>
      </c>
      <c r="J25" s="1831">
        <f t="shared" si="17"/>
        <v>0</v>
      </c>
      <c r="K25" s="1831">
        <f t="shared" si="17"/>
        <v>0</v>
      </c>
      <c r="L25" s="1831">
        <f t="shared" si="17"/>
        <v>0</v>
      </c>
      <c r="M25" s="3156"/>
      <c r="N25" s="3156"/>
      <c r="O25" s="1844"/>
      <c r="Q25" s="182"/>
    </row>
    <row r="26" spans="1:19" s="331" customFormat="1" ht="14.25" customHeight="1" thickBot="1">
      <c r="A26" s="168"/>
      <c r="B26" s="1834" t="s">
        <v>425</v>
      </c>
      <c r="C26" s="1828"/>
      <c r="D26" s="1831">
        <f t="shared" ref="D26" si="18">D41</f>
        <v>6200000</v>
      </c>
      <c r="E26" s="1831">
        <f t="shared" ref="E26:L26" si="19">E41</f>
        <v>6200000</v>
      </c>
      <c r="F26" s="1831">
        <f t="shared" si="19"/>
        <v>0</v>
      </c>
      <c r="G26" s="1831">
        <f t="shared" si="19"/>
        <v>0</v>
      </c>
      <c r="H26" s="1831">
        <f t="shared" si="19"/>
        <v>0</v>
      </c>
      <c r="I26" s="1831">
        <f t="shared" si="19"/>
        <v>0</v>
      </c>
      <c r="J26" s="1831">
        <f t="shared" si="19"/>
        <v>0</v>
      </c>
      <c r="K26" s="1831">
        <f t="shared" si="19"/>
        <v>0</v>
      </c>
      <c r="L26" s="1831">
        <f t="shared" si="19"/>
        <v>0</v>
      </c>
      <c r="M26" s="3156"/>
      <c r="N26" s="3156"/>
      <c r="O26" s="1844"/>
      <c r="Q26" s="182"/>
    </row>
    <row r="27" spans="1:19" s="331" customFormat="1" ht="14.25" hidden="1" customHeight="1">
      <c r="A27" s="168"/>
      <c r="B27" s="186" t="s">
        <v>18</v>
      </c>
      <c r="C27" s="1839"/>
      <c r="D27" s="1840">
        <f t="shared" ref="D27:L27" si="20">SUM(D28:D28)</f>
        <v>0</v>
      </c>
      <c r="E27" s="1840">
        <f t="shared" si="20"/>
        <v>0</v>
      </c>
      <c r="F27" s="1840">
        <f t="shared" si="20"/>
        <v>0</v>
      </c>
      <c r="G27" s="1840">
        <f t="shared" si="20"/>
        <v>0</v>
      </c>
      <c r="H27" s="1840">
        <f t="shared" si="20"/>
        <v>0</v>
      </c>
      <c r="I27" s="1840">
        <f t="shared" si="20"/>
        <v>0</v>
      </c>
      <c r="J27" s="1840">
        <f t="shared" si="20"/>
        <v>0</v>
      </c>
      <c r="K27" s="1840">
        <f t="shared" si="20"/>
        <v>0</v>
      </c>
      <c r="L27" s="1840">
        <f t="shared" si="20"/>
        <v>0</v>
      </c>
      <c r="M27" s="3156"/>
      <c r="N27" s="3156"/>
      <c r="O27" s="1844"/>
      <c r="Q27" s="182"/>
    </row>
    <row r="28" spans="1:19" s="331" customFormat="1" ht="14.25" hidden="1" customHeight="1" thickBot="1">
      <c r="A28" s="168"/>
      <c r="B28" s="1841" t="s">
        <v>35</v>
      </c>
      <c r="C28" s="1846"/>
      <c r="D28" s="1759"/>
      <c r="E28" s="1759"/>
      <c r="F28" s="1759"/>
      <c r="G28" s="1759"/>
      <c r="H28" s="1759"/>
      <c r="I28" s="1759"/>
      <c r="J28" s="1759"/>
      <c r="K28" s="1759"/>
      <c r="L28" s="1759"/>
      <c r="M28" s="3157"/>
      <c r="N28" s="3157"/>
      <c r="O28" s="1844"/>
      <c r="Q28" s="182"/>
    </row>
    <row r="29" spans="1:19" s="353" customFormat="1" ht="38.25" customHeight="1">
      <c r="A29" s="3130" t="s">
        <v>63</v>
      </c>
      <c r="B29" s="1712" t="s">
        <v>340</v>
      </c>
      <c r="C29" s="731" t="s">
        <v>81</v>
      </c>
      <c r="D29" s="1849"/>
      <c r="E29" s="1894"/>
      <c r="F29" s="1894"/>
      <c r="G29" s="1894"/>
      <c r="H29" s="1894"/>
      <c r="I29" s="1894"/>
      <c r="J29" s="1850"/>
      <c r="K29" s="1894"/>
      <c r="L29" s="1849"/>
      <c r="M29" s="1851"/>
      <c r="N29" s="1851"/>
      <c r="O29" s="3149" t="s">
        <v>299</v>
      </c>
      <c r="Q29" s="3137"/>
      <c r="R29" s="3137"/>
      <c r="S29" s="3137"/>
    </row>
    <row r="30" spans="1:19" s="353" customFormat="1" ht="13.5" customHeight="1">
      <c r="A30" s="3147"/>
      <c r="B30" s="538" t="s">
        <v>10</v>
      </c>
      <c r="C30" s="1859"/>
      <c r="D30" s="733">
        <f>+D31+D36</f>
        <v>82027114</v>
      </c>
      <c r="E30" s="733">
        <f t="shared" ref="E30" si="21">+E31+E36</f>
        <v>72536261</v>
      </c>
      <c r="F30" s="733">
        <f t="shared" ref="F30:L30" si="22">+F31</f>
        <v>9490853</v>
      </c>
      <c r="G30" s="1852">
        <f t="shared" si="22"/>
        <v>0</v>
      </c>
      <c r="H30" s="1852">
        <f t="shared" si="22"/>
        <v>0</v>
      </c>
      <c r="I30" s="1852">
        <f t="shared" si="22"/>
        <v>0</v>
      </c>
      <c r="J30" s="1852">
        <f t="shared" si="22"/>
        <v>0</v>
      </c>
      <c r="K30" s="1852">
        <f t="shared" si="22"/>
        <v>0</v>
      </c>
      <c r="L30" s="1860">
        <f t="shared" si="22"/>
        <v>0</v>
      </c>
      <c r="M30" s="1853">
        <f>+M31+M36</f>
        <v>2303997</v>
      </c>
      <c r="N30" s="1853">
        <f>+N31+N36</f>
        <v>0</v>
      </c>
      <c r="O30" s="3150"/>
      <c r="P30" s="358"/>
      <c r="Q30" s="3137"/>
      <c r="R30" s="3137"/>
      <c r="S30" s="3137"/>
    </row>
    <row r="31" spans="1:19" s="353" customFormat="1" ht="13.5" customHeight="1">
      <c r="A31" s="3147"/>
      <c r="B31" s="1854" t="s">
        <v>24</v>
      </c>
      <c r="C31" s="3138" t="s">
        <v>124</v>
      </c>
      <c r="D31" s="735">
        <f>SUM(D32:D35)</f>
        <v>82027114</v>
      </c>
      <c r="E31" s="735">
        <f>+E32+E33+E34+E35</f>
        <v>72536261</v>
      </c>
      <c r="F31" s="735">
        <f t="shared" ref="F31:L31" si="23">+F32+F33+F34+F35</f>
        <v>9490853</v>
      </c>
      <c r="G31" s="1861">
        <f t="shared" si="23"/>
        <v>0</v>
      </c>
      <c r="H31" s="1861">
        <f t="shared" si="23"/>
        <v>0</v>
      </c>
      <c r="I31" s="1861">
        <f t="shared" si="23"/>
        <v>0</v>
      </c>
      <c r="J31" s="1861">
        <f t="shared" si="23"/>
        <v>0</v>
      </c>
      <c r="K31" s="1861">
        <f t="shared" si="23"/>
        <v>0</v>
      </c>
      <c r="L31" s="1862">
        <f t="shared" si="23"/>
        <v>0</v>
      </c>
      <c r="M31" s="1855">
        <f>+M33+M34+M35</f>
        <v>2303997</v>
      </c>
      <c r="N31" s="1855">
        <f>+N33+N34+N35</f>
        <v>0</v>
      </c>
      <c r="O31" s="3150"/>
      <c r="Q31" s="3137"/>
      <c r="R31" s="3137"/>
      <c r="S31" s="3137"/>
    </row>
    <row r="32" spans="1:19" s="353" customFormat="1" ht="13.5" customHeight="1">
      <c r="A32" s="3147"/>
      <c r="B32" s="1856" t="s">
        <v>125</v>
      </c>
      <c r="C32" s="3139"/>
      <c r="D32" s="251">
        <f>E32+F32+G32+H32+I32+J32+K32+L32</f>
        <v>21471178</v>
      </c>
      <c r="E32" s="1863">
        <f>14284322</f>
        <v>14284322</v>
      </c>
      <c r="F32" s="736">
        <f>7186856</f>
        <v>7186856</v>
      </c>
      <c r="G32" s="748">
        <v>0</v>
      </c>
      <c r="H32" s="748">
        <v>0</v>
      </c>
      <c r="I32" s="748">
        <v>0</v>
      </c>
      <c r="J32" s="748">
        <v>0</v>
      </c>
      <c r="K32" s="748">
        <v>0</v>
      </c>
      <c r="L32" s="1864">
        <v>0</v>
      </c>
      <c r="M32" s="1830" t="s">
        <v>61</v>
      </c>
      <c r="N32" s="1830" t="s">
        <v>61</v>
      </c>
      <c r="O32" s="3151"/>
      <c r="Q32" s="3137"/>
      <c r="R32" s="3137"/>
      <c r="S32" s="3137"/>
    </row>
    <row r="33" spans="1:19" s="353" customFormat="1" ht="13.5" customHeight="1">
      <c r="A33" s="3147"/>
      <c r="B33" s="1857" t="s">
        <v>126</v>
      </c>
      <c r="C33" s="3139"/>
      <c r="D33" s="251">
        <f>E33+F33+G33+H33+I33+J33+K33+L33</f>
        <v>24903655</v>
      </c>
      <c r="E33" s="1863">
        <f>24903655</f>
        <v>24903655</v>
      </c>
      <c r="F33" s="748">
        <v>0</v>
      </c>
      <c r="G33" s="748">
        <v>0</v>
      </c>
      <c r="H33" s="748">
        <v>0</v>
      </c>
      <c r="I33" s="748">
        <v>0</v>
      </c>
      <c r="J33" s="748">
        <v>0</v>
      </c>
      <c r="K33" s="748">
        <v>0</v>
      </c>
      <c r="L33" s="1864">
        <v>0</v>
      </c>
      <c r="M33" s="1858">
        <f t="shared" ref="M33:N35" si="24">SUM(F33:K33)</f>
        <v>0</v>
      </c>
      <c r="N33" s="1858">
        <f t="shared" si="24"/>
        <v>0</v>
      </c>
      <c r="O33" s="3151"/>
      <c r="Q33" s="3137"/>
      <c r="R33" s="3137"/>
      <c r="S33" s="3137"/>
    </row>
    <row r="34" spans="1:19" s="353" customFormat="1" ht="12" customHeight="1">
      <c r="A34" s="3147"/>
      <c r="B34" s="137" t="s">
        <v>13</v>
      </c>
      <c r="C34" s="3139"/>
      <c r="D34" s="251">
        <f>E34+F34+G34+H34+I34+J34+K34+L34</f>
        <v>29452281</v>
      </c>
      <c r="E34" s="1863">
        <f>27148284</f>
        <v>27148284</v>
      </c>
      <c r="F34" s="736">
        <f>2303997</f>
        <v>2303997</v>
      </c>
      <c r="G34" s="1865">
        <v>0</v>
      </c>
      <c r="H34" s="1865">
        <v>0</v>
      </c>
      <c r="I34" s="1865">
        <v>0</v>
      </c>
      <c r="J34" s="1865">
        <v>0</v>
      </c>
      <c r="K34" s="1865">
        <v>0</v>
      </c>
      <c r="L34" s="1866">
        <v>0</v>
      </c>
      <c r="M34" s="1858">
        <f>SUM(F34:K34)</f>
        <v>2303997</v>
      </c>
      <c r="N34" s="1858">
        <f t="shared" si="24"/>
        <v>0</v>
      </c>
      <c r="O34" s="3151"/>
      <c r="Q34" s="3137"/>
      <c r="R34" s="3137"/>
      <c r="S34" s="3137"/>
    </row>
    <row r="35" spans="1:19" s="353" customFormat="1" ht="13.5" customHeight="1">
      <c r="A35" s="3147"/>
      <c r="B35" s="137" t="s">
        <v>123</v>
      </c>
      <c r="C35" s="3139"/>
      <c r="D35" s="251">
        <f>E35+F35+G35+H35+I35+J35+K35+L35</f>
        <v>6200000</v>
      </c>
      <c r="E35" s="1863">
        <f>6200000</f>
        <v>6200000</v>
      </c>
      <c r="F35" s="748">
        <v>0</v>
      </c>
      <c r="G35" s="251">
        <v>0</v>
      </c>
      <c r="H35" s="1865">
        <v>0</v>
      </c>
      <c r="I35" s="1865">
        <v>0</v>
      </c>
      <c r="J35" s="1865">
        <v>0</v>
      </c>
      <c r="K35" s="1865">
        <v>0</v>
      </c>
      <c r="L35" s="1866">
        <v>0</v>
      </c>
      <c r="M35" s="1858">
        <f t="shared" si="24"/>
        <v>0</v>
      </c>
      <c r="N35" s="1858">
        <f t="shared" si="24"/>
        <v>0</v>
      </c>
      <c r="O35" s="3151"/>
      <c r="Q35" s="3137"/>
      <c r="R35" s="3137"/>
      <c r="S35" s="3137"/>
    </row>
    <row r="36" spans="1:19" s="353" customFormat="1" ht="18.75" hidden="1" customHeight="1">
      <c r="A36" s="3147"/>
      <c r="B36" s="1857" t="s">
        <v>18</v>
      </c>
      <c r="C36" s="3140"/>
      <c r="D36" s="251">
        <f>+D37</f>
        <v>0</v>
      </c>
      <c r="E36" s="1863"/>
      <c r="F36" s="736"/>
      <c r="G36" s="251"/>
      <c r="H36" s="1867"/>
      <c r="I36" s="1868"/>
      <c r="J36" s="1868"/>
      <c r="K36" s="1869"/>
      <c r="L36" s="1868"/>
      <c r="M36" s="1847"/>
      <c r="N36" s="1847"/>
      <c r="O36" s="3151"/>
      <c r="Q36" s="3137"/>
      <c r="R36" s="3137"/>
      <c r="S36" s="3137"/>
    </row>
    <row r="37" spans="1:19" s="353" customFormat="1" ht="16.5" hidden="1" customHeight="1">
      <c r="A37" s="3147"/>
      <c r="B37" s="137" t="s">
        <v>35</v>
      </c>
      <c r="C37" s="1870"/>
      <c r="D37" s="251">
        <v>0</v>
      </c>
      <c r="E37" s="1863"/>
      <c r="F37" s="748"/>
      <c r="G37" s="251"/>
      <c r="H37" s="1867"/>
      <c r="I37" s="1867"/>
      <c r="J37" s="1868"/>
      <c r="K37" s="1869"/>
      <c r="L37" s="1867"/>
      <c r="M37" s="1871"/>
      <c r="N37" s="1871"/>
      <c r="O37" s="3151"/>
      <c r="Q37" s="3137"/>
      <c r="R37" s="3137"/>
      <c r="S37" s="3137"/>
    </row>
    <row r="38" spans="1:19" s="353" customFormat="1" ht="13.5" customHeight="1">
      <c r="A38" s="3147"/>
      <c r="B38" s="538" t="s">
        <v>22</v>
      </c>
      <c r="C38" s="1859"/>
      <c r="D38" s="733">
        <f>D40+D41</f>
        <v>35652281</v>
      </c>
      <c r="E38" s="733">
        <f t="shared" ref="E38" si="25">E40+E41</f>
        <v>33348284</v>
      </c>
      <c r="F38" s="733">
        <f t="shared" ref="F38:L38" si="26">+F39</f>
        <v>2303997</v>
      </c>
      <c r="G38" s="1852">
        <f t="shared" si="26"/>
        <v>0</v>
      </c>
      <c r="H38" s="1852">
        <f t="shared" si="26"/>
        <v>0</v>
      </c>
      <c r="I38" s="1852">
        <f t="shared" si="26"/>
        <v>0</v>
      </c>
      <c r="J38" s="1852">
        <f t="shared" si="26"/>
        <v>0</v>
      </c>
      <c r="K38" s="1852">
        <f t="shared" si="26"/>
        <v>0</v>
      </c>
      <c r="L38" s="1860">
        <f t="shared" si="26"/>
        <v>0</v>
      </c>
      <c r="M38" s="3144" t="s">
        <v>61</v>
      </c>
      <c r="N38" s="3144" t="s">
        <v>61</v>
      </c>
      <c r="O38" s="3151"/>
      <c r="Q38" s="3137"/>
      <c r="R38" s="3137"/>
      <c r="S38" s="3137"/>
    </row>
    <row r="39" spans="1:19" s="341" customFormat="1" ht="13.5" customHeight="1">
      <c r="A39" s="3147"/>
      <c r="B39" s="694" t="s">
        <v>24</v>
      </c>
      <c r="C39" s="3141" t="s">
        <v>124</v>
      </c>
      <c r="D39" s="1873">
        <f>+D40+D41</f>
        <v>35652281</v>
      </c>
      <c r="E39" s="1873">
        <f t="shared" ref="E39" si="27">+E40+E41</f>
        <v>33348284</v>
      </c>
      <c r="F39" s="1873">
        <f t="shared" ref="F39:L39" si="28">+F40+F41</f>
        <v>2303997</v>
      </c>
      <c r="G39" s="1876">
        <f t="shared" si="28"/>
        <v>0</v>
      </c>
      <c r="H39" s="1876">
        <f t="shared" si="28"/>
        <v>0</v>
      </c>
      <c r="I39" s="1876">
        <f t="shared" si="28"/>
        <v>0</v>
      </c>
      <c r="J39" s="1876">
        <f t="shared" si="28"/>
        <v>0</v>
      </c>
      <c r="K39" s="1876">
        <f t="shared" si="28"/>
        <v>0</v>
      </c>
      <c r="L39" s="1896">
        <f t="shared" si="28"/>
        <v>0</v>
      </c>
      <c r="M39" s="3145"/>
      <c r="N39" s="3145"/>
      <c r="O39" s="3151"/>
      <c r="Q39" s="3137"/>
      <c r="R39" s="3137"/>
      <c r="S39" s="3137"/>
    </row>
    <row r="40" spans="1:19" s="353" customFormat="1" ht="13.5" customHeight="1">
      <c r="A40" s="3147"/>
      <c r="B40" s="137" t="s">
        <v>13</v>
      </c>
      <c r="C40" s="3142"/>
      <c r="D40" s="251">
        <f>E40+F40+G40+H40+I40+J40+K40+L40</f>
        <v>29452281</v>
      </c>
      <c r="E40" s="1863">
        <f>27148284</f>
        <v>27148284</v>
      </c>
      <c r="F40" s="1863">
        <f>2303997</f>
        <v>2303997</v>
      </c>
      <c r="G40" s="1865">
        <v>0</v>
      </c>
      <c r="H40" s="1865">
        <v>0</v>
      </c>
      <c r="I40" s="1865">
        <v>0</v>
      </c>
      <c r="J40" s="1865">
        <v>0</v>
      </c>
      <c r="K40" s="1865">
        <v>0</v>
      </c>
      <c r="L40" s="1866">
        <v>0</v>
      </c>
      <c r="M40" s="3145"/>
      <c r="N40" s="3145"/>
      <c r="O40" s="3151"/>
    </row>
    <row r="41" spans="1:19" s="353" customFormat="1" ht="15" customHeight="1" thickBot="1">
      <c r="A41" s="3148"/>
      <c r="B41" s="305" t="s">
        <v>123</v>
      </c>
      <c r="C41" s="3143"/>
      <c r="D41" s="2459">
        <f>E41+F41+G41+H41+I41+J41+K41+L41</f>
        <v>6200000</v>
      </c>
      <c r="E41" s="2460">
        <f>6200000</f>
        <v>6200000</v>
      </c>
      <c r="F41" s="747">
        <v>0</v>
      </c>
      <c r="G41" s="747">
        <v>0</v>
      </c>
      <c r="H41" s="747">
        <v>0</v>
      </c>
      <c r="I41" s="747">
        <v>0</v>
      </c>
      <c r="J41" s="747">
        <v>0</v>
      </c>
      <c r="K41" s="747">
        <v>0</v>
      </c>
      <c r="L41" s="1705">
        <v>0</v>
      </c>
      <c r="M41" s="3146"/>
      <c r="N41" s="3146"/>
      <c r="O41" s="3152"/>
    </row>
    <row r="42" spans="1:19" s="353" customFormat="1" ht="28.5" customHeight="1">
      <c r="A42" s="3130" t="s">
        <v>64</v>
      </c>
      <c r="B42" s="1712" t="s">
        <v>432</v>
      </c>
      <c r="C42" s="731" t="s">
        <v>109</v>
      </c>
      <c r="D42" s="1849"/>
      <c r="E42" s="1894"/>
      <c r="F42" s="1894"/>
      <c r="G42" s="1894"/>
      <c r="H42" s="1894"/>
      <c r="I42" s="1894"/>
      <c r="J42" s="1894"/>
      <c r="K42" s="1894"/>
      <c r="L42" s="1849"/>
      <c r="M42" s="1851"/>
      <c r="N42" s="1851"/>
      <c r="O42" s="3133" t="s">
        <v>469</v>
      </c>
    </row>
    <row r="43" spans="1:19" s="353" customFormat="1" ht="13.5" customHeight="1">
      <c r="A43" s="3131"/>
      <c r="B43" s="538" t="s">
        <v>10</v>
      </c>
      <c r="C43" s="2644"/>
      <c r="D43" s="2645">
        <f>+D44</f>
        <v>8000000</v>
      </c>
      <c r="E43" s="2645">
        <f t="shared" ref="E43:N43" si="29">+E44</f>
        <v>1660000</v>
      </c>
      <c r="F43" s="2645">
        <f t="shared" si="29"/>
        <v>1080000</v>
      </c>
      <c r="G43" s="2645">
        <f t="shared" si="29"/>
        <v>1080000</v>
      </c>
      <c r="H43" s="2645">
        <f t="shared" si="29"/>
        <v>1080000</v>
      </c>
      <c r="I43" s="2645">
        <f t="shared" si="29"/>
        <v>1080000</v>
      </c>
      <c r="J43" s="2645">
        <f t="shared" si="29"/>
        <v>1080000</v>
      </c>
      <c r="K43" s="2645">
        <f t="shared" si="29"/>
        <v>940000</v>
      </c>
      <c r="L43" s="2646">
        <f t="shared" si="29"/>
        <v>0</v>
      </c>
      <c r="M43" s="2647">
        <f t="shared" si="29"/>
        <v>5260000</v>
      </c>
      <c r="N43" s="2647">
        <f t="shared" si="29"/>
        <v>5260000</v>
      </c>
      <c r="O43" s="3134"/>
    </row>
    <row r="44" spans="1:19" s="341" customFormat="1" ht="16.5" customHeight="1">
      <c r="A44" s="3131"/>
      <c r="B44" s="734" t="s">
        <v>24</v>
      </c>
      <c r="C44" s="3136" t="s">
        <v>127</v>
      </c>
      <c r="D44" s="2161">
        <f>+D45+D46</f>
        <v>8000000</v>
      </c>
      <c r="E44" s="2161">
        <f t="shared" ref="E44" si="30">+E45+E46</f>
        <v>1660000</v>
      </c>
      <c r="F44" s="2161">
        <f t="shared" ref="F44:L44" si="31">+F45+F46</f>
        <v>1080000</v>
      </c>
      <c r="G44" s="2161">
        <f t="shared" si="31"/>
        <v>1080000</v>
      </c>
      <c r="H44" s="2161">
        <f t="shared" si="31"/>
        <v>1080000</v>
      </c>
      <c r="I44" s="2161">
        <f t="shared" si="31"/>
        <v>1080000</v>
      </c>
      <c r="J44" s="2161">
        <f t="shared" si="31"/>
        <v>1080000</v>
      </c>
      <c r="K44" s="2161">
        <f t="shared" si="31"/>
        <v>940000</v>
      </c>
      <c r="L44" s="2648">
        <f t="shared" si="31"/>
        <v>0</v>
      </c>
      <c r="M44" s="2649">
        <f>+M46</f>
        <v>5260000</v>
      </c>
      <c r="N44" s="2649">
        <f>+N46</f>
        <v>5260000</v>
      </c>
      <c r="O44" s="3134"/>
    </row>
    <row r="45" spans="1:19" s="341" customFormat="1" ht="13.5" customHeight="1">
      <c r="A45" s="3131"/>
      <c r="B45" s="1856" t="s">
        <v>125</v>
      </c>
      <c r="C45" s="3125"/>
      <c r="D45" s="1034">
        <f>E45+F45+G45+H45+I45+J45+K45+L45</f>
        <v>2740000</v>
      </c>
      <c r="E45" s="2406">
        <v>1660000</v>
      </c>
      <c r="F45" s="2209">
        <v>1080000</v>
      </c>
      <c r="G45" s="2209">
        <v>0</v>
      </c>
      <c r="H45" s="2209">
        <v>0</v>
      </c>
      <c r="I45" s="2209">
        <v>0</v>
      </c>
      <c r="J45" s="2209">
        <v>0</v>
      </c>
      <c r="K45" s="2209">
        <v>0</v>
      </c>
      <c r="L45" s="2650">
        <v>0</v>
      </c>
      <c r="M45" s="2651">
        <f>SUM(F45:K45)</f>
        <v>1080000</v>
      </c>
      <c r="N45" s="2651">
        <f>SUM(G45:L45)</f>
        <v>0</v>
      </c>
      <c r="O45" s="3134"/>
    </row>
    <row r="46" spans="1:19" s="341" customFormat="1" ht="13.5" customHeight="1" thickBot="1">
      <c r="A46" s="3132"/>
      <c r="B46" s="1874" t="s">
        <v>128</v>
      </c>
      <c r="C46" s="3126"/>
      <c r="D46" s="2222">
        <f>E46+F46+G46+H46+I46+J46+K46+L46</f>
        <v>5260000</v>
      </c>
      <c r="E46" s="2460">
        <v>0</v>
      </c>
      <c r="F46" s="2652">
        <v>0</v>
      </c>
      <c r="G46" s="2224">
        <v>1080000</v>
      </c>
      <c r="H46" s="2224">
        <v>1080000</v>
      </c>
      <c r="I46" s="2224">
        <v>1080000</v>
      </c>
      <c r="J46" s="2224">
        <v>1080000</v>
      </c>
      <c r="K46" s="2224">
        <v>940000</v>
      </c>
      <c r="L46" s="2653">
        <v>0</v>
      </c>
      <c r="M46" s="2654">
        <f>SUM(F46:L46)</f>
        <v>5260000</v>
      </c>
      <c r="N46" s="2654">
        <f>SUM(G46:L46)</f>
        <v>5260000</v>
      </c>
      <c r="O46" s="3135"/>
    </row>
    <row r="47" spans="1:19" s="341" customFormat="1" ht="48.75" customHeight="1">
      <c r="A47" s="3130" t="s">
        <v>65</v>
      </c>
      <c r="B47" s="2655" t="s">
        <v>426</v>
      </c>
      <c r="C47" s="731" t="s">
        <v>109</v>
      </c>
      <c r="D47" s="1849"/>
      <c r="E47" s="1894"/>
      <c r="F47" s="1894"/>
      <c r="G47" s="1894"/>
      <c r="H47" s="1894"/>
      <c r="I47" s="1894"/>
      <c r="J47" s="539"/>
      <c r="K47" s="539"/>
      <c r="L47" s="2656"/>
      <c r="M47" s="2657"/>
      <c r="N47" s="2657"/>
      <c r="O47" s="3127" t="s">
        <v>300</v>
      </c>
    </row>
    <row r="48" spans="1:19" s="341" customFormat="1" ht="13.5" customHeight="1">
      <c r="A48" s="3131"/>
      <c r="B48" s="538" t="s">
        <v>10</v>
      </c>
      <c r="C48" s="1848"/>
      <c r="D48" s="2658">
        <f>+D49</f>
        <v>2799999.64</v>
      </c>
      <c r="E48" s="2658">
        <f t="shared" ref="E48" si="32">+E49</f>
        <v>116666.64</v>
      </c>
      <c r="F48" s="2658">
        <f t="shared" ref="F48:L48" si="33">+F49</f>
        <v>233333</v>
      </c>
      <c r="G48" s="2658">
        <f t="shared" si="33"/>
        <v>233333</v>
      </c>
      <c r="H48" s="2658">
        <f t="shared" si="33"/>
        <v>233333</v>
      </c>
      <c r="I48" s="2658">
        <f t="shared" si="33"/>
        <v>233333</v>
      </c>
      <c r="J48" s="2658">
        <f t="shared" si="33"/>
        <v>233333</v>
      </c>
      <c r="K48" s="2658">
        <f t="shared" si="33"/>
        <v>233333</v>
      </c>
      <c r="L48" s="2658">
        <f t="shared" si="33"/>
        <v>233333</v>
      </c>
      <c r="M48" s="2659">
        <f>+M49</f>
        <v>2450000</v>
      </c>
      <c r="N48" s="2659">
        <f>+N49</f>
        <v>2450000</v>
      </c>
      <c r="O48" s="3128"/>
    </row>
    <row r="49" spans="1:22" s="341" customFormat="1" ht="13.5" customHeight="1">
      <c r="A49" s="3131"/>
      <c r="B49" s="734" t="s">
        <v>24</v>
      </c>
      <c r="C49" s="3124" t="s">
        <v>127</v>
      </c>
      <c r="D49" s="1878">
        <f>+D51+D50</f>
        <v>2799999.64</v>
      </c>
      <c r="E49" s="1878">
        <f>+E50</f>
        <v>116666.64</v>
      </c>
      <c r="F49" s="1878">
        <f t="shared" ref="F49:L49" si="34">+F50+F51</f>
        <v>233333</v>
      </c>
      <c r="G49" s="1878">
        <f t="shared" si="34"/>
        <v>233333</v>
      </c>
      <c r="H49" s="1878">
        <f t="shared" si="34"/>
        <v>233333</v>
      </c>
      <c r="I49" s="1878">
        <f t="shared" si="34"/>
        <v>233333</v>
      </c>
      <c r="J49" s="1878">
        <f t="shared" si="34"/>
        <v>233333</v>
      </c>
      <c r="K49" s="1878">
        <f t="shared" si="34"/>
        <v>233333</v>
      </c>
      <c r="L49" s="1878">
        <f t="shared" si="34"/>
        <v>233333</v>
      </c>
      <c r="M49" s="1872">
        <f>+M51</f>
        <v>2450000</v>
      </c>
      <c r="N49" s="1872">
        <f>+N51</f>
        <v>2450000</v>
      </c>
      <c r="O49" s="3128"/>
    </row>
    <row r="50" spans="1:22" s="341" customFormat="1" ht="12.75" customHeight="1">
      <c r="A50" s="3131"/>
      <c r="B50" s="1856" t="s">
        <v>125</v>
      </c>
      <c r="C50" s="3125"/>
      <c r="D50" s="251">
        <f>E50+F50+G50+H50+I50+J50+K50+L50</f>
        <v>349999.64</v>
      </c>
      <c r="E50" s="1863">
        <v>116666.64</v>
      </c>
      <c r="F50" s="1879">
        <v>233333</v>
      </c>
      <c r="G50" s="1879">
        <v>0</v>
      </c>
      <c r="H50" s="1879">
        <v>0</v>
      </c>
      <c r="I50" s="1879">
        <v>0</v>
      </c>
      <c r="J50" s="1879"/>
      <c r="K50" s="1879"/>
      <c r="L50" s="1879"/>
      <c r="M50" s="1858">
        <f>SUM(F50:K50)</f>
        <v>233333</v>
      </c>
      <c r="N50" s="1858">
        <f>SUM(G50:L50)</f>
        <v>0</v>
      </c>
      <c r="O50" s="3128"/>
    </row>
    <row r="51" spans="1:22" s="341" customFormat="1" ht="13.5" customHeight="1" thickBot="1">
      <c r="A51" s="3132"/>
      <c r="B51" s="1874" t="s">
        <v>128</v>
      </c>
      <c r="C51" s="3126"/>
      <c r="D51" s="1026">
        <f>E51+F51+G51+H51+I51+J51+K51+L51+P51</f>
        <v>2450000</v>
      </c>
      <c r="E51" s="1030">
        <v>0</v>
      </c>
      <c r="F51" s="612">
        <v>0</v>
      </c>
      <c r="G51" s="612">
        <v>233333</v>
      </c>
      <c r="H51" s="612">
        <v>233333</v>
      </c>
      <c r="I51" s="612">
        <v>233333</v>
      </c>
      <c r="J51" s="612">
        <v>233333</v>
      </c>
      <c r="K51" s="612">
        <v>233333</v>
      </c>
      <c r="L51" s="612">
        <v>233333</v>
      </c>
      <c r="M51" s="1858">
        <f>SUM(F51:L51)+1050002</f>
        <v>2450000</v>
      </c>
      <c r="N51" s="1858">
        <f>SUM(G51:L51)+1050002</f>
        <v>2450000</v>
      </c>
      <c r="O51" s="3129"/>
      <c r="P51" s="1875">
        <v>1050002</v>
      </c>
      <c r="Q51" s="1838">
        <f>+P51+P56</f>
        <v>34307447</v>
      </c>
    </row>
    <row r="52" spans="1:22" s="353" customFormat="1" ht="42" customHeight="1">
      <c r="A52" s="3130" t="s">
        <v>66</v>
      </c>
      <c r="B52" s="1712" t="s">
        <v>429</v>
      </c>
      <c r="C52" s="731" t="s">
        <v>109</v>
      </c>
      <c r="D52" s="1849"/>
      <c r="E52" s="1894"/>
      <c r="F52" s="1894"/>
      <c r="G52" s="1894"/>
      <c r="H52" s="1894"/>
      <c r="I52" s="1894"/>
      <c r="J52" s="1894"/>
      <c r="K52" s="1850"/>
      <c r="L52" s="1849"/>
      <c r="M52" s="1851"/>
      <c r="N52" s="1851"/>
      <c r="O52" s="3121" t="s">
        <v>370</v>
      </c>
    </row>
    <row r="53" spans="1:22" s="353" customFormat="1" ht="13.5" customHeight="1">
      <c r="A53" s="3131"/>
      <c r="B53" s="538" t="s">
        <v>10</v>
      </c>
      <c r="C53" s="1848"/>
      <c r="D53" s="733">
        <f>+D54</f>
        <v>55755125</v>
      </c>
      <c r="E53" s="733">
        <f t="shared" ref="E53:L53" si="35">+E54</f>
        <v>0</v>
      </c>
      <c r="F53" s="1852">
        <f t="shared" si="35"/>
        <v>0</v>
      </c>
      <c r="G53" s="733">
        <f t="shared" si="35"/>
        <v>2934480</v>
      </c>
      <c r="H53" s="733">
        <f t="shared" si="35"/>
        <v>3912640</v>
      </c>
      <c r="I53" s="733">
        <f t="shared" si="35"/>
        <v>3912640</v>
      </c>
      <c r="J53" s="733">
        <f t="shared" si="35"/>
        <v>3912640</v>
      </c>
      <c r="K53" s="733">
        <f t="shared" si="35"/>
        <v>3912640</v>
      </c>
      <c r="L53" s="733">
        <f t="shared" si="35"/>
        <v>3912640</v>
      </c>
      <c r="M53" s="1853">
        <f>+M54</f>
        <v>55755125</v>
      </c>
      <c r="N53" s="1853">
        <f>+N54</f>
        <v>55755125</v>
      </c>
      <c r="O53" s="3122"/>
    </row>
    <row r="54" spans="1:22" s="341" customFormat="1" ht="13.5" customHeight="1">
      <c r="A54" s="3131"/>
      <c r="B54" s="734" t="s">
        <v>24</v>
      </c>
      <c r="C54" s="3124" t="s">
        <v>127</v>
      </c>
      <c r="D54" s="1873">
        <f>+D55+D56</f>
        <v>55755125</v>
      </c>
      <c r="E54" s="1873">
        <f t="shared" ref="E54" si="36">+E55+E56</f>
        <v>0</v>
      </c>
      <c r="F54" s="1876">
        <f t="shared" ref="F54:L54" si="37">+F55+F56</f>
        <v>0</v>
      </c>
      <c r="G54" s="1873">
        <f t="shared" si="37"/>
        <v>2934480</v>
      </c>
      <c r="H54" s="1873">
        <f t="shared" si="37"/>
        <v>3912640</v>
      </c>
      <c r="I54" s="1873">
        <f t="shared" si="37"/>
        <v>3912640</v>
      </c>
      <c r="J54" s="1873">
        <f t="shared" si="37"/>
        <v>3912640</v>
      </c>
      <c r="K54" s="1873">
        <f t="shared" si="37"/>
        <v>3912640</v>
      </c>
      <c r="L54" s="1873">
        <f t="shared" si="37"/>
        <v>3912640</v>
      </c>
      <c r="M54" s="1872">
        <f>+M55+M56</f>
        <v>55755125</v>
      </c>
      <c r="N54" s="1872">
        <f>+N55+N56</f>
        <v>55755125</v>
      </c>
      <c r="O54" s="3122"/>
      <c r="Q54" s="1838"/>
    </row>
    <row r="55" spans="1:22" s="341" customFormat="1" ht="13.5" hidden="1" customHeight="1">
      <c r="A55" s="3131"/>
      <c r="B55" s="1856" t="s">
        <v>125</v>
      </c>
      <c r="C55" s="3125"/>
      <c r="D55" s="251">
        <f>E55+F55+G55+H55+I55+J55+K55+L55</f>
        <v>0</v>
      </c>
      <c r="E55" s="1863">
        <v>0</v>
      </c>
      <c r="F55" s="741">
        <v>0</v>
      </c>
      <c r="G55" s="741">
        <v>0</v>
      </c>
      <c r="H55" s="741">
        <v>0</v>
      </c>
      <c r="I55" s="741">
        <v>0</v>
      </c>
      <c r="J55" s="741">
        <v>0</v>
      </c>
      <c r="K55" s="742">
        <v>0</v>
      </c>
      <c r="L55" s="742">
        <v>0</v>
      </c>
      <c r="M55" s="1858">
        <f>SUM(F55:K55)</f>
        <v>0</v>
      </c>
      <c r="N55" s="1858">
        <f>SUM(G55:L55)</f>
        <v>0</v>
      </c>
      <c r="O55" s="3122"/>
    </row>
    <row r="56" spans="1:22" s="341" customFormat="1" ht="13.5" customHeight="1" thickBot="1">
      <c r="A56" s="3132"/>
      <c r="B56" s="1874" t="s">
        <v>128</v>
      </c>
      <c r="C56" s="3126"/>
      <c r="D56" s="1026">
        <f>E56+F56+G56+H56+I56+J56+K56+L56+P56</f>
        <v>55755125</v>
      </c>
      <c r="E56" s="1030">
        <v>0</v>
      </c>
      <c r="F56" s="699">
        <v>0</v>
      </c>
      <c r="G56" s="612">
        <v>2934480</v>
      </c>
      <c r="H56" s="612">
        <v>3912640</v>
      </c>
      <c r="I56" s="612">
        <v>3912640</v>
      </c>
      <c r="J56" s="612">
        <v>3912640</v>
      </c>
      <c r="K56" s="612">
        <v>3912640</v>
      </c>
      <c r="L56" s="612">
        <v>3912640</v>
      </c>
      <c r="M56" s="1877">
        <f>+K56+J56+I56+H56+G56+F56+L56+33257445</f>
        <v>55755125</v>
      </c>
      <c r="N56" s="1877">
        <f>+L56+K56+J56+I56+H56+G56+33257445</f>
        <v>55755125</v>
      </c>
      <c r="O56" s="3123"/>
      <c r="P56" s="1875">
        <v>33257445</v>
      </c>
    </row>
    <row r="57" spans="1:22" s="1880" customFormat="1" ht="13.5" customHeight="1">
      <c r="A57" s="3168"/>
      <c r="B57" s="3168"/>
      <c r="C57" s="3168"/>
      <c r="D57" s="3168"/>
      <c r="E57" s="3168"/>
      <c r="F57" s="3168"/>
      <c r="G57" s="3168"/>
      <c r="H57" s="3168"/>
      <c r="I57" s="3168"/>
      <c r="J57" s="3168"/>
      <c r="K57" s="3168"/>
      <c r="L57" s="3168"/>
      <c r="M57" s="3168"/>
      <c r="N57" s="3168"/>
      <c r="O57" s="3168"/>
    </row>
    <row r="58" spans="1:22" s="331" customFormat="1" ht="12.75" customHeight="1">
      <c r="A58" s="3169" t="s">
        <v>427</v>
      </c>
      <c r="B58" s="3169"/>
      <c r="C58" s="3169"/>
      <c r="D58" s="3169"/>
      <c r="E58" s="3169"/>
      <c r="F58" s="3169"/>
      <c r="G58" s="3169"/>
      <c r="H58" s="3169"/>
      <c r="I58" s="3169"/>
      <c r="J58" s="3169"/>
      <c r="K58" s="3169"/>
      <c r="L58" s="3169"/>
    </row>
    <row r="59" spans="1:22" s="331" customFormat="1" ht="12.75" customHeight="1">
      <c r="A59" s="3169" t="s">
        <v>428</v>
      </c>
      <c r="B59" s="3169"/>
      <c r="C59" s="3169"/>
      <c r="D59" s="3169"/>
      <c r="E59" s="3169"/>
      <c r="F59" s="3169"/>
      <c r="G59" s="3169"/>
      <c r="H59" s="3169"/>
      <c r="I59" s="3169"/>
      <c r="J59" s="2548"/>
      <c r="K59" s="2548"/>
      <c r="L59" s="2548"/>
    </row>
    <row r="60" spans="1:22" s="1880" customFormat="1" ht="13.5" customHeight="1">
      <c r="A60" s="3168"/>
      <c r="B60" s="3168"/>
      <c r="C60" s="3168"/>
      <c r="D60" s="3168"/>
      <c r="E60" s="3168"/>
      <c r="F60" s="3168"/>
      <c r="G60" s="3168"/>
      <c r="H60" s="3168"/>
      <c r="I60" s="3168"/>
      <c r="J60" s="3168"/>
      <c r="K60" s="3168"/>
      <c r="L60" s="3168"/>
      <c r="M60" s="3168"/>
      <c r="N60" s="3168"/>
      <c r="O60" s="3168"/>
    </row>
    <row r="61" spans="1:22" s="1881" customFormat="1" ht="12.75" hidden="1" customHeight="1">
      <c r="E61" s="1882"/>
      <c r="F61" s="323"/>
      <c r="G61" s="323"/>
      <c r="H61" s="323"/>
      <c r="I61" s="323"/>
      <c r="J61" s="323"/>
      <c r="K61" s="323"/>
      <c r="L61" s="323"/>
      <c r="M61" s="323"/>
      <c r="N61" s="323"/>
      <c r="O61" s="392"/>
    </row>
    <row r="62" spans="1:22" s="353" customFormat="1" ht="10.5" hidden="1" customHeight="1">
      <c r="A62" s="322"/>
      <c r="B62" s="323"/>
      <c r="C62" s="326"/>
      <c r="D62" s="326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92"/>
    </row>
    <row r="63" spans="1:22" s="1880" customFormat="1" ht="15.75" hidden="1" customHeight="1">
      <c r="B63" s="323"/>
      <c r="C63" s="323"/>
      <c r="D63" s="323"/>
      <c r="E63" s="323"/>
      <c r="F63" s="1883">
        <v>2017</v>
      </c>
      <c r="G63" s="1883">
        <v>2018</v>
      </c>
      <c r="H63" s="1883">
        <v>2019</v>
      </c>
      <c r="I63" s="1883">
        <v>2020</v>
      </c>
      <c r="J63" s="1883">
        <v>2021</v>
      </c>
      <c r="K63" s="1883">
        <v>2022</v>
      </c>
      <c r="L63" s="1883">
        <v>2023</v>
      </c>
      <c r="M63" s="1883">
        <v>2024</v>
      </c>
      <c r="N63" s="1883">
        <v>2024</v>
      </c>
      <c r="O63" s="1883">
        <v>2025</v>
      </c>
      <c r="P63" s="1883">
        <v>2026</v>
      </c>
      <c r="Q63" s="1883">
        <v>2027</v>
      </c>
      <c r="R63" s="1883">
        <v>2028</v>
      </c>
      <c r="S63" s="1883">
        <v>2029</v>
      </c>
      <c r="T63" s="1883">
        <v>2030</v>
      </c>
      <c r="U63" s="1883">
        <v>2031</v>
      </c>
      <c r="V63" s="1883">
        <v>2032</v>
      </c>
    </row>
    <row r="64" spans="1:22" s="1880" customFormat="1" ht="15.75" hidden="1" customHeight="1">
      <c r="A64" s="322"/>
      <c r="B64" s="1884" t="s">
        <v>218</v>
      </c>
      <c r="C64" s="1884"/>
      <c r="D64" s="1885"/>
      <c r="E64" s="1884"/>
      <c r="F64" s="1886">
        <f>+F46+F51+F56</f>
        <v>0</v>
      </c>
      <c r="G64" s="1886">
        <f t="shared" ref="G64:K64" si="38">+G46+G51+G56</f>
        <v>4247813</v>
      </c>
      <c r="H64" s="1886">
        <f t="shared" si="38"/>
        <v>5225973</v>
      </c>
      <c r="I64" s="1886">
        <f t="shared" si="38"/>
        <v>5225973</v>
      </c>
      <c r="J64" s="1886">
        <f t="shared" si="38"/>
        <v>5225973</v>
      </c>
      <c r="K64" s="1886">
        <f t="shared" si="38"/>
        <v>5085973</v>
      </c>
      <c r="L64" s="1886">
        <f>+L46+L51+L56</f>
        <v>4145973</v>
      </c>
      <c r="M64" s="1886">
        <f>4145973</f>
        <v>4145973</v>
      </c>
      <c r="N64" s="1886"/>
      <c r="O64" s="1886">
        <v>4145973</v>
      </c>
      <c r="P64" s="1886">
        <v>4145973</v>
      </c>
      <c r="Q64" s="1886">
        <v>4145973</v>
      </c>
      <c r="R64" s="1886">
        <v>4029310</v>
      </c>
      <c r="S64" s="1886">
        <v>3912640</v>
      </c>
      <c r="T64" s="1886">
        <v>3912640</v>
      </c>
      <c r="U64" s="1886">
        <v>3912640</v>
      </c>
      <c r="V64" s="1886">
        <v>1956325</v>
      </c>
    </row>
    <row r="65" spans="1:22" s="1880" customFormat="1" ht="15.75" hidden="1" customHeight="1">
      <c r="A65" s="322"/>
      <c r="B65" s="323"/>
      <c r="C65" s="323"/>
      <c r="D65" s="326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92"/>
      <c r="V65" s="1887">
        <f>SUM(F64:V64)</f>
        <v>63465125</v>
      </c>
    </row>
    <row r="66" spans="1:22" s="1880" customFormat="1" ht="12" hidden="1" customHeight="1">
      <c r="A66" s="322"/>
      <c r="B66" s="323"/>
      <c r="C66" s="323"/>
      <c r="D66" s="326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92"/>
      <c r="R66" s="1887"/>
      <c r="V66" s="1887">
        <f>M56+M51+M46</f>
        <v>63465125</v>
      </c>
    </row>
    <row r="67" spans="1:22" s="1888" customFormat="1" ht="22.5" hidden="1" customHeight="1">
      <c r="A67" s="322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92"/>
      <c r="V67" s="1889">
        <f>V65-V66</f>
        <v>0</v>
      </c>
    </row>
    <row r="68" spans="1:22" s="353" customFormat="1" ht="12.75" hidden="1" customHeight="1">
      <c r="A68" s="322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92"/>
    </row>
    <row r="69" spans="1:22" s="353" customFormat="1" ht="12.75" customHeight="1">
      <c r="A69" s="1890"/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92"/>
    </row>
    <row r="70" spans="1:22" s="353" customFormat="1">
      <c r="A70" s="322"/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92"/>
    </row>
    <row r="71" spans="1:22" s="1888" customFormat="1" ht="14.25" customHeight="1">
      <c r="A71" s="322"/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92"/>
    </row>
    <row r="72" spans="1:22" s="353" customFormat="1" ht="12.75" customHeight="1">
      <c r="A72" s="322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92"/>
    </row>
    <row r="73" spans="1:22" s="353" customFormat="1" ht="12.75" customHeight="1">
      <c r="A73" s="322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92"/>
    </row>
    <row r="74" spans="1:22" s="353" customFormat="1">
      <c r="A74" s="322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92"/>
    </row>
    <row r="75" spans="1:22" s="353" customFormat="1">
      <c r="A75" s="322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92"/>
    </row>
    <row r="76" spans="1:22" s="1888" customFormat="1" ht="33.75" customHeight="1">
      <c r="A76" s="322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92"/>
    </row>
    <row r="77" spans="1:22" s="353" customFormat="1" ht="12.75" customHeight="1">
      <c r="A77" s="322"/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92"/>
    </row>
    <row r="78" spans="1:22" s="353" customFormat="1" ht="12.75" customHeight="1">
      <c r="A78" s="322"/>
      <c r="B78" s="323"/>
      <c r="C78" s="323"/>
      <c r="D78" s="323"/>
      <c r="E78" s="323"/>
      <c r="F78" s="323"/>
      <c r="G78" s="323"/>
      <c r="H78" s="323"/>
      <c r="I78" s="323"/>
      <c r="J78" s="323"/>
      <c r="K78" s="323"/>
      <c r="L78" s="323"/>
      <c r="M78" s="323"/>
      <c r="N78" s="323"/>
      <c r="O78" s="392"/>
    </row>
    <row r="79" spans="1:22" s="353" customFormat="1" ht="12.75" customHeight="1">
      <c r="A79" s="322"/>
      <c r="B79" s="323"/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92"/>
    </row>
    <row r="80" spans="1:22" s="353" customFormat="1" ht="12.75" customHeight="1">
      <c r="A80" s="322"/>
      <c r="B80" s="323"/>
      <c r="C80" s="323"/>
      <c r="D80" s="323"/>
      <c r="E80" s="323"/>
      <c r="F80" s="323"/>
      <c r="G80" s="323"/>
      <c r="H80" s="323"/>
      <c r="I80" s="323"/>
      <c r="J80" s="323"/>
      <c r="K80" s="323"/>
      <c r="L80" s="323"/>
      <c r="M80" s="323"/>
      <c r="N80" s="323"/>
      <c r="O80" s="392"/>
    </row>
    <row r="81" spans="1:15" s="353" customFormat="1">
      <c r="A81" s="322"/>
      <c r="B81" s="323"/>
      <c r="C81" s="323"/>
      <c r="D81" s="323"/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92"/>
    </row>
    <row r="82" spans="1:15" s="1888" customFormat="1" ht="12" customHeight="1">
      <c r="A82" s="322"/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92"/>
    </row>
    <row r="83" spans="1:15" s="353" customFormat="1" ht="12.75" customHeight="1">
      <c r="A83" s="322"/>
      <c r="B83" s="323"/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92"/>
    </row>
    <row r="84" spans="1:15" s="353" customFormat="1" ht="12.75" customHeight="1">
      <c r="A84" s="322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3"/>
      <c r="M84" s="323"/>
      <c r="N84" s="323"/>
      <c r="O84" s="392"/>
    </row>
    <row r="85" spans="1:15" s="353" customFormat="1">
      <c r="A85" s="322"/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92"/>
    </row>
    <row r="86" spans="1:15" s="353" customFormat="1">
      <c r="A86" s="322"/>
      <c r="B86" s="323"/>
      <c r="C86" s="323"/>
      <c r="D86" s="323"/>
      <c r="E86" s="323"/>
      <c r="F86" s="323"/>
      <c r="G86" s="323"/>
      <c r="H86" s="323"/>
      <c r="I86" s="323"/>
      <c r="J86" s="323"/>
      <c r="K86" s="323"/>
      <c r="L86" s="323"/>
      <c r="M86" s="323"/>
      <c r="N86" s="323"/>
      <c r="O86" s="392"/>
    </row>
    <row r="87" spans="1:15" s="1888" customFormat="1" ht="22.5" customHeight="1">
      <c r="A87" s="322"/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92"/>
    </row>
    <row r="88" spans="1:15" s="353" customFormat="1" ht="12.75" customHeight="1">
      <c r="A88" s="322"/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92"/>
    </row>
    <row r="89" spans="1:15" s="353" customFormat="1" ht="12.75" customHeight="1">
      <c r="A89" s="322"/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92"/>
    </row>
    <row r="90" spans="1:15" s="353" customFormat="1">
      <c r="A90" s="322"/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92"/>
    </row>
    <row r="91" spans="1:15" s="353" customFormat="1">
      <c r="A91" s="322"/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92"/>
    </row>
    <row r="92" spans="1:15" s="1888" customFormat="1" ht="15" customHeight="1">
      <c r="A92" s="322"/>
      <c r="B92" s="323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92"/>
    </row>
    <row r="93" spans="1:15" s="353" customFormat="1" ht="12.75" customHeight="1">
      <c r="A93" s="322"/>
      <c r="B93" s="323"/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92"/>
    </row>
    <row r="94" spans="1:15" s="353" customFormat="1" ht="12.75" customHeight="1">
      <c r="A94" s="322"/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92"/>
    </row>
    <row r="95" spans="1:15" s="353" customFormat="1">
      <c r="A95" s="322"/>
      <c r="B95" s="323"/>
      <c r="C95" s="323"/>
      <c r="D95" s="323"/>
      <c r="E95" s="323"/>
      <c r="F95" s="323"/>
      <c r="G95" s="323"/>
      <c r="H95" s="323"/>
      <c r="I95" s="323"/>
      <c r="J95" s="323"/>
      <c r="K95" s="323"/>
      <c r="L95" s="323"/>
      <c r="M95" s="323"/>
      <c r="N95" s="323"/>
      <c r="O95" s="392"/>
    </row>
    <row r="96" spans="1:15" s="353" customFormat="1">
      <c r="A96" s="322"/>
      <c r="B96" s="323"/>
      <c r="C96" s="323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92"/>
    </row>
    <row r="97" spans="1:15" s="1888" customFormat="1" ht="13.5" customHeight="1">
      <c r="A97" s="322"/>
      <c r="B97" s="323"/>
      <c r="C97" s="323"/>
      <c r="D97" s="323"/>
      <c r="E97" s="323"/>
      <c r="F97" s="323"/>
      <c r="G97" s="323"/>
      <c r="H97" s="323"/>
      <c r="I97" s="323"/>
      <c r="J97" s="323"/>
      <c r="K97" s="323"/>
      <c r="L97" s="323"/>
      <c r="M97" s="323"/>
      <c r="N97" s="323"/>
      <c r="O97" s="392"/>
    </row>
    <row r="98" spans="1:15" s="353" customFormat="1" ht="12.75" customHeight="1">
      <c r="A98" s="322"/>
      <c r="B98" s="323"/>
      <c r="C98" s="323"/>
      <c r="D98" s="323"/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92"/>
    </row>
    <row r="99" spans="1:15" s="353" customFormat="1" ht="12.75" customHeight="1">
      <c r="A99" s="322"/>
      <c r="B99" s="323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92"/>
    </row>
    <row r="100" spans="1:15" s="353" customFormat="1">
      <c r="A100" s="322"/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92"/>
    </row>
    <row r="101" spans="1:15" s="353" customFormat="1">
      <c r="A101" s="322"/>
      <c r="B101" s="323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92"/>
    </row>
    <row r="102" spans="1:15" s="353" customFormat="1">
      <c r="A102" s="322"/>
      <c r="B102" s="323"/>
      <c r="C102" s="323"/>
      <c r="D102" s="323"/>
      <c r="E102" s="323"/>
      <c r="F102" s="323"/>
      <c r="G102" s="323"/>
      <c r="H102" s="323"/>
      <c r="I102" s="323"/>
      <c r="J102" s="323"/>
      <c r="K102" s="323"/>
      <c r="L102" s="323"/>
      <c r="M102" s="323"/>
      <c r="N102" s="323"/>
      <c r="O102" s="392"/>
    </row>
    <row r="103" spans="1:15" s="1888" customFormat="1" ht="22.5" customHeight="1">
      <c r="A103" s="322"/>
      <c r="B103" s="323"/>
      <c r="C103" s="323"/>
      <c r="D103" s="323"/>
      <c r="E103" s="323"/>
      <c r="F103" s="323"/>
      <c r="G103" s="323"/>
      <c r="H103" s="323"/>
      <c r="I103" s="323"/>
      <c r="J103" s="323"/>
      <c r="K103" s="323"/>
      <c r="L103" s="323"/>
      <c r="M103" s="323"/>
      <c r="N103" s="323"/>
      <c r="O103" s="392"/>
    </row>
    <row r="104" spans="1:15" s="353" customFormat="1" ht="12.75" customHeight="1">
      <c r="A104" s="322"/>
      <c r="B104" s="323"/>
      <c r="C104" s="323"/>
      <c r="D104" s="323"/>
      <c r="E104" s="323"/>
      <c r="F104" s="323"/>
      <c r="G104" s="323"/>
      <c r="H104" s="323"/>
      <c r="I104" s="323"/>
      <c r="J104" s="323"/>
      <c r="K104" s="323"/>
      <c r="L104" s="323"/>
      <c r="M104" s="323"/>
      <c r="N104" s="323"/>
      <c r="O104" s="392"/>
    </row>
    <row r="105" spans="1:15" s="353" customFormat="1" ht="12.75" customHeight="1">
      <c r="A105" s="322"/>
      <c r="B105" s="323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92"/>
    </row>
    <row r="106" spans="1:15" s="353" customFormat="1">
      <c r="A106" s="322"/>
      <c r="B106" s="323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92"/>
    </row>
    <row r="107" spans="1:15" s="353" customFormat="1">
      <c r="A107" s="322"/>
      <c r="B107" s="323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92"/>
    </row>
    <row r="108" spans="1:15" s="1888" customFormat="1" ht="12.75" customHeight="1">
      <c r="A108" s="322"/>
      <c r="B108" s="323"/>
      <c r="C108" s="323"/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92"/>
    </row>
    <row r="109" spans="1:15" s="353" customFormat="1" ht="9.75" customHeight="1">
      <c r="A109" s="322"/>
      <c r="B109" s="323"/>
      <c r="C109" s="323"/>
      <c r="D109" s="323"/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92"/>
    </row>
    <row r="110" spans="1:15" s="353" customFormat="1" ht="12.75" customHeight="1">
      <c r="A110" s="322"/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92"/>
    </row>
    <row r="111" spans="1:15" s="353" customFormat="1">
      <c r="A111" s="322"/>
      <c r="B111" s="323"/>
      <c r="C111" s="323"/>
      <c r="D111" s="323"/>
      <c r="E111" s="323"/>
      <c r="F111" s="323"/>
      <c r="G111" s="323"/>
      <c r="H111" s="323"/>
      <c r="I111" s="323"/>
      <c r="J111" s="323"/>
      <c r="K111" s="323"/>
      <c r="L111" s="323"/>
      <c r="M111" s="323"/>
      <c r="N111" s="323"/>
      <c r="O111" s="392"/>
    </row>
    <row r="112" spans="1:15" s="353" customFormat="1">
      <c r="A112" s="322"/>
      <c r="B112" s="32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92"/>
    </row>
    <row r="113" spans="1:15" s="1888" customFormat="1" ht="13.5" customHeight="1">
      <c r="A113" s="322"/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92"/>
    </row>
    <row r="114" spans="1:15" s="353" customFormat="1" ht="9.75" customHeight="1">
      <c r="A114" s="322"/>
      <c r="B114" s="323"/>
      <c r="C114" s="323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92"/>
    </row>
    <row r="115" spans="1:15" s="353" customFormat="1" ht="12.75" customHeight="1">
      <c r="A115" s="322"/>
      <c r="B115" s="323"/>
      <c r="C115" s="323"/>
      <c r="D115" s="323"/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92"/>
    </row>
    <row r="116" spans="1:15" s="353" customFormat="1">
      <c r="A116" s="322"/>
      <c r="B116" s="323"/>
      <c r="C116" s="323"/>
      <c r="D116" s="323"/>
      <c r="E116" s="323"/>
      <c r="F116" s="323"/>
      <c r="G116" s="323"/>
      <c r="H116" s="323"/>
      <c r="I116" s="323"/>
      <c r="J116" s="323"/>
      <c r="K116" s="323"/>
      <c r="L116" s="323"/>
      <c r="M116" s="323"/>
      <c r="N116" s="323"/>
      <c r="O116" s="392"/>
    </row>
    <row r="117" spans="1:15" s="353" customFormat="1">
      <c r="A117" s="322"/>
      <c r="B117" s="323"/>
      <c r="C117" s="323"/>
      <c r="D117" s="323"/>
      <c r="E117" s="323"/>
      <c r="F117" s="323"/>
      <c r="G117" s="323"/>
      <c r="H117" s="323"/>
      <c r="I117" s="323"/>
      <c r="J117" s="323"/>
      <c r="K117" s="323"/>
      <c r="L117" s="323"/>
      <c r="M117" s="323"/>
      <c r="N117" s="323"/>
      <c r="O117" s="392"/>
    </row>
    <row r="118" spans="1:15" s="353" customFormat="1">
      <c r="A118" s="322"/>
      <c r="B118" s="323"/>
      <c r="C118" s="323"/>
      <c r="D118" s="323"/>
      <c r="E118" s="323"/>
      <c r="F118" s="323"/>
      <c r="G118" s="323"/>
      <c r="H118" s="323"/>
      <c r="I118" s="323"/>
      <c r="J118" s="323"/>
      <c r="K118" s="323"/>
      <c r="L118" s="323"/>
      <c r="M118" s="323"/>
      <c r="N118" s="323"/>
      <c r="O118" s="392"/>
    </row>
    <row r="119" spans="1:15" s="353" customFormat="1">
      <c r="A119" s="322"/>
      <c r="B119" s="323"/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92"/>
    </row>
    <row r="120" spans="1:15" s="353" customFormat="1">
      <c r="A120" s="322"/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  <c r="L120" s="323"/>
      <c r="M120" s="323"/>
      <c r="N120" s="323"/>
      <c r="O120" s="392"/>
    </row>
    <row r="121" spans="1:15" s="1888" customFormat="1" ht="22.5" customHeight="1">
      <c r="A121" s="322"/>
      <c r="B121" s="323"/>
      <c r="C121" s="323"/>
      <c r="D121" s="323"/>
      <c r="E121" s="323"/>
      <c r="F121" s="323"/>
      <c r="G121" s="323"/>
      <c r="H121" s="323"/>
      <c r="I121" s="323"/>
      <c r="J121" s="323"/>
      <c r="K121" s="323"/>
      <c r="L121" s="323"/>
      <c r="M121" s="323"/>
      <c r="N121" s="323"/>
      <c r="O121" s="392"/>
    </row>
    <row r="122" spans="1:15" s="353" customFormat="1" ht="12.75" customHeight="1">
      <c r="A122" s="322"/>
      <c r="B122" s="323"/>
      <c r="C122" s="323"/>
      <c r="D122" s="323"/>
      <c r="E122" s="323"/>
      <c r="F122" s="323"/>
      <c r="G122" s="323"/>
      <c r="H122" s="323"/>
      <c r="I122" s="323"/>
      <c r="J122" s="323"/>
      <c r="K122" s="323"/>
      <c r="L122" s="323"/>
      <c r="M122" s="323"/>
      <c r="N122" s="323"/>
      <c r="O122" s="392"/>
    </row>
    <row r="123" spans="1:15" s="353" customFormat="1" ht="12.75" customHeight="1">
      <c r="A123" s="322"/>
      <c r="B123" s="323"/>
      <c r="C123" s="323"/>
      <c r="D123" s="323"/>
      <c r="E123" s="323"/>
      <c r="F123" s="323"/>
      <c r="G123" s="323"/>
      <c r="H123" s="323"/>
      <c r="I123" s="323"/>
      <c r="J123" s="323"/>
      <c r="K123" s="323"/>
      <c r="L123" s="323"/>
      <c r="M123" s="323"/>
      <c r="N123" s="323"/>
      <c r="O123" s="392"/>
    </row>
    <row r="124" spans="1:15" s="353" customFormat="1">
      <c r="A124" s="322"/>
      <c r="B124" s="323"/>
      <c r="C124" s="323"/>
      <c r="D124" s="323"/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92"/>
    </row>
    <row r="125" spans="1:15" s="353" customFormat="1">
      <c r="A125" s="322"/>
      <c r="B125" s="323"/>
      <c r="C125" s="323"/>
      <c r="D125" s="323"/>
      <c r="E125" s="323"/>
      <c r="F125" s="323"/>
      <c r="G125" s="323"/>
      <c r="H125" s="323"/>
      <c r="I125" s="323"/>
      <c r="J125" s="323"/>
      <c r="K125" s="323"/>
      <c r="L125" s="323"/>
      <c r="M125" s="323"/>
      <c r="N125" s="323"/>
      <c r="O125" s="392"/>
    </row>
    <row r="126" spans="1:15" s="1888" customFormat="1" ht="34.5" customHeight="1">
      <c r="A126" s="322"/>
      <c r="B126" s="323"/>
      <c r="C126" s="323"/>
      <c r="D126" s="323"/>
      <c r="E126" s="323"/>
      <c r="F126" s="323"/>
      <c r="G126" s="323"/>
      <c r="H126" s="323"/>
      <c r="I126" s="323"/>
      <c r="J126" s="323"/>
      <c r="K126" s="323"/>
      <c r="L126" s="323"/>
      <c r="M126" s="323"/>
      <c r="N126" s="323"/>
      <c r="O126" s="392"/>
    </row>
    <row r="127" spans="1:15" s="353" customFormat="1" ht="14.25" customHeight="1">
      <c r="A127" s="322"/>
      <c r="B127" s="323"/>
      <c r="C127" s="323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92"/>
    </row>
    <row r="128" spans="1:15" s="353" customFormat="1" ht="12.75" customHeight="1">
      <c r="A128" s="322"/>
      <c r="B128" s="323"/>
      <c r="C128" s="323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92"/>
    </row>
    <row r="129" spans="1:15" s="353" customFormat="1">
      <c r="A129" s="322"/>
      <c r="B129" s="323"/>
      <c r="C129" s="323"/>
      <c r="D129" s="323"/>
      <c r="E129" s="323"/>
      <c r="F129" s="323"/>
      <c r="G129" s="323"/>
      <c r="H129" s="323"/>
      <c r="I129" s="323"/>
      <c r="J129" s="323"/>
      <c r="K129" s="323"/>
      <c r="L129" s="323"/>
      <c r="M129" s="323"/>
      <c r="N129" s="323"/>
      <c r="O129" s="392"/>
    </row>
    <row r="130" spans="1:15" s="353" customFormat="1">
      <c r="A130" s="322"/>
      <c r="B130" s="323"/>
      <c r="C130" s="323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92"/>
    </row>
    <row r="131" spans="1:15" s="353" customFormat="1">
      <c r="A131" s="322"/>
      <c r="B131" s="323"/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92"/>
    </row>
    <row r="132" spans="1:15" s="1888" customFormat="1" ht="36.75" customHeight="1">
      <c r="A132" s="322"/>
      <c r="B132" s="323"/>
      <c r="C132" s="323"/>
      <c r="D132" s="323"/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92"/>
    </row>
    <row r="133" spans="1:15" s="353" customFormat="1" ht="9.75" customHeight="1">
      <c r="A133" s="322"/>
      <c r="B133" s="323"/>
      <c r="C133" s="323"/>
      <c r="D133" s="323"/>
      <c r="E133" s="323"/>
      <c r="F133" s="323"/>
      <c r="G133" s="323"/>
      <c r="H133" s="323"/>
      <c r="I133" s="323"/>
      <c r="J133" s="323"/>
      <c r="K133" s="323"/>
      <c r="L133" s="323"/>
      <c r="M133" s="323"/>
      <c r="N133" s="323"/>
      <c r="O133" s="392"/>
    </row>
    <row r="134" spans="1:15" s="353" customFormat="1" ht="12.75" customHeight="1">
      <c r="A134" s="322"/>
      <c r="B134" s="323"/>
      <c r="C134" s="323"/>
      <c r="D134" s="323"/>
      <c r="E134" s="323"/>
      <c r="F134" s="323"/>
      <c r="G134" s="323"/>
      <c r="H134" s="323"/>
      <c r="I134" s="323"/>
      <c r="J134" s="323"/>
      <c r="K134" s="323"/>
      <c r="L134" s="323"/>
      <c r="M134" s="323"/>
      <c r="N134" s="323"/>
      <c r="O134" s="392"/>
    </row>
    <row r="135" spans="1:15" s="353" customFormat="1">
      <c r="A135" s="322"/>
      <c r="B135" s="323"/>
      <c r="C135" s="323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92"/>
    </row>
    <row r="136" spans="1:15" s="353" customFormat="1">
      <c r="A136" s="322"/>
      <c r="B136" s="323"/>
      <c r="C136" s="323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92"/>
    </row>
    <row r="137" spans="1:15" s="353" customFormat="1">
      <c r="A137" s="322"/>
      <c r="B137" s="323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92"/>
    </row>
    <row r="138" spans="1:15" s="1888" customFormat="1" ht="33.75" customHeight="1">
      <c r="A138" s="322"/>
      <c r="B138" s="323"/>
      <c r="C138" s="323"/>
      <c r="D138" s="323"/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92"/>
    </row>
    <row r="139" spans="1:15" s="353" customFormat="1" ht="9.75" customHeight="1">
      <c r="A139" s="322"/>
      <c r="B139" s="323"/>
      <c r="C139" s="323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92"/>
    </row>
    <row r="140" spans="1:15" s="353" customFormat="1" ht="12.75" customHeight="1">
      <c r="A140" s="322"/>
      <c r="B140" s="323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92"/>
    </row>
    <row r="141" spans="1:15" s="353" customFormat="1">
      <c r="A141" s="322"/>
      <c r="B141" s="323"/>
      <c r="C141" s="323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92"/>
    </row>
    <row r="142" spans="1:15" s="353" customFormat="1">
      <c r="A142" s="322"/>
      <c r="B142" s="323"/>
      <c r="C142" s="323"/>
      <c r="D142" s="323"/>
      <c r="E142" s="323"/>
      <c r="F142" s="323"/>
      <c r="G142" s="323"/>
      <c r="H142" s="323"/>
      <c r="I142" s="323"/>
      <c r="J142" s="323"/>
      <c r="K142" s="323"/>
      <c r="L142" s="323"/>
      <c r="M142" s="323"/>
      <c r="N142" s="323"/>
      <c r="O142" s="392"/>
    </row>
    <row r="143" spans="1:15" s="353" customFormat="1">
      <c r="A143" s="322"/>
      <c r="B143" s="323"/>
      <c r="C143" s="323"/>
      <c r="D143" s="323"/>
      <c r="E143" s="323"/>
      <c r="F143" s="323"/>
      <c r="G143" s="323"/>
      <c r="H143" s="323"/>
      <c r="I143" s="323"/>
      <c r="J143" s="323"/>
      <c r="K143" s="323"/>
      <c r="L143" s="323"/>
      <c r="M143" s="323"/>
      <c r="N143" s="323"/>
      <c r="O143" s="392"/>
    </row>
    <row r="144" spans="1:15" s="353" customFormat="1">
      <c r="A144" s="322"/>
      <c r="B144" s="323"/>
      <c r="C144" s="323"/>
      <c r="D144" s="323"/>
      <c r="E144" s="323"/>
      <c r="F144" s="323"/>
      <c r="G144" s="323"/>
      <c r="H144" s="323"/>
      <c r="I144" s="323"/>
      <c r="J144" s="323"/>
      <c r="K144" s="323"/>
      <c r="L144" s="323"/>
      <c r="M144" s="323"/>
      <c r="N144" s="323"/>
      <c r="O144" s="392"/>
    </row>
    <row r="145" spans="1:15" s="1891" customFormat="1" ht="14.25" customHeight="1">
      <c r="A145" s="322"/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92"/>
    </row>
    <row r="146" spans="1:15" s="353" customFormat="1">
      <c r="A146" s="322"/>
      <c r="B146" s="323"/>
      <c r="C146" s="323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92"/>
    </row>
    <row r="147" spans="1:15" s="1881" customFormat="1" ht="23.25" customHeight="1">
      <c r="A147" s="322"/>
      <c r="B147" s="323"/>
      <c r="C147" s="323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92"/>
    </row>
    <row r="148" spans="1:15" s="353" customFormat="1">
      <c r="A148" s="322"/>
      <c r="B148" s="323"/>
      <c r="C148" s="323"/>
      <c r="D148" s="323"/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92"/>
    </row>
    <row r="149" spans="1:15" s="1880" customFormat="1" ht="15.75" customHeight="1">
      <c r="A149" s="322"/>
      <c r="B149" s="323"/>
      <c r="C149" s="323"/>
      <c r="D149" s="323"/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392"/>
    </row>
    <row r="150" spans="1:15" s="1880" customFormat="1" ht="12.75" customHeight="1">
      <c r="A150" s="322"/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92"/>
    </row>
    <row r="151" spans="1:15" s="1880" customFormat="1" ht="12.75" customHeight="1">
      <c r="A151" s="322"/>
      <c r="B151" s="323"/>
      <c r="C151" s="323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92"/>
    </row>
    <row r="152" spans="1:15" s="1880" customFormat="1" ht="12" customHeight="1">
      <c r="A152" s="322"/>
      <c r="B152" s="323"/>
      <c r="C152" s="323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92"/>
    </row>
    <row r="153" spans="1:15" s="1891" customFormat="1" ht="24" customHeight="1">
      <c r="A153" s="322"/>
      <c r="B153" s="323"/>
      <c r="C153" s="323"/>
      <c r="D153" s="323"/>
      <c r="E153" s="323"/>
      <c r="F153" s="323"/>
      <c r="G153" s="323"/>
      <c r="H153" s="323"/>
      <c r="I153" s="323"/>
      <c r="J153" s="323"/>
      <c r="K153" s="323"/>
      <c r="L153" s="323"/>
      <c r="M153" s="323"/>
      <c r="N153" s="323"/>
      <c r="O153" s="392"/>
    </row>
    <row r="154" spans="1:15" s="353" customFormat="1" ht="11.25" customHeight="1">
      <c r="A154" s="322"/>
      <c r="B154" s="323"/>
      <c r="C154" s="323"/>
      <c r="D154" s="323"/>
      <c r="E154" s="323"/>
      <c r="F154" s="323"/>
      <c r="G154" s="323"/>
      <c r="H154" s="323"/>
      <c r="I154" s="323"/>
      <c r="J154" s="323"/>
      <c r="K154" s="323"/>
      <c r="L154" s="323"/>
      <c r="M154" s="323"/>
      <c r="N154" s="323"/>
      <c r="O154" s="392"/>
    </row>
    <row r="155" spans="1:15" s="353" customFormat="1" ht="12.75" customHeight="1">
      <c r="A155" s="322"/>
      <c r="B155" s="323"/>
      <c r="C155" s="323"/>
      <c r="D155" s="323"/>
      <c r="E155" s="323"/>
      <c r="F155" s="323"/>
      <c r="G155" s="323"/>
      <c r="H155" s="323"/>
      <c r="I155" s="323"/>
      <c r="J155" s="323"/>
      <c r="K155" s="323"/>
      <c r="L155" s="323"/>
      <c r="M155" s="323"/>
      <c r="N155" s="323"/>
      <c r="O155" s="392"/>
    </row>
    <row r="156" spans="1:15" s="353" customFormat="1">
      <c r="A156" s="322"/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92"/>
    </row>
    <row r="157" spans="1:15" s="353" customFormat="1">
      <c r="A157" s="322"/>
      <c r="B157" s="323"/>
      <c r="C157" s="323"/>
      <c r="D157" s="323"/>
      <c r="E157" s="323"/>
      <c r="F157" s="323"/>
      <c r="G157" s="323"/>
      <c r="H157" s="323"/>
      <c r="I157" s="323"/>
      <c r="J157" s="323"/>
      <c r="K157" s="323"/>
      <c r="L157" s="323"/>
      <c r="M157" s="323"/>
      <c r="N157" s="323"/>
      <c r="O157" s="392"/>
    </row>
    <row r="158" spans="1:15" s="353" customFormat="1">
      <c r="A158" s="322"/>
      <c r="B158" s="323"/>
      <c r="C158" s="323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92"/>
    </row>
    <row r="159" spans="1:15" s="353" customFormat="1">
      <c r="A159" s="322"/>
      <c r="B159" s="323"/>
      <c r="C159" s="323"/>
      <c r="D159" s="323"/>
      <c r="E159" s="323"/>
      <c r="F159" s="323"/>
      <c r="G159" s="323"/>
      <c r="H159" s="323"/>
      <c r="I159" s="323"/>
      <c r="J159" s="323"/>
      <c r="K159" s="323"/>
      <c r="L159" s="323"/>
      <c r="M159" s="323"/>
      <c r="N159" s="323"/>
      <c r="O159" s="392"/>
    </row>
    <row r="160" spans="1:15" s="353" customFormat="1" ht="21.75" customHeight="1">
      <c r="A160" s="322"/>
      <c r="B160" s="323"/>
      <c r="C160" s="323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92"/>
    </row>
    <row r="161" spans="1:15" s="353" customFormat="1" ht="12.75" customHeight="1">
      <c r="A161" s="322"/>
      <c r="B161" s="323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92"/>
    </row>
    <row r="162" spans="1:15" s="353" customFormat="1">
      <c r="A162" s="322"/>
      <c r="B162" s="323"/>
      <c r="C162" s="323"/>
      <c r="D162" s="323"/>
      <c r="E162" s="323"/>
      <c r="F162" s="323"/>
      <c r="G162" s="323"/>
      <c r="H162" s="323"/>
      <c r="I162" s="323"/>
      <c r="J162" s="323"/>
      <c r="K162" s="323"/>
      <c r="L162" s="323"/>
      <c r="M162" s="323"/>
      <c r="N162" s="323"/>
      <c r="O162" s="392"/>
    </row>
    <row r="163" spans="1:15" s="353" customFormat="1">
      <c r="A163" s="322"/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  <c r="L163" s="323"/>
      <c r="M163" s="323"/>
      <c r="N163" s="323"/>
      <c r="O163" s="392"/>
    </row>
    <row r="164" spans="1:15" s="353" customFormat="1">
      <c r="A164" s="322"/>
      <c r="B164" s="323"/>
      <c r="C164" s="323"/>
      <c r="D164" s="323"/>
      <c r="E164" s="323"/>
      <c r="F164" s="323"/>
      <c r="G164" s="323"/>
      <c r="H164" s="323"/>
      <c r="I164" s="323"/>
      <c r="J164" s="323"/>
      <c r="K164" s="323"/>
      <c r="L164" s="323"/>
      <c r="M164" s="323"/>
      <c r="N164" s="323"/>
      <c r="O164" s="392"/>
    </row>
    <row r="165" spans="1:15" s="353" customFormat="1">
      <c r="A165" s="322"/>
      <c r="B165" s="323"/>
      <c r="C165" s="323"/>
      <c r="D165" s="323"/>
      <c r="E165" s="323"/>
      <c r="F165" s="323"/>
      <c r="G165" s="323"/>
      <c r="H165" s="323"/>
      <c r="I165" s="323"/>
      <c r="J165" s="323"/>
      <c r="K165" s="323"/>
      <c r="L165" s="323"/>
      <c r="M165" s="323"/>
      <c r="N165" s="323"/>
      <c r="O165" s="392"/>
    </row>
    <row r="166" spans="1:15" s="353" customFormat="1">
      <c r="A166" s="322"/>
      <c r="B166" s="323"/>
      <c r="C166" s="323"/>
      <c r="D166" s="323"/>
      <c r="E166" s="323"/>
      <c r="F166" s="323"/>
      <c r="G166" s="323"/>
      <c r="H166" s="323"/>
      <c r="I166" s="323"/>
      <c r="J166" s="323"/>
      <c r="K166" s="323"/>
      <c r="L166" s="323"/>
      <c r="M166" s="323"/>
      <c r="N166" s="323"/>
      <c r="O166" s="392"/>
    </row>
    <row r="167" spans="1:15" s="353" customFormat="1" ht="32.25" customHeight="1">
      <c r="A167" s="322"/>
      <c r="B167" s="323"/>
      <c r="C167" s="323"/>
      <c r="D167" s="323"/>
      <c r="E167" s="323"/>
      <c r="F167" s="323"/>
      <c r="G167" s="323"/>
      <c r="H167" s="323"/>
      <c r="I167" s="323"/>
      <c r="J167" s="323"/>
      <c r="K167" s="323"/>
      <c r="L167" s="323"/>
      <c r="M167" s="323"/>
      <c r="N167" s="323"/>
      <c r="O167" s="392"/>
    </row>
    <row r="168" spans="1:15" s="353" customFormat="1" ht="15" customHeight="1">
      <c r="A168" s="322"/>
      <c r="B168" s="323"/>
      <c r="C168" s="323"/>
      <c r="D168" s="323"/>
      <c r="E168" s="323"/>
      <c r="F168" s="323"/>
      <c r="G168" s="323"/>
      <c r="H168" s="323"/>
      <c r="I168" s="323"/>
      <c r="J168" s="323"/>
      <c r="K168" s="323"/>
      <c r="L168" s="323"/>
      <c r="M168" s="323"/>
      <c r="N168" s="323"/>
      <c r="O168" s="392"/>
    </row>
    <row r="169" spans="1:15" s="353" customFormat="1" ht="12.75" customHeight="1">
      <c r="A169" s="322"/>
      <c r="B169" s="323"/>
      <c r="C169" s="323"/>
      <c r="D169" s="323"/>
      <c r="E169" s="323"/>
      <c r="F169" s="323"/>
      <c r="G169" s="323"/>
      <c r="H169" s="323"/>
      <c r="I169" s="323"/>
      <c r="J169" s="323"/>
      <c r="K169" s="323"/>
      <c r="L169" s="323"/>
      <c r="M169" s="323"/>
      <c r="N169" s="323"/>
      <c r="O169" s="392"/>
    </row>
    <row r="170" spans="1:15" s="353" customFormat="1">
      <c r="A170" s="322"/>
      <c r="B170" s="323"/>
      <c r="C170" s="323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92"/>
    </row>
    <row r="171" spans="1:15" s="353" customFormat="1">
      <c r="A171" s="322"/>
      <c r="B171" s="323"/>
      <c r="C171" s="323"/>
      <c r="D171" s="323"/>
      <c r="E171" s="323"/>
      <c r="F171" s="323"/>
      <c r="G171" s="323"/>
      <c r="H171" s="323"/>
      <c r="I171" s="323"/>
      <c r="J171" s="323"/>
      <c r="K171" s="323"/>
      <c r="L171" s="323"/>
      <c r="M171" s="323"/>
      <c r="N171" s="323"/>
      <c r="O171" s="392"/>
    </row>
    <row r="172" spans="1:15" s="353" customFormat="1">
      <c r="A172" s="322"/>
      <c r="B172" s="323"/>
      <c r="C172" s="323"/>
      <c r="D172" s="323"/>
      <c r="E172" s="323"/>
      <c r="F172" s="323"/>
      <c r="G172" s="323"/>
      <c r="H172" s="323"/>
      <c r="I172" s="323"/>
      <c r="J172" s="323"/>
      <c r="K172" s="323"/>
      <c r="L172" s="323"/>
      <c r="M172" s="323"/>
      <c r="N172" s="323"/>
      <c r="O172" s="392"/>
    </row>
    <row r="173" spans="1:15" s="353" customFormat="1" ht="11.25" customHeight="1">
      <c r="A173" s="322"/>
      <c r="B173" s="323"/>
      <c r="C173" s="323"/>
      <c r="D173" s="323"/>
      <c r="E173" s="323"/>
      <c r="F173" s="323"/>
      <c r="G173" s="323"/>
      <c r="H173" s="323"/>
      <c r="I173" s="323"/>
      <c r="J173" s="323"/>
      <c r="K173" s="323"/>
      <c r="L173" s="323"/>
      <c r="M173" s="323"/>
      <c r="N173" s="323"/>
      <c r="O173" s="392"/>
    </row>
    <row r="174" spans="1:15" s="353" customFormat="1" ht="12.75" customHeight="1">
      <c r="A174" s="322"/>
      <c r="B174" s="323"/>
      <c r="C174" s="323"/>
      <c r="D174" s="323"/>
      <c r="E174" s="323"/>
      <c r="F174" s="323"/>
      <c r="G174" s="323"/>
      <c r="H174" s="323"/>
      <c r="I174" s="323"/>
      <c r="J174" s="323"/>
      <c r="K174" s="323"/>
      <c r="L174" s="323"/>
      <c r="M174" s="323"/>
      <c r="N174" s="323"/>
      <c r="O174" s="392"/>
    </row>
    <row r="175" spans="1:15" s="353" customFormat="1" ht="12.75" customHeight="1">
      <c r="A175" s="322"/>
      <c r="B175" s="323"/>
      <c r="C175" s="323"/>
      <c r="D175" s="323"/>
      <c r="E175" s="323"/>
      <c r="F175" s="323"/>
      <c r="G175" s="323"/>
      <c r="H175" s="323"/>
      <c r="I175" s="323"/>
      <c r="J175" s="323"/>
      <c r="K175" s="323"/>
      <c r="L175" s="323"/>
      <c r="M175" s="323"/>
      <c r="N175" s="323"/>
      <c r="O175" s="392"/>
    </row>
    <row r="176" spans="1:15" s="353" customFormat="1">
      <c r="A176" s="322"/>
      <c r="B176" s="323"/>
      <c r="C176" s="323"/>
      <c r="D176" s="323"/>
      <c r="E176" s="323"/>
      <c r="F176" s="323"/>
      <c r="G176" s="323"/>
      <c r="H176" s="323"/>
      <c r="I176" s="323"/>
      <c r="J176" s="323"/>
      <c r="K176" s="323"/>
      <c r="L176" s="323"/>
      <c r="M176" s="323"/>
      <c r="N176" s="323"/>
      <c r="O176" s="392"/>
    </row>
    <row r="177" spans="1:15" s="353" customFormat="1">
      <c r="A177" s="322"/>
      <c r="B177" s="323"/>
      <c r="C177" s="323"/>
      <c r="D177" s="323"/>
      <c r="E177" s="323"/>
      <c r="F177" s="323"/>
      <c r="G177" s="323"/>
      <c r="H177" s="323"/>
      <c r="I177" s="323"/>
      <c r="J177" s="323"/>
      <c r="K177" s="323"/>
      <c r="L177" s="323"/>
      <c r="M177" s="323"/>
      <c r="N177" s="323"/>
      <c r="O177" s="392"/>
    </row>
    <row r="178" spans="1:15" s="353" customFormat="1">
      <c r="A178" s="322"/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92"/>
    </row>
    <row r="179" spans="1:15" s="353" customFormat="1">
      <c r="A179" s="322"/>
      <c r="B179" s="323"/>
      <c r="C179" s="323"/>
      <c r="D179" s="323"/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92"/>
    </row>
    <row r="180" spans="1:15" s="1888" customFormat="1" ht="24.75" customHeight="1">
      <c r="A180" s="322"/>
      <c r="B180" s="323"/>
      <c r="C180" s="323"/>
      <c r="D180" s="323"/>
      <c r="E180" s="323"/>
      <c r="F180" s="323"/>
      <c r="G180" s="323"/>
      <c r="H180" s="323"/>
      <c r="I180" s="323"/>
      <c r="J180" s="323"/>
      <c r="K180" s="323"/>
      <c r="L180" s="323"/>
      <c r="M180" s="323"/>
      <c r="N180" s="323"/>
      <c r="O180" s="392"/>
    </row>
    <row r="181" spans="1:15" s="353" customFormat="1" ht="12.75" customHeight="1">
      <c r="A181" s="322"/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92"/>
    </row>
    <row r="182" spans="1:15" s="353" customFormat="1" ht="12.75" customHeight="1">
      <c r="A182" s="322"/>
      <c r="B182" s="323"/>
      <c r="C182" s="323"/>
      <c r="D182" s="323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92"/>
    </row>
    <row r="183" spans="1:15" s="353" customFormat="1">
      <c r="A183" s="322"/>
      <c r="B183" s="323"/>
      <c r="C183" s="323"/>
      <c r="D183" s="323"/>
      <c r="E183" s="323"/>
      <c r="F183" s="323"/>
      <c r="G183" s="323"/>
      <c r="H183" s="323"/>
      <c r="I183" s="323"/>
      <c r="J183" s="323"/>
      <c r="K183" s="323"/>
      <c r="L183" s="323"/>
      <c r="M183" s="323"/>
      <c r="N183" s="323"/>
      <c r="O183" s="392"/>
    </row>
    <row r="184" spans="1:15" s="353" customFormat="1">
      <c r="A184" s="322"/>
      <c r="B184" s="323"/>
      <c r="C184" s="323"/>
      <c r="D184" s="323"/>
      <c r="E184" s="323"/>
      <c r="F184" s="323"/>
      <c r="G184" s="323"/>
      <c r="H184" s="323"/>
      <c r="I184" s="323"/>
      <c r="J184" s="323"/>
      <c r="K184" s="323"/>
      <c r="L184" s="323"/>
      <c r="M184" s="323"/>
      <c r="N184" s="323"/>
      <c r="O184" s="392"/>
    </row>
    <row r="185" spans="1:15" s="353" customFormat="1">
      <c r="A185" s="322"/>
      <c r="B185" s="323"/>
      <c r="C185" s="323"/>
      <c r="D185" s="323"/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92"/>
    </row>
    <row r="186" spans="1:15" s="1888" customFormat="1" ht="23.25" customHeight="1">
      <c r="A186" s="322"/>
      <c r="B186" s="323"/>
      <c r="C186" s="323"/>
      <c r="D186" s="323"/>
      <c r="E186" s="323"/>
      <c r="F186" s="323"/>
      <c r="G186" s="323"/>
      <c r="H186" s="323"/>
      <c r="I186" s="323"/>
      <c r="J186" s="323"/>
      <c r="K186" s="323"/>
      <c r="L186" s="323"/>
      <c r="M186" s="323"/>
      <c r="N186" s="323"/>
      <c r="O186" s="392"/>
    </row>
    <row r="187" spans="1:15" s="353" customFormat="1" ht="15" customHeight="1">
      <c r="A187" s="322"/>
      <c r="B187" s="323"/>
      <c r="C187" s="323"/>
      <c r="D187" s="323"/>
      <c r="E187" s="323"/>
      <c r="F187" s="323"/>
      <c r="G187" s="323"/>
      <c r="H187" s="323"/>
      <c r="I187" s="323"/>
      <c r="J187" s="323"/>
      <c r="K187" s="323"/>
      <c r="L187" s="323"/>
      <c r="M187" s="323"/>
      <c r="N187" s="323"/>
      <c r="O187" s="392"/>
    </row>
    <row r="188" spans="1:15" s="353" customFormat="1" ht="12.75" customHeight="1">
      <c r="A188" s="322"/>
      <c r="B188" s="323"/>
      <c r="C188" s="323"/>
      <c r="D188" s="323"/>
      <c r="E188" s="323"/>
      <c r="F188" s="323"/>
      <c r="G188" s="323"/>
      <c r="H188" s="323"/>
      <c r="I188" s="323"/>
      <c r="J188" s="323"/>
      <c r="K188" s="323"/>
      <c r="L188" s="323"/>
      <c r="M188" s="323"/>
      <c r="N188" s="323"/>
      <c r="O188" s="392"/>
    </row>
    <row r="189" spans="1:15" s="353" customFormat="1">
      <c r="A189" s="322"/>
      <c r="B189" s="323"/>
      <c r="C189" s="323"/>
      <c r="D189" s="323"/>
      <c r="E189" s="323"/>
      <c r="F189" s="323"/>
      <c r="G189" s="323"/>
      <c r="H189" s="323"/>
      <c r="I189" s="323"/>
      <c r="J189" s="323"/>
      <c r="K189" s="323"/>
      <c r="L189" s="323"/>
      <c r="M189" s="323"/>
      <c r="N189" s="323"/>
      <c r="O189" s="392"/>
    </row>
    <row r="190" spans="1:15" s="353" customFormat="1">
      <c r="A190" s="322"/>
      <c r="B190" s="323"/>
      <c r="C190" s="323"/>
      <c r="D190" s="323"/>
      <c r="E190" s="323"/>
      <c r="F190" s="323"/>
      <c r="G190" s="323"/>
      <c r="H190" s="323"/>
      <c r="I190" s="323"/>
      <c r="J190" s="323"/>
      <c r="K190" s="323"/>
      <c r="L190" s="323"/>
      <c r="M190" s="323"/>
      <c r="N190" s="323"/>
      <c r="O190" s="392"/>
    </row>
    <row r="191" spans="1:15" s="1888" customFormat="1" ht="12.75" customHeight="1">
      <c r="A191" s="322"/>
      <c r="B191" s="323"/>
      <c r="C191" s="323"/>
      <c r="D191" s="323"/>
      <c r="E191" s="323"/>
      <c r="F191" s="323"/>
      <c r="G191" s="323"/>
      <c r="H191" s="323"/>
      <c r="I191" s="323"/>
      <c r="J191" s="323"/>
      <c r="K191" s="323"/>
      <c r="L191" s="323"/>
      <c r="M191" s="323"/>
      <c r="N191" s="323"/>
      <c r="O191" s="392"/>
    </row>
    <row r="192" spans="1:15" s="353" customFormat="1" ht="9.75" customHeight="1">
      <c r="A192" s="322"/>
      <c r="B192" s="323"/>
      <c r="C192" s="323"/>
      <c r="D192" s="323"/>
      <c r="E192" s="323"/>
      <c r="F192" s="323"/>
      <c r="G192" s="323"/>
      <c r="H192" s="323"/>
      <c r="I192" s="323"/>
      <c r="J192" s="323"/>
      <c r="K192" s="323"/>
      <c r="L192" s="323"/>
      <c r="M192" s="323"/>
      <c r="N192" s="323"/>
      <c r="O192" s="392"/>
    </row>
    <row r="193" spans="1:15" s="353" customFormat="1" ht="12.75" customHeight="1">
      <c r="A193" s="322"/>
      <c r="B193" s="323"/>
      <c r="C193" s="323"/>
      <c r="D193" s="323"/>
      <c r="E193" s="323"/>
      <c r="F193" s="323"/>
      <c r="G193" s="323"/>
      <c r="H193" s="323"/>
      <c r="I193" s="323"/>
      <c r="J193" s="323"/>
      <c r="K193" s="323"/>
      <c r="L193" s="323"/>
      <c r="M193" s="323"/>
      <c r="N193" s="323"/>
      <c r="O193" s="392"/>
    </row>
    <row r="194" spans="1:15" s="353" customFormat="1">
      <c r="A194" s="322"/>
      <c r="B194" s="323"/>
      <c r="C194" s="323"/>
      <c r="D194" s="323"/>
      <c r="E194" s="323"/>
      <c r="F194" s="323"/>
      <c r="G194" s="323"/>
      <c r="H194" s="323"/>
      <c r="I194" s="323"/>
      <c r="J194" s="323"/>
      <c r="K194" s="323"/>
      <c r="L194" s="323"/>
      <c r="M194" s="323"/>
      <c r="N194" s="323"/>
      <c r="O194" s="392"/>
    </row>
    <row r="195" spans="1:15" s="353" customFormat="1">
      <c r="A195" s="322"/>
      <c r="B195" s="323"/>
      <c r="C195" s="323"/>
      <c r="D195" s="323"/>
      <c r="E195" s="323"/>
      <c r="F195" s="323"/>
      <c r="G195" s="323"/>
      <c r="H195" s="323"/>
      <c r="I195" s="323"/>
      <c r="J195" s="323"/>
      <c r="K195" s="323"/>
      <c r="L195" s="323"/>
      <c r="M195" s="323"/>
      <c r="N195" s="323"/>
      <c r="O195" s="392"/>
    </row>
    <row r="196" spans="1:15" s="1891" customFormat="1" ht="24" customHeight="1">
      <c r="A196" s="322"/>
      <c r="B196" s="323"/>
      <c r="C196" s="323"/>
      <c r="D196" s="323"/>
      <c r="E196" s="323"/>
      <c r="F196" s="323"/>
      <c r="G196" s="323"/>
      <c r="H196" s="323"/>
      <c r="I196" s="323"/>
      <c r="J196" s="323"/>
      <c r="K196" s="323"/>
      <c r="L196" s="323"/>
      <c r="M196" s="323"/>
      <c r="N196" s="323"/>
      <c r="O196" s="392"/>
    </row>
    <row r="197" spans="1:15" s="353" customFormat="1" ht="11.25" customHeight="1">
      <c r="A197" s="322"/>
      <c r="B197" s="323"/>
      <c r="C197" s="323"/>
      <c r="D197" s="323"/>
      <c r="E197" s="323"/>
      <c r="F197" s="323"/>
      <c r="G197" s="323"/>
      <c r="H197" s="323"/>
      <c r="I197" s="323"/>
      <c r="J197" s="323"/>
      <c r="K197" s="323"/>
      <c r="L197" s="323"/>
      <c r="M197" s="323"/>
      <c r="N197" s="323"/>
      <c r="O197" s="392"/>
    </row>
    <row r="198" spans="1:15" s="353" customFormat="1" ht="12.75" customHeight="1">
      <c r="A198" s="322"/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  <c r="L198" s="323"/>
      <c r="M198" s="323"/>
      <c r="N198" s="323"/>
      <c r="O198" s="392"/>
    </row>
    <row r="199" spans="1:15" s="353" customFormat="1">
      <c r="A199" s="322"/>
      <c r="B199" s="323"/>
      <c r="C199" s="323"/>
      <c r="D199" s="323"/>
      <c r="E199" s="323"/>
      <c r="F199" s="323"/>
      <c r="G199" s="323"/>
      <c r="H199" s="323"/>
      <c r="I199" s="323"/>
      <c r="J199" s="323"/>
      <c r="K199" s="323"/>
      <c r="L199" s="323"/>
      <c r="M199" s="323"/>
      <c r="N199" s="323"/>
      <c r="O199" s="392"/>
    </row>
    <row r="200" spans="1:15" s="353" customFormat="1">
      <c r="A200" s="322"/>
      <c r="B200" s="323"/>
      <c r="C200" s="323"/>
      <c r="D200" s="323"/>
      <c r="E200" s="323"/>
      <c r="F200" s="323"/>
      <c r="G200" s="323"/>
      <c r="H200" s="323"/>
      <c r="I200" s="323"/>
      <c r="J200" s="323"/>
      <c r="K200" s="323"/>
      <c r="L200" s="323"/>
      <c r="M200" s="323"/>
      <c r="N200" s="323"/>
      <c r="O200" s="392"/>
    </row>
    <row r="201" spans="1:15" s="353" customFormat="1">
      <c r="A201" s="322"/>
      <c r="B201" s="323"/>
      <c r="C201" s="323"/>
      <c r="D201" s="323"/>
      <c r="E201" s="323"/>
      <c r="F201" s="323"/>
      <c r="G201" s="323"/>
      <c r="H201" s="323"/>
      <c r="I201" s="323"/>
      <c r="J201" s="323"/>
      <c r="K201" s="323"/>
      <c r="L201" s="323"/>
      <c r="M201" s="323"/>
      <c r="N201" s="323"/>
      <c r="O201" s="392"/>
    </row>
    <row r="202" spans="1:15" s="353" customFormat="1">
      <c r="A202" s="322"/>
      <c r="B202" s="323"/>
      <c r="C202" s="323"/>
      <c r="D202" s="323"/>
      <c r="E202" s="323"/>
      <c r="F202" s="323"/>
      <c r="G202" s="323"/>
      <c r="H202" s="323"/>
      <c r="I202" s="323"/>
      <c r="J202" s="323"/>
      <c r="K202" s="323"/>
      <c r="L202" s="323"/>
      <c r="M202" s="323"/>
      <c r="N202" s="323"/>
      <c r="O202" s="392"/>
    </row>
    <row r="203" spans="1:15" s="353" customFormat="1" ht="12" customHeight="1">
      <c r="A203" s="322"/>
      <c r="B203" s="323"/>
      <c r="C203" s="323"/>
      <c r="D203" s="323"/>
      <c r="E203" s="323"/>
      <c r="F203" s="323"/>
      <c r="G203" s="323"/>
      <c r="H203" s="323"/>
      <c r="I203" s="323"/>
      <c r="J203" s="323"/>
      <c r="K203" s="323"/>
      <c r="L203" s="323"/>
      <c r="M203" s="323"/>
      <c r="N203" s="323"/>
      <c r="O203" s="392"/>
    </row>
    <row r="204" spans="1:15" s="353" customFormat="1" ht="10.5" customHeight="1">
      <c r="A204" s="322"/>
      <c r="B204" s="323"/>
      <c r="C204" s="323"/>
      <c r="D204" s="323"/>
      <c r="E204" s="323"/>
      <c r="F204" s="323"/>
      <c r="G204" s="323"/>
      <c r="H204" s="323"/>
      <c r="I204" s="323"/>
      <c r="J204" s="323"/>
      <c r="K204" s="323"/>
      <c r="L204" s="323"/>
      <c r="M204" s="323"/>
      <c r="N204" s="323"/>
      <c r="O204" s="392"/>
    </row>
    <row r="205" spans="1:15" s="353" customFormat="1">
      <c r="A205" s="322"/>
      <c r="B205" s="323"/>
      <c r="C205" s="323"/>
      <c r="D205" s="323"/>
      <c r="E205" s="323"/>
      <c r="F205" s="323"/>
      <c r="G205" s="323"/>
      <c r="H205" s="323"/>
      <c r="I205" s="323"/>
      <c r="J205" s="323"/>
      <c r="K205" s="323"/>
      <c r="L205" s="323"/>
      <c r="M205" s="323"/>
      <c r="N205" s="323"/>
      <c r="O205" s="392"/>
    </row>
    <row r="206" spans="1:15" s="353" customFormat="1">
      <c r="A206" s="322"/>
      <c r="B206" s="323"/>
      <c r="C206" s="323"/>
      <c r="D206" s="323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92"/>
    </row>
    <row r="207" spans="1:15" s="353" customFormat="1">
      <c r="A207" s="322"/>
      <c r="B207" s="323"/>
      <c r="C207" s="323"/>
      <c r="D207" s="323"/>
      <c r="E207" s="323"/>
      <c r="F207" s="323"/>
      <c r="G207" s="323"/>
      <c r="H207" s="323"/>
      <c r="I207" s="323"/>
      <c r="J207" s="323"/>
      <c r="K207" s="323"/>
      <c r="L207" s="323"/>
      <c r="M207" s="323"/>
      <c r="N207" s="323"/>
      <c r="O207" s="392"/>
    </row>
    <row r="208" spans="1:15" s="353" customFormat="1">
      <c r="A208" s="322"/>
      <c r="B208" s="323"/>
      <c r="C208" s="323"/>
      <c r="D208" s="323"/>
      <c r="E208" s="323"/>
      <c r="F208" s="323"/>
      <c r="G208" s="323"/>
      <c r="H208" s="323"/>
      <c r="I208" s="323"/>
      <c r="J208" s="323"/>
      <c r="K208" s="323"/>
      <c r="L208" s="323"/>
      <c r="M208" s="323"/>
      <c r="N208" s="323"/>
      <c r="O208" s="392"/>
    </row>
    <row r="209" spans="1:15" s="353" customFormat="1">
      <c r="A209" s="322"/>
      <c r="B209" s="323"/>
      <c r="C209" s="323"/>
      <c r="D209" s="323"/>
      <c r="E209" s="323"/>
      <c r="F209" s="323"/>
      <c r="G209" s="323"/>
      <c r="H209" s="323"/>
      <c r="I209" s="323"/>
      <c r="J209" s="323"/>
      <c r="K209" s="323"/>
      <c r="L209" s="323"/>
      <c r="M209" s="323"/>
      <c r="N209" s="323"/>
      <c r="O209" s="392"/>
    </row>
    <row r="210" spans="1:15" s="353" customFormat="1" ht="32.25" customHeight="1">
      <c r="A210" s="322"/>
      <c r="B210" s="323"/>
      <c r="C210" s="323"/>
      <c r="D210" s="323"/>
      <c r="E210" s="323"/>
      <c r="F210" s="323"/>
      <c r="G210" s="323"/>
      <c r="H210" s="323"/>
      <c r="I210" s="323"/>
      <c r="J210" s="323"/>
      <c r="K210" s="323"/>
      <c r="L210" s="323"/>
      <c r="M210" s="323"/>
      <c r="N210" s="323"/>
      <c r="O210" s="392"/>
    </row>
    <row r="211" spans="1:15" s="353" customFormat="1" ht="15" customHeight="1">
      <c r="A211" s="322"/>
      <c r="B211" s="323"/>
      <c r="C211" s="323"/>
      <c r="D211" s="323"/>
      <c r="E211" s="323"/>
      <c r="F211" s="323"/>
      <c r="G211" s="323"/>
      <c r="H211" s="323"/>
      <c r="I211" s="323"/>
      <c r="J211" s="323"/>
      <c r="K211" s="323"/>
      <c r="L211" s="323"/>
      <c r="M211" s="323"/>
      <c r="N211" s="323"/>
      <c r="O211" s="392"/>
    </row>
    <row r="212" spans="1:15" s="353" customFormat="1" ht="12.75" customHeight="1">
      <c r="A212" s="322"/>
      <c r="B212" s="323"/>
      <c r="C212" s="323"/>
      <c r="D212" s="323"/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92"/>
    </row>
    <row r="213" spans="1:15" s="353" customFormat="1">
      <c r="A213" s="322"/>
      <c r="B213" s="323"/>
      <c r="C213" s="323"/>
      <c r="D213" s="323"/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92"/>
    </row>
    <row r="214" spans="1:15" s="353" customFormat="1">
      <c r="A214" s="322"/>
      <c r="B214" s="323"/>
      <c r="C214" s="323"/>
      <c r="D214" s="323"/>
      <c r="E214" s="323"/>
      <c r="F214" s="323"/>
      <c r="G214" s="323"/>
      <c r="H214" s="323"/>
      <c r="I214" s="323"/>
      <c r="J214" s="323"/>
      <c r="K214" s="323"/>
      <c r="L214" s="323"/>
      <c r="M214" s="323"/>
      <c r="N214" s="323"/>
      <c r="O214" s="1892"/>
    </row>
    <row r="215" spans="1:15" s="353" customFormat="1">
      <c r="A215" s="322"/>
      <c r="B215" s="323"/>
      <c r="C215" s="323"/>
      <c r="D215" s="323"/>
      <c r="E215" s="323"/>
      <c r="F215" s="323"/>
      <c r="G215" s="323"/>
      <c r="H215" s="323"/>
      <c r="I215" s="323"/>
      <c r="J215" s="323"/>
      <c r="K215" s="323"/>
      <c r="L215" s="323"/>
      <c r="M215" s="323"/>
      <c r="N215" s="323"/>
      <c r="O215" s="1892"/>
    </row>
    <row r="216" spans="1:15" s="353" customFormat="1" ht="21.75" customHeight="1">
      <c r="A216" s="322"/>
      <c r="B216" s="323"/>
      <c r="C216" s="323"/>
      <c r="D216" s="323"/>
      <c r="E216" s="323"/>
      <c r="F216" s="323"/>
      <c r="G216" s="323"/>
      <c r="H216" s="323"/>
      <c r="I216" s="323"/>
      <c r="J216" s="323"/>
      <c r="K216" s="323"/>
      <c r="L216" s="323"/>
      <c r="M216" s="323"/>
      <c r="N216" s="323"/>
      <c r="O216" s="1892"/>
    </row>
    <row r="217" spans="1:15" s="353" customFormat="1" ht="12.75" customHeight="1">
      <c r="A217" s="322"/>
      <c r="B217" s="323"/>
      <c r="C217" s="323"/>
      <c r="D217" s="323"/>
      <c r="E217" s="323"/>
      <c r="F217" s="323"/>
      <c r="G217" s="323"/>
      <c r="H217" s="323"/>
      <c r="I217" s="323"/>
      <c r="J217" s="323"/>
      <c r="K217" s="323"/>
      <c r="L217" s="323"/>
      <c r="M217" s="323"/>
      <c r="N217" s="323"/>
      <c r="O217" s="1892"/>
    </row>
    <row r="218" spans="1:15" s="353" customFormat="1" ht="12.75" customHeight="1">
      <c r="A218" s="322"/>
      <c r="B218" s="323"/>
      <c r="C218" s="323"/>
      <c r="D218" s="323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1892"/>
    </row>
    <row r="219" spans="1:15" s="353" customFormat="1">
      <c r="A219" s="322"/>
      <c r="B219" s="323"/>
      <c r="C219" s="323"/>
      <c r="D219" s="323"/>
      <c r="E219" s="323"/>
      <c r="F219" s="323"/>
      <c r="G219" s="323"/>
      <c r="H219" s="323"/>
      <c r="I219" s="323"/>
      <c r="J219" s="323"/>
      <c r="K219" s="323"/>
      <c r="L219" s="323"/>
      <c r="M219" s="323"/>
      <c r="N219" s="323"/>
      <c r="O219" s="1892"/>
    </row>
    <row r="220" spans="1:15" s="353" customFormat="1">
      <c r="A220" s="322"/>
      <c r="B220" s="323"/>
      <c r="C220" s="323"/>
      <c r="D220" s="323"/>
      <c r="E220" s="323"/>
      <c r="F220" s="323"/>
      <c r="G220" s="323"/>
      <c r="H220" s="323"/>
      <c r="I220" s="323"/>
      <c r="J220" s="323"/>
      <c r="K220" s="323"/>
      <c r="L220" s="323"/>
      <c r="M220" s="323"/>
      <c r="N220" s="323"/>
      <c r="O220" s="1892"/>
    </row>
    <row r="221" spans="1:15" s="353" customFormat="1">
      <c r="A221" s="322"/>
      <c r="B221" s="323"/>
      <c r="C221" s="323"/>
      <c r="D221" s="323"/>
      <c r="E221" s="323"/>
      <c r="F221" s="323"/>
      <c r="G221" s="323"/>
      <c r="H221" s="323"/>
      <c r="I221" s="323"/>
      <c r="J221" s="323"/>
      <c r="K221" s="323"/>
      <c r="L221" s="323"/>
      <c r="M221" s="323"/>
      <c r="N221" s="323"/>
      <c r="O221" s="1892"/>
    </row>
    <row r="222" spans="1:15" s="353" customFormat="1">
      <c r="A222" s="322"/>
      <c r="B222" s="323"/>
      <c r="C222" s="323"/>
      <c r="D222" s="323"/>
      <c r="E222" s="323"/>
      <c r="F222" s="323"/>
      <c r="G222" s="323"/>
      <c r="H222" s="323"/>
      <c r="I222" s="323"/>
      <c r="J222" s="323"/>
      <c r="K222" s="323"/>
      <c r="L222" s="323"/>
      <c r="M222" s="323"/>
      <c r="N222" s="323"/>
      <c r="O222" s="1892"/>
    </row>
    <row r="223" spans="1:15" s="1891" customFormat="1" ht="35.25" customHeight="1">
      <c r="A223" s="322"/>
      <c r="B223" s="323"/>
      <c r="C223" s="323"/>
      <c r="D223" s="323"/>
      <c r="E223" s="323"/>
      <c r="F223" s="323"/>
      <c r="G223" s="323"/>
      <c r="H223" s="323"/>
      <c r="I223" s="323"/>
      <c r="J223" s="323"/>
      <c r="K223" s="323"/>
      <c r="L223" s="323"/>
      <c r="M223" s="323"/>
      <c r="N223" s="323"/>
      <c r="O223" s="1892"/>
    </row>
    <row r="224" spans="1:15" s="353" customFormat="1" ht="11.25" customHeight="1">
      <c r="A224" s="322"/>
      <c r="B224" s="323"/>
      <c r="C224" s="323"/>
      <c r="D224" s="323"/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1892"/>
    </row>
    <row r="225" spans="1:15" s="353" customFormat="1" ht="12.75" customHeight="1">
      <c r="A225" s="322"/>
      <c r="B225" s="323"/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1892"/>
    </row>
    <row r="226" spans="1:15" s="1891" customFormat="1" ht="14.25" customHeight="1">
      <c r="A226" s="322"/>
      <c r="B226" s="323"/>
      <c r="C226" s="323"/>
      <c r="D226" s="323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1892"/>
    </row>
    <row r="227" spans="1:15" s="353" customFormat="1" ht="11.25" customHeight="1">
      <c r="A227" s="322"/>
      <c r="B227" s="323"/>
      <c r="C227" s="323"/>
      <c r="D227" s="323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1892"/>
    </row>
    <row r="228" spans="1:15" s="353" customFormat="1" ht="12.75" customHeight="1">
      <c r="A228" s="322"/>
      <c r="B228" s="323"/>
      <c r="C228" s="323"/>
      <c r="D228" s="323"/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1892"/>
    </row>
    <row r="229" spans="1:15" s="1891" customFormat="1" ht="23.25" customHeight="1">
      <c r="A229" s="322"/>
      <c r="B229" s="323"/>
      <c r="C229" s="323"/>
      <c r="D229" s="323"/>
      <c r="E229" s="323"/>
      <c r="F229" s="323"/>
      <c r="G229" s="323"/>
      <c r="H229" s="323"/>
      <c r="I229" s="323"/>
      <c r="J229" s="323"/>
      <c r="K229" s="323"/>
      <c r="L229" s="323"/>
      <c r="M229" s="323"/>
      <c r="N229" s="323"/>
      <c r="O229" s="1892"/>
    </row>
    <row r="230" spans="1:15" s="353" customFormat="1" ht="11.25" customHeight="1">
      <c r="A230" s="322"/>
      <c r="B230" s="323"/>
      <c r="C230" s="323"/>
      <c r="D230" s="323"/>
      <c r="E230" s="323"/>
      <c r="F230" s="323"/>
      <c r="G230" s="323"/>
      <c r="H230" s="323"/>
      <c r="I230" s="323"/>
      <c r="J230" s="323"/>
      <c r="K230" s="323"/>
      <c r="L230" s="323"/>
      <c r="M230" s="323"/>
      <c r="N230" s="323"/>
      <c r="O230" s="1892"/>
    </row>
    <row r="231" spans="1:15" s="353" customFormat="1">
      <c r="A231" s="322"/>
      <c r="B231" s="323"/>
      <c r="C231" s="323"/>
      <c r="D231" s="323"/>
      <c r="E231" s="323"/>
      <c r="F231" s="323"/>
      <c r="G231" s="323"/>
      <c r="H231" s="323"/>
      <c r="I231" s="323"/>
      <c r="J231" s="323"/>
      <c r="K231" s="323"/>
      <c r="L231" s="323"/>
      <c r="M231" s="323"/>
      <c r="N231" s="323"/>
      <c r="O231" s="1892"/>
    </row>
    <row r="232" spans="1:15" s="353" customFormat="1">
      <c r="A232" s="322"/>
      <c r="B232" s="323"/>
      <c r="C232" s="323"/>
      <c r="D232" s="323"/>
      <c r="E232" s="323"/>
      <c r="F232" s="323"/>
      <c r="G232" s="323"/>
      <c r="H232" s="323"/>
      <c r="I232" s="323"/>
      <c r="J232" s="323"/>
      <c r="K232" s="323"/>
      <c r="L232" s="323"/>
      <c r="M232" s="323"/>
      <c r="N232" s="323"/>
      <c r="O232" s="1892"/>
    </row>
    <row r="233" spans="1:15" s="1891" customFormat="1" ht="23.25" customHeight="1">
      <c r="A233" s="322"/>
      <c r="B233" s="323"/>
      <c r="C233" s="323"/>
      <c r="D233" s="323"/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1892"/>
    </row>
    <row r="234" spans="1:15" s="353" customFormat="1" ht="11.25" customHeight="1">
      <c r="A234" s="322"/>
      <c r="B234" s="323"/>
      <c r="C234" s="323"/>
      <c r="D234" s="323"/>
      <c r="E234" s="323"/>
      <c r="F234" s="323"/>
      <c r="G234" s="323"/>
      <c r="H234" s="323"/>
      <c r="I234" s="323"/>
      <c r="J234" s="323"/>
      <c r="K234" s="323"/>
      <c r="L234" s="323"/>
      <c r="M234" s="323"/>
      <c r="N234" s="323"/>
      <c r="O234" s="1892"/>
    </row>
    <row r="235" spans="1:15" s="353" customFormat="1">
      <c r="A235" s="322"/>
      <c r="B235" s="323"/>
      <c r="C235" s="323"/>
      <c r="D235" s="323"/>
      <c r="E235" s="323"/>
      <c r="F235" s="323"/>
      <c r="G235" s="323"/>
      <c r="H235" s="323"/>
      <c r="I235" s="323"/>
      <c r="J235" s="323"/>
      <c r="K235" s="323"/>
      <c r="L235" s="323"/>
      <c r="M235" s="323"/>
      <c r="N235" s="323"/>
      <c r="O235" s="1892"/>
    </row>
    <row r="236" spans="1:15">
      <c r="O236" s="1892"/>
    </row>
    <row r="237" spans="1:15">
      <c r="O237" s="1892"/>
    </row>
    <row r="238" spans="1:15">
      <c r="O238" s="1892"/>
    </row>
    <row r="239" spans="1:15">
      <c r="O239" s="1892"/>
    </row>
    <row r="240" spans="1:15">
      <c r="O240" s="1892"/>
    </row>
    <row r="241" spans="15:15">
      <c r="O241" s="1892"/>
    </row>
    <row r="242" spans="15:15">
      <c r="O242" s="1892"/>
    </row>
    <row r="457" spans="1:15" ht="13.5" thickBot="1"/>
    <row r="458" spans="1:15" ht="33.75">
      <c r="A458" s="395"/>
      <c r="B458" s="396" t="s">
        <v>69</v>
      </c>
      <c r="C458" s="396"/>
      <c r="D458" s="397"/>
      <c r="E458" s="397"/>
      <c r="F458" s="397"/>
      <c r="G458" s="397"/>
      <c r="H458" s="397"/>
      <c r="I458" s="397"/>
      <c r="J458" s="397"/>
      <c r="K458" s="397"/>
      <c r="L458" s="397"/>
      <c r="M458" s="397"/>
      <c r="N458" s="397"/>
      <c r="O458" s="398"/>
    </row>
    <row r="459" spans="1:15">
      <c r="A459" s="399"/>
      <c r="O459" s="400"/>
    </row>
    <row r="460" spans="1:15">
      <c r="A460" s="399"/>
      <c r="O460" s="400"/>
    </row>
    <row r="461" spans="1:15">
      <c r="A461" s="399"/>
      <c r="O461" s="400"/>
    </row>
    <row r="462" spans="1:15">
      <c r="A462" s="399"/>
      <c r="O462" s="400"/>
    </row>
    <row r="463" spans="1:15">
      <c r="A463" s="399"/>
      <c r="O463" s="400"/>
    </row>
    <row r="464" spans="1:15">
      <c r="A464" s="399"/>
      <c r="O464" s="400"/>
    </row>
    <row r="465" spans="1:15">
      <c r="A465" s="399"/>
      <c r="O465" s="400"/>
    </row>
    <row r="466" spans="1:15">
      <c r="A466" s="399"/>
      <c r="O466" s="400"/>
    </row>
    <row r="467" spans="1:15">
      <c r="A467" s="399"/>
      <c r="O467" s="400"/>
    </row>
    <row r="468" spans="1:15">
      <c r="A468" s="399"/>
      <c r="O468" s="400"/>
    </row>
    <row r="469" spans="1:15" ht="13.5" thickBot="1">
      <c r="A469" s="401"/>
      <c r="B469" s="402"/>
      <c r="C469" s="402"/>
      <c r="D469" s="402"/>
      <c r="E469" s="402"/>
      <c r="F469" s="402"/>
      <c r="G469" s="402"/>
      <c r="H469" s="402"/>
      <c r="I469" s="402"/>
      <c r="J469" s="402"/>
      <c r="K469" s="402"/>
      <c r="L469" s="402"/>
      <c r="M469" s="402"/>
      <c r="N469" s="402"/>
      <c r="O469" s="403"/>
    </row>
  </sheetData>
  <mergeCells count="37">
    <mergeCell ref="A5:E5"/>
    <mergeCell ref="C6:C8"/>
    <mergeCell ref="D6:D8"/>
    <mergeCell ref="E6:E8"/>
    <mergeCell ref="A60:O60"/>
    <mergeCell ref="A57:O57"/>
    <mergeCell ref="A59:I59"/>
    <mergeCell ref="A58:L58"/>
    <mergeCell ref="C49:C51"/>
    <mergeCell ref="A47:A51"/>
    <mergeCell ref="A52:A56"/>
    <mergeCell ref="O6:O8"/>
    <mergeCell ref="N6:N8"/>
    <mergeCell ref="N23:N28"/>
    <mergeCell ref="G6:L6"/>
    <mergeCell ref="K7:K8"/>
    <mergeCell ref="L7:L8"/>
    <mergeCell ref="M6:M8"/>
    <mergeCell ref="M23:M28"/>
    <mergeCell ref="F6:F8"/>
    <mergeCell ref="G7:G8"/>
    <mergeCell ref="H7:H8"/>
    <mergeCell ref="I7:I8"/>
    <mergeCell ref="J7:J8"/>
    <mergeCell ref="Q29:S39"/>
    <mergeCell ref="C31:C36"/>
    <mergeCell ref="C39:C41"/>
    <mergeCell ref="N38:N41"/>
    <mergeCell ref="A29:A41"/>
    <mergeCell ref="O29:O41"/>
    <mergeCell ref="M38:M41"/>
    <mergeCell ref="O52:O56"/>
    <mergeCell ref="C54:C56"/>
    <mergeCell ref="O47:O51"/>
    <mergeCell ref="A42:A46"/>
    <mergeCell ref="O42:O46"/>
    <mergeCell ref="C44:C46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2" firstPageNumber="39" orientation="landscape" useFirstPageNumber="1" r:id="rId1"/>
  <headerFooter alignWithMargins="0">
    <oddHeader>&amp;C&amp;"Arial,Kursywa"Wieloletnia prognoza finansowa Województwa Zachodniopomorskiego na lata 2017 - 2044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5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194"/>
  <sheetViews>
    <sheetView showGridLines="0" view="pageBreakPreview" zoomScale="115" zoomScaleNormal="100" zoomScaleSheetLayoutView="115" workbookViewId="0">
      <pane ySplit="8" topLeftCell="A9" activePane="bottomLeft" state="frozen"/>
      <selection activeCell="L250" sqref="L250"/>
      <selection pane="bottomLeft" activeCell="A9" sqref="A9"/>
    </sheetView>
  </sheetViews>
  <sheetFormatPr defaultColWidth="9.140625" defaultRowHeight="11.25"/>
  <cols>
    <col min="1" max="1" width="2.85546875" style="2225" customWidth="1"/>
    <col min="2" max="2" width="56.28515625" style="2226" customWidth="1"/>
    <col min="3" max="3" width="10" style="2226" customWidth="1"/>
    <col min="4" max="4" width="14.140625" style="2226" customWidth="1"/>
    <col min="5" max="5" width="12" style="2226" customWidth="1"/>
    <col min="6" max="6" width="10.42578125" style="2226" customWidth="1"/>
    <col min="7" max="7" width="10.140625" style="2226" customWidth="1"/>
    <col min="8" max="8" width="9.28515625" style="2226" customWidth="1"/>
    <col min="9" max="12" width="9.5703125" style="2226" customWidth="1"/>
    <col min="13" max="13" width="10.5703125" style="2226" customWidth="1"/>
    <col min="14" max="14" width="10.5703125" style="2226" hidden="1" customWidth="1"/>
    <col min="15" max="15" width="15.7109375" style="2383" customWidth="1"/>
    <col min="16" max="32" width="0" style="2226" hidden="1" customWidth="1"/>
    <col min="33" max="16384" width="9.140625" style="2226"/>
  </cols>
  <sheetData>
    <row r="1" spans="1:15" ht="18" customHeight="1">
      <c r="H1" s="2227" t="s">
        <v>129</v>
      </c>
      <c r="I1" s="2227"/>
      <c r="J1" s="2227"/>
      <c r="K1" s="2227"/>
      <c r="L1" s="2227"/>
      <c r="M1" s="2228"/>
      <c r="N1" s="2228"/>
      <c r="O1" s="2229"/>
    </row>
    <row r="2" spans="1:15" ht="7.5" customHeight="1">
      <c r="I2" s="2228"/>
      <c r="J2" s="2228"/>
      <c r="K2" s="2228"/>
      <c r="L2" s="2228"/>
      <c r="M2" s="2228"/>
      <c r="N2" s="2228"/>
      <c r="O2" s="2229"/>
    </row>
    <row r="3" spans="1:15" ht="14.25" hidden="1" customHeight="1">
      <c r="F3" s="2230"/>
      <c r="G3" s="2230"/>
      <c r="H3" s="2230"/>
      <c r="I3" s="2228"/>
      <c r="J3" s="2228"/>
      <c r="K3" s="2228"/>
      <c r="L3" s="2228"/>
      <c r="M3" s="2228"/>
      <c r="N3" s="2228"/>
      <c r="O3" s="2229"/>
    </row>
    <row r="4" spans="1:15" ht="9" customHeight="1">
      <c r="F4" s="2230"/>
      <c r="G4" s="2230"/>
      <c r="H4" s="2230"/>
      <c r="I4" s="2228"/>
      <c r="J4" s="2228"/>
      <c r="K4" s="2228"/>
      <c r="L4" s="2228"/>
      <c r="M4" s="2228"/>
      <c r="N4" s="2228"/>
      <c r="O4" s="2229"/>
    </row>
    <row r="5" spans="1:15" ht="38.25" customHeight="1" thickBot="1">
      <c r="A5" s="3210" t="s">
        <v>130</v>
      </c>
      <c r="B5" s="3210"/>
      <c r="C5" s="3210"/>
      <c r="D5" s="3210"/>
      <c r="E5" s="3210"/>
      <c r="F5" s="3210"/>
      <c r="G5" s="3210"/>
      <c r="H5" s="3210"/>
      <c r="I5" s="3210"/>
      <c r="J5" s="3210"/>
      <c r="K5" s="3210"/>
      <c r="L5" s="3210"/>
      <c r="M5" s="3210"/>
      <c r="N5" s="3210"/>
      <c r="O5" s="3210"/>
    </row>
    <row r="6" spans="1:15" s="2550" customFormat="1" ht="33.75" customHeight="1">
      <c r="A6" s="2231"/>
      <c r="B6" s="3217" t="s">
        <v>75</v>
      </c>
      <c r="C6" s="3220" t="s">
        <v>71</v>
      </c>
      <c r="D6" s="3223" t="s">
        <v>131</v>
      </c>
      <c r="E6" s="3232" t="s">
        <v>459</v>
      </c>
      <c r="F6" s="3235" t="s">
        <v>454</v>
      </c>
      <c r="G6" s="3238" t="s">
        <v>456</v>
      </c>
      <c r="H6" s="3239"/>
      <c r="I6" s="3239"/>
      <c r="J6" s="3239"/>
      <c r="K6" s="3239"/>
      <c r="L6" s="3240"/>
      <c r="M6" s="3229" t="s">
        <v>479</v>
      </c>
      <c r="N6" s="3229" t="s">
        <v>457</v>
      </c>
      <c r="O6" s="3226" t="s">
        <v>73</v>
      </c>
    </row>
    <row r="7" spans="1:15" s="2550" customFormat="1" ht="25.5" customHeight="1">
      <c r="A7" s="2232" t="s">
        <v>74</v>
      </c>
      <c r="B7" s="3218"/>
      <c r="C7" s="3221"/>
      <c r="D7" s="3224"/>
      <c r="E7" s="3233"/>
      <c r="F7" s="3236"/>
      <c r="G7" s="3241" t="s">
        <v>6</v>
      </c>
      <c r="H7" s="3241" t="s">
        <v>184</v>
      </c>
      <c r="I7" s="3241" t="s">
        <v>186</v>
      </c>
      <c r="J7" s="3241" t="s">
        <v>230</v>
      </c>
      <c r="K7" s="3241" t="s">
        <v>231</v>
      </c>
      <c r="L7" s="3241" t="s">
        <v>229</v>
      </c>
      <c r="M7" s="3230"/>
      <c r="N7" s="3230"/>
      <c r="O7" s="3227"/>
    </row>
    <row r="8" spans="1:15" s="2550" customFormat="1" ht="20.25" customHeight="1" thickBot="1">
      <c r="A8" s="2232"/>
      <c r="B8" s="3219"/>
      <c r="C8" s="3222"/>
      <c r="D8" s="3225"/>
      <c r="E8" s="3234"/>
      <c r="F8" s="3237"/>
      <c r="G8" s="3242"/>
      <c r="H8" s="3242"/>
      <c r="I8" s="3242"/>
      <c r="J8" s="3242"/>
      <c r="K8" s="3242"/>
      <c r="L8" s="3242"/>
      <c r="M8" s="3231"/>
      <c r="N8" s="3231"/>
      <c r="O8" s="3228"/>
    </row>
    <row r="9" spans="1:15" s="2550" customFormat="1" ht="12.75" customHeight="1">
      <c r="A9" s="2413">
        <v>1</v>
      </c>
      <c r="B9" s="2414">
        <v>2</v>
      </c>
      <c r="C9" s="2415" t="s">
        <v>119</v>
      </c>
      <c r="D9" s="2415" t="s">
        <v>120</v>
      </c>
      <c r="E9" s="2415">
        <v>5</v>
      </c>
      <c r="F9" s="2415">
        <v>6</v>
      </c>
      <c r="G9" s="2415">
        <v>7</v>
      </c>
      <c r="H9" s="2415">
        <v>8</v>
      </c>
      <c r="I9" s="2415">
        <v>9</v>
      </c>
      <c r="J9" s="2415">
        <v>10</v>
      </c>
      <c r="K9" s="2415">
        <v>11</v>
      </c>
      <c r="L9" s="2415">
        <v>12</v>
      </c>
      <c r="M9" s="2417">
        <v>13</v>
      </c>
      <c r="N9" s="2417">
        <v>13</v>
      </c>
      <c r="O9" s="2416">
        <v>14</v>
      </c>
    </row>
    <row r="10" spans="1:15" s="2550" customFormat="1" ht="17.25" customHeight="1">
      <c r="A10" s="2233"/>
      <c r="B10" s="2234" t="s">
        <v>76</v>
      </c>
      <c r="C10" s="2235"/>
      <c r="D10" s="226">
        <f>+D11+D12</f>
        <v>826764</v>
      </c>
      <c r="E10" s="226">
        <f t="shared" ref="E10" si="0">+E11+E12</f>
        <v>619190</v>
      </c>
      <c r="F10" s="226">
        <f t="shared" ref="F10:G10" si="1">+F11+F12</f>
        <v>185692</v>
      </c>
      <c r="G10" s="226">
        <f t="shared" si="1"/>
        <v>21882</v>
      </c>
      <c r="H10" s="226">
        <f t="shared" ref="H10:L10" si="2">+H11+H12</f>
        <v>0</v>
      </c>
      <c r="I10" s="226">
        <f t="shared" si="2"/>
        <v>0</v>
      </c>
      <c r="J10" s="226">
        <f t="shared" si="2"/>
        <v>0</v>
      </c>
      <c r="K10" s="226">
        <f t="shared" si="2"/>
        <v>0</v>
      </c>
      <c r="L10" s="226">
        <f t="shared" si="2"/>
        <v>0</v>
      </c>
      <c r="M10" s="153">
        <f>+M11+M12</f>
        <v>207574</v>
      </c>
      <c r="N10" s="153">
        <f>+N11+N12</f>
        <v>21882</v>
      </c>
      <c r="O10" s="2237"/>
    </row>
    <row r="11" spans="1:15" s="2550" customFormat="1" ht="13.5" customHeight="1">
      <c r="A11" s="2233"/>
      <c r="B11" s="2238" t="s">
        <v>77</v>
      </c>
      <c r="C11" s="2239"/>
      <c r="D11" s="218">
        <f>+D22+D33+D44+D51+D58+D65</f>
        <v>826764</v>
      </c>
      <c r="E11" s="218">
        <f>+E22+E33+E44+E51+E58+E65</f>
        <v>619190</v>
      </c>
      <c r="F11" s="218">
        <f>+F22+F33+F44+F51+F58+F65</f>
        <v>185692</v>
      </c>
      <c r="G11" s="218">
        <f>+G22+G33+G44+G51+G58+G65</f>
        <v>21882</v>
      </c>
      <c r="H11" s="218">
        <f t="shared" ref="H11:L11" si="3">+H22+H33+H44+H51+H58+H65</f>
        <v>0</v>
      </c>
      <c r="I11" s="218">
        <f t="shared" si="3"/>
        <v>0</v>
      </c>
      <c r="J11" s="218">
        <f t="shared" si="3"/>
        <v>0</v>
      </c>
      <c r="K11" s="218">
        <f t="shared" si="3"/>
        <v>0</v>
      </c>
      <c r="L11" s="218">
        <f t="shared" si="3"/>
        <v>0</v>
      </c>
      <c r="M11" s="18">
        <f>SUM(F11:K11)</f>
        <v>207574</v>
      </c>
      <c r="N11" s="18">
        <f>SUM(G11:L11)</f>
        <v>21882</v>
      </c>
      <c r="O11" s="2237"/>
    </row>
    <row r="12" spans="1:15" s="2550" customFormat="1" ht="13.5" customHeight="1" thickBot="1">
      <c r="A12" s="2233"/>
      <c r="B12" s="2242" t="s">
        <v>9</v>
      </c>
      <c r="C12" s="2239"/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18">
        <v>0</v>
      </c>
      <c r="L12" s="218">
        <v>0</v>
      </c>
      <c r="M12" s="18">
        <f>SUM(E12:K12)</f>
        <v>0</v>
      </c>
      <c r="N12" s="18">
        <f>SUM(F12:L12)</f>
        <v>0</v>
      </c>
      <c r="O12" s="2237"/>
    </row>
    <row r="13" spans="1:15" ht="14.25" customHeight="1">
      <c r="A13" s="2243"/>
      <c r="B13" s="2244" t="s">
        <v>10</v>
      </c>
      <c r="C13" s="2245"/>
      <c r="D13" s="159">
        <f>+D14+D16</f>
        <v>826764</v>
      </c>
      <c r="E13" s="159">
        <f t="shared" ref="E13" si="4">+E14+E16</f>
        <v>619190</v>
      </c>
      <c r="F13" s="159">
        <f t="shared" ref="F13" si="5">+F14+F16</f>
        <v>185692</v>
      </c>
      <c r="G13" s="159">
        <f t="shared" ref="G13:N13" si="6">+G14+G16</f>
        <v>21882</v>
      </c>
      <c r="H13" s="159">
        <f t="shared" si="6"/>
        <v>0</v>
      </c>
      <c r="I13" s="159">
        <f t="shared" si="6"/>
        <v>0</v>
      </c>
      <c r="J13" s="159">
        <f t="shared" si="6"/>
        <v>0</v>
      </c>
      <c r="K13" s="159">
        <f t="shared" si="6"/>
        <v>0</v>
      </c>
      <c r="L13" s="159">
        <f t="shared" si="6"/>
        <v>0</v>
      </c>
      <c r="M13" s="193">
        <f t="shared" ref="M13" si="7">+M14+M16</f>
        <v>207574</v>
      </c>
      <c r="N13" s="193">
        <f t="shared" si="6"/>
        <v>21882</v>
      </c>
      <c r="O13" s="2237"/>
    </row>
    <row r="14" spans="1:15" ht="14.25" customHeight="1">
      <c r="A14" s="2233"/>
      <c r="B14" s="2246" t="s">
        <v>11</v>
      </c>
      <c r="C14" s="2247"/>
      <c r="D14" s="2389">
        <f>+D15</f>
        <v>349415</v>
      </c>
      <c r="E14" s="2389">
        <f t="shared" ref="E14:L14" si="8">+E15</f>
        <v>274500</v>
      </c>
      <c r="F14" s="2389">
        <f t="shared" si="8"/>
        <v>74915</v>
      </c>
      <c r="G14" s="2389">
        <f t="shared" si="8"/>
        <v>0</v>
      </c>
      <c r="H14" s="2389">
        <f t="shared" si="8"/>
        <v>0</v>
      </c>
      <c r="I14" s="2389">
        <f t="shared" si="8"/>
        <v>0</v>
      </c>
      <c r="J14" s="2389">
        <f t="shared" si="8"/>
        <v>0</v>
      </c>
      <c r="K14" s="2389">
        <f t="shared" si="8"/>
        <v>0</v>
      </c>
      <c r="L14" s="2389">
        <f t="shared" si="8"/>
        <v>0</v>
      </c>
      <c r="M14" s="2390">
        <f>+M15</f>
        <v>74915</v>
      </c>
      <c r="N14" s="2390">
        <f>+N15</f>
        <v>0</v>
      </c>
      <c r="O14" s="2248"/>
    </row>
    <row r="15" spans="1:15" ht="13.5" customHeight="1">
      <c r="A15" s="2249"/>
      <c r="B15" s="2250" t="s">
        <v>12</v>
      </c>
      <c r="C15" s="2251"/>
      <c r="D15" s="2391">
        <f>+D24+D35</f>
        <v>349415</v>
      </c>
      <c r="E15" s="2391">
        <f t="shared" ref="E15" si="9">+E24+E35</f>
        <v>274500</v>
      </c>
      <c r="F15" s="2391">
        <f t="shared" ref="F15" si="10">+F24+F35</f>
        <v>74915</v>
      </c>
      <c r="G15" s="2391">
        <f t="shared" ref="G15:L15" si="11">+G24+G35</f>
        <v>0</v>
      </c>
      <c r="H15" s="2391">
        <f t="shared" si="11"/>
        <v>0</v>
      </c>
      <c r="I15" s="2391">
        <f t="shared" si="11"/>
        <v>0</v>
      </c>
      <c r="J15" s="2391">
        <f t="shared" si="11"/>
        <v>0</v>
      </c>
      <c r="K15" s="2391">
        <f t="shared" si="11"/>
        <v>0</v>
      </c>
      <c r="L15" s="2391">
        <f t="shared" si="11"/>
        <v>0</v>
      </c>
      <c r="M15" s="2158">
        <f>+H15+G15+F15+I15+J15+K15</f>
        <v>74915</v>
      </c>
      <c r="N15" s="2158">
        <f>+I15+H15+G15+J15+K15+L15</f>
        <v>0</v>
      </c>
      <c r="O15" s="2237"/>
    </row>
    <row r="16" spans="1:15" ht="14.25" customHeight="1">
      <c r="A16" s="2233"/>
      <c r="B16" s="2252" t="s">
        <v>18</v>
      </c>
      <c r="C16" s="2253"/>
      <c r="D16" s="167">
        <f>SUM(D17)</f>
        <v>477349</v>
      </c>
      <c r="E16" s="167">
        <f t="shared" ref="E16" si="12">SUM(E17)</f>
        <v>344690</v>
      </c>
      <c r="F16" s="167">
        <f t="shared" ref="F16:N16" si="13">SUM(F17)</f>
        <v>110777</v>
      </c>
      <c r="G16" s="2389">
        <f t="shared" si="13"/>
        <v>21882</v>
      </c>
      <c r="H16" s="2389">
        <f t="shared" si="13"/>
        <v>0</v>
      </c>
      <c r="I16" s="2389">
        <f t="shared" si="13"/>
        <v>0</v>
      </c>
      <c r="J16" s="2389">
        <f t="shared" si="13"/>
        <v>0</v>
      </c>
      <c r="K16" s="2389">
        <f t="shared" si="13"/>
        <v>0</v>
      </c>
      <c r="L16" s="2389">
        <f t="shared" si="13"/>
        <v>0</v>
      </c>
      <c r="M16" s="2390">
        <f t="shared" si="13"/>
        <v>132659</v>
      </c>
      <c r="N16" s="2390">
        <f t="shared" si="13"/>
        <v>21882</v>
      </c>
      <c r="O16" s="2248"/>
    </row>
    <row r="17" spans="1:16" ht="12" customHeight="1">
      <c r="A17" s="2254"/>
      <c r="B17" s="2255" t="s">
        <v>20</v>
      </c>
      <c r="C17" s="2256"/>
      <c r="D17" s="2391">
        <f>+D26+D37+D46+D53+D60+D67</f>
        <v>477349</v>
      </c>
      <c r="E17" s="2391">
        <f t="shared" ref="E17" si="14">+E26+E37+E46+E53+E60+E67</f>
        <v>344690</v>
      </c>
      <c r="F17" s="2391">
        <f t="shared" ref="F17:L17" si="15">+F26+F37+F46+F53+F60+F67</f>
        <v>110777</v>
      </c>
      <c r="G17" s="2391">
        <f t="shared" si="15"/>
        <v>21882</v>
      </c>
      <c r="H17" s="2391">
        <f t="shared" si="15"/>
        <v>0</v>
      </c>
      <c r="I17" s="2391">
        <f t="shared" si="15"/>
        <v>0</v>
      </c>
      <c r="J17" s="2391">
        <f t="shared" si="15"/>
        <v>0</v>
      </c>
      <c r="K17" s="2391">
        <f t="shared" si="15"/>
        <v>0</v>
      </c>
      <c r="L17" s="2391">
        <f t="shared" si="15"/>
        <v>0</v>
      </c>
      <c r="M17" s="2158">
        <f>+H17+G17+F17+I17+J17+K17</f>
        <v>132659</v>
      </c>
      <c r="N17" s="2158">
        <f>+I17+H17+G17+J17+K17+L17</f>
        <v>21882</v>
      </c>
      <c r="O17" s="2257"/>
    </row>
    <row r="18" spans="1:16" s="2261" customFormat="1" ht="14.25" customHeight="1">
      <c r="A18" s="2233"/>
      <c r="B18" s="2258" t="s">
        <v>22</v>
      </c>
      <c r="C18" s="2259"/>
      <c r="D18" s="426">
        <f>+D19</f>
        <v>477349</v>
      </c>
      <c r="E18" s="426">
        <f t="shared" ref="E18:J19" si="16">+E19</f>
        <v>316615</v>
      </c>
      <c r="F18" s="426">
        <f t="shared" si="16"/>
        <v>113775</v>
      </c>
      <c r="G18" s="2392">
        <f t="shared" si="16"/>
        <v>46959</v>
      </c>
      <c r="H18" s="2392">
        <f t="shared" si="16"/>
        <v>0</v>
      </c>
      <c r="I18" s="2392">
        <f t="shared" si="16"/>
        <v>0</v>
      </c>
      <c r="J18" s="2392">
        <f t="shared" si="16"/>
        <v>0</v>
      </c>
      <c r="K18" s="2392">
        <f t="shared" ref="J18:L19" si="17">+K19</f>
        <v>0</v>
      </c>
      <c r="L18" s="2392">
        <f t="shared" si="17"/>
        <v>0</v>
      </c>
      <c r="M18" s="3173" t="s">
        <v>61</v>
      </c>
      <c r="N18" s="3173" t="s">
        <v>61</v>
      </c>
      <c r="O18" s="2260"/>
    </row>
    <row r="19" spans="1:16" s="2261" customFormat="1" ht="14.25" customHeight="1">
      <c r="A19" s="2233"/>
      <c r="B19" s="2252" t="s">
        <v>18</v>
      </c>
      <c r="C19" s="2253"/>
      <c r="D19" s="167">
        <f>+D20</f>
        <v>477349</v>
      </c>
      <c r="E19" s="167">
        <f t="shared" si="16"/>
        <v>316615</v>
      </c>
      <c r="F19" s="167">
        <f t="shared" si="16"/>
        <v>113775</v>
      </c>
      <c r="G19" s="2389">
        <f t="shared" si="16"/>
        <v>46959</v>
      </c>
      <c r="H19" s="2389">
        <f t="shared" si="16"/>
        <v>0</v>
      </c>
      <c r="I19" s="2389">
        <f t="shared" si="16"/>
        <v>0</v>
      </c>
      <c r="J19" s="2389">
        <f t="shared" si="17"/>
        <v>0</v>
      </c>
      <c r="K19" s="2389">
        <f t="shared" si="17"/>
        <v>0</v>
      </c>
      <c r="L19" s="2389">
        <f t="shared" si="17"/>
        <v>0</v>
      </c>
      <c r="M19" s="3174"/>
      <c r="N19" s="3174"/>
      <c r="O19" s="2248"/>
    </row>
    <row r="20" spans="1:16" s="2261" customFormat="1" ht="12.75" customHeight="1" thickBot="1">
      <c r="A20" s="2262"/>
      <c r="B20" s="2263" t="s">
        <v>20</v>
      </c>
      <c r="C20" s="2264"/>
      <c r="D20" s="2393">
        <f>+D31+D42+D49+D56+D63+D70</f>
        <v>477349</v>
      </c>
      <c r="E20" s="2393">
        <f t="shared" ref="E20" si="18">+E31+E42+E49+E56+E63+E70</f>
        <v>316615</v>
      </c>
      <c r="F20" s="2393">
        <f t="shared" ref="F20:L20" si="19">+F31+F42+F49+F56+F63+F70</f>
        <v>113775</v>
      </c>
      <c r="G20" s="2393">
        <f t="shared" si="19"/>
        <v>46959</v>
      </c>
      <c r="H20" s="2393">
        <f t="shared" si="19"/>
        <v>0</v>
      </c>
      <c r="I20" s="2393">
        <f t="shared" si="19"/>
        <v>0</v>
      </c>
      <c r="J20" s="2393">
        <f t="shared" si="19"/>
        <v>0</v>
      </c>
      <c r="K20" s="2393">
        <f t="shared" si="19"/>
        <v>0</v>
      </c>
      <c r="L20" s="2393">
        <f t="shared" si="19"/>
        <v>0</v>
      </c>
      <c r="M20" s="3175"/>
      <c r="N20" s="3175"/>
      <c r="O20" s="2265"/>
      <c r="P20" s="2261">
        <f>D20-D17</f>
        <v>0</v>
      </c>
    </row>
    <row r="21" spans="1:16" ht="39" hidden="1" customHeight="1">
      <c r="A21" s="3187" t="s">
        <v>63</v>
      </c>
      <c r="B21" s="2266" t="s">
        <v>209</v>
      </c>
      <c r="C21" s="2267" t="s">
        <v>109</v>
      </c>
      <c r="D21" s="2394"/>
      <c r="E21" s="2395"/>
      <c r="F21" s="2395"/>
      <c r="G21" s="2395"/>
      <c r="H21" s="2395"/>
      <c r="I21" s="2395"/>
      <c r="J21" s="2395"/>
      <c r="K21" s="2395"/>
      <c r="L21" s="2395"/>
      <c r="M21" s="2396"/>
      <c r="N21" s="2396"/>
      <c r="O21" s="3243"/>
    </row>
    <row r="22" spans="1:16" ht="15" hidden="1" customHeight="1">
      <c r="A22" s="3188"/>
      <c r="B22" s="2269" t="s">
        <v>10</v>
      </c>
      <c r="C22" s="2270"/>
      <c r="D22" s="1975"/>
      <c r="E22" s="1975">
        <f t="shared" ref="E22" si="20">+E23+E25</f>
        <v>0</v>
      </c>
      <c r="F22" s="1975">
        <f>+F23+F25</f>
        <v>0</v>
      </c>
      <c r="G22" s="1975">
        <f>+G23+G25</f>
        <v>0</v>
      </c>
      <c r="H22" s="1975">
        <f>+H23+H25</f>
        <v>0</v>
      </c>
      <c r="I22" s="1975">
        <f>+I23+I25</f>
        <v>0</v>
      </c>
      <c r="J22" s="1975"/>
      <c r="K22" s="1975"/>
      <c r="L22" s="1975"/>
      <c r="M22" s="2201">
        <f>M23+M25</f>
        <v>0</v>
      </c>
      <c r="N22" s="2201" t="e">
        <f>N23+N25</f>
        <v>#REF!</v>
      </c>
      <c r="O22" s="3244"/>
    </row>
    <row r="23" spans="1:16" ht="12.75" hidden="1" customHeight="1">
      <c r="A23" s="3188"/>
      <c r="B23" s="2271" t="s">
        <v>24</v>
      </c>
      <c r="C23" s="3205" t="s">
        <v>133</v>
      </c>
      <c r="D23" s="1964"/>
      <c r="E23" s="1964">
        <f t="shared" ref="E23:I23" si="21">+E24</f>
        <v>0</v>
      </c>
      <c r="F23" s="1964">
        <f t="shared" si="21"/>
        <v>0</v>
      </c>
      <c r="G23" s="1964">
        <f t="shared" si="21"/>
        <v>0</v>
      </c>
      <c r="H23" s="1964">
        <f t="shared" si="21"/>
        <v>0</v>
      </c>
      <c r="I23" s="1964">
        <f t="shared" si="21"/>
        <v>0</v>
      </c>
      <c r="J23" s="1964"/>
      <c r="K23" s="1964"/>
      <c r="L23" s="1964"/>
      <c r="M23" s="1966">
        <f>+M24</f>
        <v>0</v>
      </c>
      <c r="N23" s="1966" t="e">
        <f>+N24</f>
        <v>#REF!</v>
      </c>
      <c r="O23" s="3244"/>
    </row>
    <row r="24" spans="1:16" ht="12.75" hidden="1" customHeight="1">
      <c r="A24" s="3188"/>
      <c r="B24" s="2272" t="s">
        <v>12</v>
      </c>
      <c r="C24" s="3206"/>
      <c r="D24" s="1968"/>
      <c r="E24" s="1968">
        <v>0</v>
      </c>
      <c r="F24" s="176">
        <v>0</v>
      </c>
      <c r="G24" s="176">
        <v>0</v>
      </c>
      <c r="H24" s="176">
        <v>0</v>
      </c>
      <c r="I24" s="176">
        <v>0</v>
      </c>
      <c r="J24" s="176"/>
      <c r="K24" s="176"/>
      <c r="L24" s="176"/>
      <c r="M24" s="2397">
        <f>SUM(F24:K24)</f>
        <v>0</v>
      </c>
      <c r="N24" s="2397" t="e">
        <f>+#REF!+I24+H24+G24+F24+#REF!</f>
        <v>#REF!</v>
      </c>
      <c r="O24" s="3244"/>
    </row>
    <row r="25" spans="1:16" ht="12.75" hidden="1" customHeight="1">
      <c r="A25" s="3188"/>
      <c r="B25" s="2274" t="s">
        <v>18</v>
      </c>
      <c r="C25" s="3206"/>
      <c r="D25" s="1970"/>
      <c r="E25" s="1970">
        <f t="shared" ref="E25:I25" si="22">E26</f>
        <v>0</v>
      </c>
      <c r="F25" s="1970">
        <f t="shared" si="22"/>
        <v>0</v>
      </c>
      <c r="G25" s="1970">
        <f t="shared" si="22"/>
        <v>0</v>
      </c>
      <c r="H25" s="1970">
        <f t="shared" si="22"/>
        <v>0</v>
      </c>
      <c r="I25" s="1970">
        <f t="shared" si="22"/>
        <v>0</v>
      </c>
      <c r="J25" s="1970"/>
      <c r="K25" s="1970"/>
      <c r="L25" s="1970"/>
      <c r="M25" s="1966">
        <f>+M26</f>
        <v>0</v>
      </c>
      <c r="N25" s="1966" t="e">
        <f>+N26</f>
        <v>#REF!</v>
      </c>
      <c r="O25" s="3244"/>
    </row>
    <row r="26" spans="1:16" ht="12" hidden="1">
      <c r="A26" s="3188"/>
      <c r="B26" s="2275" t="s">
        <v>20</v>
      </c>
      <c r="C26" s="3191"/>
      <c r="D26" s="2398"/>
      <c r="E26" s="2399">
        <v>0</v>
      </c>
      <c r="F26" s="138">
        <v>0</v>
      </c>
      <c r="G26" s="138">
        <v>0</v>
      </c>
      <c r="H26" s="138">
        <v>0</v>
      </c>
      <c r="I26" s="138">
        <v>0</v>
      </c>
      <c r="J26" s="138"/>
      <c r="K26" s="138"/>
      <c r="L26" s="138"/>
      <c r="M26" s="2397">
        <f>SUM(F26:K26)</f>
        <v>0</v>
      </c>
      <c r="N26" s="2397" t="e">
        <f>+#REF!+I26+H26+G26+F26+#REF!</f>
        <v>#REF!</v>
      </c>
      <c r="O26" s="3244"/>
    </row>
    <row r="27" spans="1:16" ht="12.75" hidden="1" customHeight="1">
      <c r="A27" s="3204"/>
      <c r="B27" s="2269" t="s">
        <v>22</v>
      </c>
      <c r="C27" s="2276"/>
      <c r="D27" s="1975"/>
      <c r="E27" s="1975">
        <f t="shared" ref="E27" si="23">E28+E30</f>
        <v>0</v>
      </c>
      <c r="F27" s="1975">
        <f>F28+F30</f>
        <v>0</v>
      </c>
      <c r="G27" s="2012">
        <f>G28+G30</f>
        <v>0</v>
      </c>
      <c r="H27" s="2012">
        <f>H28+H30</f>
        <v>0</v>
      </c>
      <c r="I27" s="2012">
        <f>I28+I30</f>
        <v>0</v>
      </c>
      <c r="J27" s="2400"/>
      <c r="K27" s="2400"/>
      <c r="L27" s="2400"/>
      <c r="M27" s="3176" t="s">
        <v>61</v>
      </c>
      <c r="N27" s="3176" t="s">
        <v>61</v>
      </c>
      <c r="O27" s="3244"/>
    </row>
    <row r="28" spans="1:16" ht="12" hidden="1" customHeight="1">
      <c r="A28" s="3204"/>
      <c r="B28" s="2277" t="s">
        <v>24</v>
      </c>
      <c r="C28" s="3205" t="s">
        <v>133</v>
      </c>
      <c r="D28" s="1964"/>
      <c r="E28" s="1964"/>
      <c r="F28" s="1964">
        <f t="shared" ref="F28:I28" si="24">F29</f>
        <v>0</v>
      </c>
      <c r="G28" s="2013">
        <f t="shared" si="24"/>
        <v>0</v>
      </c>
      <c r="H28" s="2013">
        <f t="shared" si="24"/>
        <v>0</v>
      </c>
      <c r="I28" s="2013">
        <f t="shared" si="24"/>
        <v>0</v>
      </c>
      <c r="J28" s="2401"/>
      <c r="K28" s="2401"/>
      <c r="L28" s="2401"/>
      <c r="M28" s="3177"/>
      <c r="N28" s="3177"/>
      <c r="O28" s="3244"/>
    </row>
    <row r="29" spans="1:16" ht="12" hidden="1" customHeight="1">
      <c r="A29" s="3204"/>
      <c r="B29" s="2278" t="s">
        <v>13</v>
      </c>
      <c r="C29" s="3206"/>
      <c r="D29" s="1968"/>
      <c r="E29" s="1977"/>
      <c r="F29" s="1977">
        <v>0</v>
      </c>
      <c r="G29" s="1977">
        <v>0</v>
      </c>
      <c r="H29" s="1977">
        <v>0</v>
      </c>
      <c r="I29" s="1977">
        <v>0</v>
      </c>
      <c r="J29" s="233"/>
      <c r="K29" s="233"/>
      <c r="L29" s="233"/>
      <c r="M29" s="3177"/>
      <c r="N29" s="3177"/>
      <c r="O29" s="3244"/>
    </row>
    <row r="30" spans="1:16" ht="13.5" hidden="1" customHeight="1">
      <c r="A30" s="3204"/>
      <c r="B30" s="2280" t="s">
        <v>18</v>
      </c>
      <c r="C30" s="3206"/>
      <c r="D30" s="1970"/>
      <c r="E30" s="1970">
        <f t="shared" ref="E30:I30" si="25">E31</f>
        <v>0</v>
      </c>
      <c r="F30" s="1970">
        <f t="shared" si="25"/>
        <v>0</v>
      </c>
      <c r="G30" s="1996">
        <f t="shared" si="25"/>
        <v>0</v>
      </c>
      <c r="H30" s="1996">
        <f t="shared" si="25"/>
        <v>0</v>
      </c>
      <c r="I30" s="1996">
        <f t="shared" si="25"/>
        <v>0</v>
      </c>
      <c r="J30" s="740"/>
      <c r="K30" s="740"/>
      <c r="L30" s="740"/>
      <c r="M30" s="3177"/>
      <c r="N30" s="3177"/>
      <c r="O30" s="3244"/>
    </row>
    <row r="31" spans="1:16" ht="13.5" hidden="1" customHeight="1" thickBot="1">
      <c r="A31" s="3189"/>
      <c r="B31" s="2281" t="s">
        <v>20</v>
      </c>
      <c r="C31" s="3192"/>
      <c r="D31" s="2402"/>
      <c r="E31" s="2403">
        <v>0</v>
      </c>
      <c r="F31" s="2403">
        <v>0</v>
      </c>
      <c r="G31" s="2403">
        <v>0</v>
      </c>
      <c r="H31" s="2403">
        <v>0</v>
      </c>
      <c r="I31" s="2403">
        <v>0</v>
      </c>
      <c r="J31" s="116"/>
      <c r="K31" s="116"/>
      <c r="L31" s="116"/>
      <c r="M31" s="3178"/>
      <c r="N31" s="3178"/>
      <c r="O31" s="3245"/>
    </row>
    <row r="32" spans="1:16" ht="24.75" customHeight="1">
      <c r="A32" s="3187" t="s">
        <v>63</v>
      </c>
      <c r="B32" s="2266" t="s">
        <v>361</v>
      </c>
      <c r="C32" s="2267" t="s">
        <v>109</v>
      </c>
      <c r="D32" s="2394"/>
      <c r="E32" s="2395"/>
      <c r="F32" s="2395"/>
      <c r="G32" s="2395"/>
      <c r="H32" s="2395"/>
      <c r="I32" s="2395"/>
      <c r="J32" s="2395"/>
      <c r="K32" s="2395"/>
      <c r="L32" s="2395"/>
      <c r="M32" s="2396"/>
      <c r="N32" s="2396"/>
      <c r="O32" s="3243" t="s">
        <v>132</v>
      </c>
    </row>
    <row r="33" spans="1:15" ht="13.5" customHeight="1">
      <c r="A33" s="3188"/>
      <c r="B33" s="2269" t="s">
        <v>10</v>
      </c>
      <c r="C33" s="2270"/>
      <c r="D33" s="1975">
        <f>+D34+D36</f>
        <v>746100</v>
      </c>
      <c r="E33" s="1975">
        <f t="shared" ref="E33" si="26">+E34+E36</f>
        <v>593887</v>
      </c>
      <c r="F33" s="1975">
        <f t="shared" ref="F33" si="27">+F34+F36</f>
        <v>152213</v>
      </c>
      <c r="G33" s="1975">
        <f t="shared" ref="G33:L33" si="28">+G34+G36</f>
        <v>0</v>
      </c>
      <c r="H33" s="2404">
        <f t="shared" si="28"/>
        <v>0</v>
      </c>
      <c r="I33" s="2404">
        <f t="shared" si="28"/>
        <v>0</v>
      </c>
      <c r="J33" s="2404">
        <f t="shared" si="28"/>
        <v>0</v>
      </c>
      <c r="K33" s="2404">
        <f t="shared" si="28"/>
        <v>0</v>
      </c>
      <c r="L33" s="2404">
        <f t="shared" si="28"/>
        <v>0</v>
      </c>
      <c r="M33" s="2201">
        <f>M34+M36</f>
        <v>152213</v>
      </c>
      <c r="N33" s="2201">
        <f>N34+N36</f>
        <v>0</v>
      </c>
      <c r="O33" s="3244"/>
    </row>
    <row r="34" spans="1:15" ht="11.25" customHeight="1">
      <c r="A34" s="3188"/>
      <c r="B34" s="2271" t="s">
        <v>24</v>
      </c>
      <c r="C34" s="3205" t="s">
        <v>133</v>
      </c>
      <c r="D34" s="1964">
        <f>+D35</f>
        <v>349415</v>
      </c>
      <c r="E34" s="1964">
        <f t="shared" ref="E34:L34" si="29">+E35</f>
        <v>274500</v>
      </c>
      <c r="F34" s="1964">
        <f t="shared" si="29"/>
        <v>74915</v>
      </c>
      <c r="G34" s="1964">
        <f t="shared" si="29"/>
        <v>0</v>
      </c>
      <c r="H34" s="2405">
        <f t="shared" si="29"/>
        <v>0</v>
      </c>
      <c r="I34" s="2405">
        <f t="shared" si="29"/>
        <v>0</v>
      </c>
      <c r="J34" s="2405">
        <f t="shared" si="29"/>
        <v>0</v>
      </c>
      <c r="K34" s="2405">
        <f t="shared" si="29"/>
        <v>0</v>
      </c>
      <c r="L34" s="2405">
        <f t="shared" si="29"/>
        <v>0</v>
      </c>
      <c r="M34" s="1966">
        <f>+M35</f>
        <v>74915</v>
      </c>
      <c r="N34" s="1966">
        <f>+N35</f>
        <v>0</v>
      </c>
      <c r="O34" s="3244"/>
    </row>
    <row r="35" spans="1:15" ht="13.5" customHeight="1">
      <c r="A35" s="3188"/>
      <c r="B35" s="2272" t="s">
        <v>12</v>
      </c>
      <c r="C35" s="3206"/>
      <c r="D35" s="1034">
        <f>E35+F35+G35+H35+I35+J35+K35+L35</f>
        <v>349415</v>
      </c>
      <c r="E35" s="2406">
        <f>274500</f>
        <v>274500</v>
      </c>
      <c r="F35" s="176">
        <f>69883+5032</f>
        <v>74915</v>
      </c>
      <c r="G35" s="176">
        <v>0</v>
      </c>
      <c r="H35" s="2407">
        <v>0</v>
      </c>
      <c r="I35" s="2407">
        <v>0</v>
      </c>
      <c r="J35" s="2407">
        <v>0</v>
      </c>
      <c r="K35" s="2407">
        <v>0</v>
      </c>
      <c r="L35" s="2407">
        <v>0</v>
      </c>
      <c r="M35" s="2397">
        <f>SUM(F35:K35)</f>
        <v>74915</v>
      </c>
      <c r="N35" s="2397">
        <f>SUM(G35:L35)</f>
        <v>0</v>
      </c>
      <c r="O35" s="3244"/>
    </row>
    <row r="36" spans="1:15" ht="13.5" customHeight="1">
      <c r="A36" s="3188"/>
      <c r="B36" s="2274" t="s">
        <v>18</v>
      </c>
      <c r="C36" s="3206"/>
      <c r="D36" s="1970">
        <f>+D37</f>
        <v>396685</v>
      </c>
      <c r="E36" s="1970">
        <f t="shared" ref="E36:L36" si="30">E37</f>
        <v>319387</v>
      </c>
      <c r="F36" s="1970">
        <f t="shared" si="30"/>
        <v>77298</v>
      </c>
      <c r="G36" s="1970">
        <f t="shared" si="30"/>
        <v>0</v>
      </c>
      <c r="H36" s="2408">
        <f t="shared" si="30"/>
        <v>0</v>
      </c>
      <c r="I36" s="2408">
        <f t="shared" si="30"/>
        <v>0</v>
      </c>
      <c r="J36" s="2408">
        <f t="shared" si="30"/>
        <v>0</v>
      </c>
      <c r="K36" s="2408">
        <f t="shared" si="30"/>
        <v>0</v>
      </c>
      <c r="L36" s="2408">
        <f t="shared" si="30"/>
        <v>0</v>
      </c>
      <c r="M36" s="1966">
        <f>+M37</f>
        <v>77298</v>
      </c>
      <c r="N36" s="1966">
        <f>+N37</f>
        <v>0</v>
      </c>
      <c r="O36" s="3244"/>
    </row>
    <row r="37" spans="1:15" ht="12">
      <c r="A37" s="3188"/>
      <c r="B37" s="2275" t="s">
        <v>20</v>
      </c>
      <c r="C37" s="3191"/>
      <c r="D37" s="1034">
        <f>E37+F37+G37+H37+I37+J37+K37+L37</f>
        <v>396685</v>
      </c>
      <c r="E37" s="2406">
        <f>319387</f>
        <v>319387</v>
      </c>
      <c r="F37" s="138">
        <f>75707+1591</f>
        <v>77298</v>
      </c>
      <c r="G37" s="138">
        <v>0</v>
      </c>
      <c r="H37" s="2409">
        <v>0</v>
      </c>
      <c r="I37" s="2409">
        <v>0</v>
      </c>
      <c r="J37" s="2409">
        <v>0</v>
      </c>
      <c r="K37" s="2409">
        <v>0</v>
      </c>
      <c r="L37" s="2409">
        <v>0</v>
      </c>
      <c r="M37" s="2397">
        <f>SUM(F37:K37)</f>
        <v>77298</v>
      </c>
      <c r="N37" s="2397">
        <f>SUM(G37:L37)</f>
        <v>0</v>
      </c>
      <c r="O37" s="3244"/>
    </row>
    <row r="38" spans="1:15" ht="13.5" customHeight="1">
      <c r="A38" s="3204"/>
      <c r="B38" s="2269" t="s">
        <v>22</v>
      </c>
      <c r="C38" s="2276"/>
      <c r="D38" s="1975">
        <f>+D41</f>
        <v>396685</v>
      </c>
      <c r="E38" s="1975">
        <f t="shared" ref="E38" si="31">E39+E41</f>
        <v>291312</v>
      </c>
      <c r="F38" s="1975">
        <f t="shared" ref="F38:L38" si="32">F39+F41</f>
        <v>80296</v>
      </c>
      <c r="G38" s="1975">
        <f t="shared" si="32"/>
        <v>25077</v>
      </c>
      <c r="H38" s="2404">
        <f t="shared" si="32"/>
        <v>0</v>
      </c>
      <c r="I38" s="2404">
        <f t="shared" si="32"/>
        <v>0</v>
      </c>
      <c r="J38" s="2404">
        <f t="shared" si="32"/>
        <v>0</v>
      </c>
      <c r="K38" s="2404">
        <f t="shared" si="32"/>
        <v>0</v>
      </c>
      <c r="L38" s="2404">
        <f t="shared" si="32"/>
        <v>0</v>
      </c>
      <c r="M38" s="3176" t="s">
        <v>61</v>
      </c>
      <c r="N38" s="3176" t="s">
        <v>61</v>
      </c>
      <c r="O38" s="3244"/>
    </row>
    <row r="39" spans="1:15" ht="12" hidden="1" customHeight="1">
      <c r="A39" s="3204"/>
      <c r="B39" s="2277" t="s">
        <v>24</v>
      </c>
      <c r="C39" s="3205" t="s">
        <v>133</v>
      </c>
      <c r="D39" s="1964">
        <f t="shared" ref="D39:G39" si="33">D40</f>
        <v>0</v>
      </c>
      <c r="E39" s="1964">
        <f t="shared" si="33"/>
        <v>0</v>
      </c>
      <c r="F39" s="1964">
        <f t="shared" si="33"/>
        <v>0</v>
      </c>
      <c r="G39" s="1964">
        <f t="shared" si="33"/>
        <v>0</v>
      </c>
      <c r="H39" s="2405"/>
      <c r="I39" s="2405"/>
      <c r="J39" s="2405"/>
      <c r="K39" s="2405"/>
      <c r="L39" s="2405"/>
      <c r="M39" s="3177"/>
      <c r="N39" s="3177"/>
      <c r="O39" s="3244"/>
    </row>
    <row r="40" spans="1:15" ht="12" hidden="1" customHeight="1">
      <c r="A40" s="3204"/>
      <c r="B40" s="2278" t="s">
        <v>13</v>
      </c>
      <c r="C40" s="3206"/>
      <c r="D40" s="1034">
        <f>E40+F40+G40+H40+I40+J40+K40+L40</f>
        <v>0</v>
      </c>
      <c r="E40" s="1977"/>
      <c r="F40" s="1977">
        <v>0</v>
      </c>
      <c r="G40" s="176">
        <v>0</v>
      </c>
      <c r="H40" s="2407"/>
      <c r="I40" s="2407"/>
      <c r="J40" s="2407"/>
      <c r="K40" s="2407"/>
      <c r="L40" s="2407"/>
      <c r="M40" s="3177"/>
      <c r="N40" s="3177"/>
      <c r="O40" s="3244"/>
    </row>
    <row r="41" spans="1:15" ht="13.5" customHeight="1">
      <c r="A41" s="3204"/>
      <c r="B41" s="2280" t="s">
        <v>18</v>
      </c>
      <c r="C41" s="3206"/>
      <c r="D41" s="1970">
        <f>+D42</f>
        <v>396685</v>
      </c>
      <c r="E41" s="1970">
        <f t="shared" ref="E41:L41" si="34">E42</f>
        <v>291312</v>
      </c>
      <c r="F41" s="1970">
        <f t="shared" si="34"/>
        <v>80296</v>
      </c>
      <c r="G41" s="1970">
        <f t="shared" si="34"/>
        <v>25077</v>
      </c>
      <c r="H41" s="2408">
        <f t="shared" si="34"/>
        <v>0</v>
      </c>
      <c r="I41" s="2408">
        <f t="shared" si="34"/>
        <v>0</v>
      </c>
      <c r="J41" s="2408">
        <f t="shared" si="34"/>
        <v>0</v>
      </c>
      <c r="K41" s="2408">
        <f t="shared" si="34"/>
        <v>0</v>
      </c>
      <c r="L41" s="2408">
        <f t="shared" si="34"/>
        <v>0</v>
      </c>
      <c r="M41" s="3177"/>
      <c r="N41" s="3177"/>
      <c r="O41" s="3244"/>
    </row>
    <row r="42" spans="1:15" ht="12.75" customHeight="1" thickBot="1">
      <c r="A42" s="3189"/>
      <c r="B42" s="2281" t="s">
        <v>20</v>
      </c>
      <c r="C42" s="3192"/>
      <c r="D42" s="1034">
        <f>E42+F42+G42+H42+I42+J42+K42+L42</f>
        <v>396685</v>
      </c>
      <c r="E42" s="2406">
        <f>291312</f>
        <v>291312</v>
      </c>
      <c r="F42" s="2403">
        <f>79186+1110</f>
        <v>80296</v>
      </c>
      <c r="G42" s="2403">
        <f>24105-909+1881</f>
        <v>25077</v>
      </c>
      <c r="H42" s="2410">
        <v>0</v>
      </c>
      <c r="I42" s="2410">
        <v>0</v>
      </c>
      <c r="J42" s="2410">
        <v>0</v>
      </c>
      <c r="K42" s="2410">
        <v>0</v>
      </c>
      <c r="L42" s="2410">
        <v>0</v>
      </c>
      <c r="M42" s="3178"/>
      <c r="N42" s="3178"/>
      <c r="O42" s="3245"/>
    </row>
    <row r="43" spans="1:15" ht="36" hidden="1" customHeight="1">
      <c r="A43" s="3187" t="s">
        <v>64</v>
      </c>
      <c r="B43" s="2266" t="s">
        <v>275</v>
      </c>
      <c r="C43" s="2267" t="s">
        <v>109</v>
      </c>
      <c r="D43" s="2394"/>
      <c r="E43" s="2395"/>
      <c r="F43" s="2395"/>
      <c r="G43" s="2395"/>
      <c r="H43" s="2395"/>
      <c r="I43" s="2395"/>
      <c r="J43" s="2395"/>
      <c r="K43" s="2395"/>
      <c r="L43" s="2395"/>
      <c r="M43" s="2396"/>
      <c r="N43" s="2396"/>
      <c r="O43" s="3182" t="s">
        <v>134</v>
      </c>
    </row>
    <row r="44" spans="1:15" ht="15" hidden="1" customHeight="1">
      <c r="A44" s="3188"/>
      <c r="B44" s="2269" t="s">
        <v>10</v>
      </c>
      <c r="C44" s="2270"/>
      <c r="D44" s="1975"/>
      <c r="E44" s="1975">
        <v>0</v>
      </c>
      <c r="F44" s="1975">
        <f t="shared" ref="F44:J45" si="35">F45</f>
        <v>0</v>
      </c>
      <c r="G44" s="1975">
        <f t="shared" ref="G44:L44" si="36">+G45+G47</f>
        <v>0</v>
      </c>
      <c r="H44" s="1975">
        <f t="shared" si="36"/>
        <v>0</v>
      </c>
      <c r="I44" s="1975">
        <f t="shared" si="36"/>
        <v>0</v>
      </c>
      <c r="J44" s="1975">
        <f t="shared" si="36"/>
        <v>0</v>
      </c>
      <c r="K44" s="1975">
        <f t="shared" si="36"/>
        <v>0</v>
      </c>
      <c r="L44" s="1975">
        <f t="shared" si="36"/>
        <v>0</v>
      </c>
      <c r="M44" s="2201">
        <f>M45</f>
        <v>0</v>
      </c>
      <c r="N44" s="2201" t="e">
        <f>N45</f>
        <v>#REF!</v>
      </c>
      <c r="O44" s="3183"/>
    </row>
    <row r="45" spans="1:15" ht="12" hidden="1">
      <c r="A45" s="3188"/>
      <c r="B45" s="2282" t="s">
        <v>18</v>
      </c>
      <c r="C45" s="3190" t="s">
        <v>135</v>
      </c>
      <c r="D45" s="1970"/>
      <c r="E45" s="1970">
        <v>0</v>
      </c>
      <c r="F45" s="1970">
        <f t="shared" si="35"/>
        <v>0</v>
      </c>
      <c r="G45" s="1970">
        <f t="shared" si="35"/>
        <v>0</v>
      </c>
      <c r="H45" s="1970">
        <f t="shared" si="35"/>
        <v>0</v>
      </c>
      <c r="I45" s="1970">
        <f t="shared" si="35"/>
        <v>0</v>
      </c>
      <c r="J45" s="1970">
        <f t="shared" si="35"/>
        <v>0</v>
      </c>
      <c r="K45" s="1970">
        <f>K46</f>
        <v>0</v>
      </c>
      <c r="L45" s="1970">
        <f>L46</f>
        <v>0</v>
      </c>
      <c r="M45" s="1966">
        <f>+M46</f>
        <v>0</v>
      </c>
      <c r="N45" s="1966" t="e">
        <f>+N46</f>
        <v>#REF!</v>
      </c>
      <c r="O45" s="3183"/>
    </row>
    <row r="46" spans="1:15" ht="12" hidden="1">
      <c r="A46" s="3188"/>
      <c r="B46" s="2283" t="s">
        <v>20</v>
      </c>
      <c r="C46" s="3191"/>
      <c r="D46" s="1968"/>
      <c r="E46" s="196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2397">
        <f>SUM(F46:K46)</f>
        <v>0</v>
      </c>
      <c r="N46" s="2397" t="e">
        <f>+I46+H46+G46+F46+#REF!</f>
        <v>#REF!</v>
      </c>
      <c r="O46" s="3183"/>
    </row>
    <row r="47" spans="1:15" ht="15" hidden="1" customHeight="1">
      <c r="A47" s="3188"/>
      <c r="B47" s="2284" t="s">
        <v>22</v>
      </c>
      <c r="C47" s="2285"/>
      <c r="D47" s="1975"/>
      <c r="E47" s="1975">
        <v>0</v>
      </c>
      <c r="F47" s="1975">
        <f t="shared" ref="F47:L47" si="37">F48+F72</f>
        <v>0</v>
      </c>
      <c r="G47" s="1975">
        <f t="shared" si="37"/>
        <v>0</v>
      </c>
      <c r="H47" s="1975">
        <f t="shared" si="37"/>
        <v>0</v>
      </c>
      <c r="I47" s="1975">
        <f t="shared" si="37"/>
        <v>0</v>
      </c>
      <c r="J47" s="1975">
        <f t="shared" si="37"/>
        <v>0</v>
      </c>
      <c r="K47" s="1975">
        <f t="shared" si="37"/>
        <v>0</v>
      </c>
      <c r="L47" s="1975">
        <f t="shared" si="37"/>
        <v>0</v>
      </c>
      <c r="M47" s="3176" t="s">
        <v>61</v>
      </c>
      <c r="N47" s="3176" t="s">
        <v>61</v>
      </c>
      <c r="O47" s="3183"/>
    </row>
    <row r="48" spans="1:15" ht="12" hidden="1">
      <c r="A48" s="3188"/>
      <c r="B48" s="2282" t="s">
        <v>18</v>
      </c>
      <c r="C48" s="3190" t="s">
        <v>135</v>
      </c>
      <c r="D48" s="1970"/>
      <c r="E48" s="1970">
        <v>0</v>
      </c>
      <c r="F48" s="1970">
        <f t="shared" ref="F48:L48" si="38">F49</f>
        <v>0</v>
      </c>
      <c r="G48" s="1970">
        <f t="shared" si="38"/>
        <v>0</v>
      </c>
      <c r="H48" s="1970">
        <f t="shared" si="38"/>
        <v>0</v>
      </c>
      <c r="I48" s="1970">
        <f t="shared" si="38"/>
        <v>0</v>
      </c>
      <c r="J48" s="1970">
        <f t="shared" si="38"/>
        <v>0</v>
      </c>
      <c r="K48" s="1970">
        <f t="shared" si="38"/>
        <v>0</v>
      </c>
      <c r="L48" s="1970">
        <f t="shared" si="38"/>
        <v>0</v>
      </c>
      <c r="M48" s="3177"/>
      <c r="N48" s="3177"/>
      <c r="O48" s="3183"/>
    </row>
    <row r="49" spans="1:15" ht="12.75" hidden="1" thickBot="1">
      <c r="A49" s="3189"/>
      <c r="B49" s="2286" t="s">
        <v>20</v>
      </c>
      <c r="C49" s="3192"/>
      <c r="D49" s="1968"/>
      <c r="E49" s="1968">
        <v>0</v>
      </c>
      <c r="F49" s="2403">
        <v>0</v>
      </c>
      <c r="G49" s="2403">
        <v>0</v>
      </c>
      <c r="H49" s="2403">
        <v>0</v>
      </c>
      <c r="I49" s="2403">
        <v>0</v>
      </c>
      <c r="J49" s="2403">
        <v>0</v>
      </c>
      <c r="K49" s="2403">
        <v>0</v>
      </c>
      <c r="L49" s="2403">
        <v>0</v>
      </c>
      <c r="M49" s="3178"/>
      <c r="N49" s="3178"/>
      <c r="O49" s="3184"/>
    </row>
    <row r="50" spans="1:15" ht="37.5" customHeight="1">
      <c r="A50" s="3187" t="s">
        <v>64</v>
      </c>
      <c r="B50" s="2266" t="s">
        <v>210</v>
      </c>
      <c r="C50" s="2267" t="s">
        <v>109</v>
      </c>
      <c r="D50" s="2394"/>
      <c r="E50" s="2395"/>
      <c r="F50" s="2395"/>
      <c r="G50" s="2395"/>
      <c r="H50" s="2395"/>
      <c r="I50" s="2395"/>
      <c r="J50" s="2395"/>
      <c r="K50" s="2395"/>
      <c r="L50" s="2395"/>
      <c r="M50" s="2396"/>
      <c r="N50" s="2396"/>
      <c r="O50" s="3182" t="s">
        <v>134</v>
      </c>
    </row>
    <row r="51" spans="1:15" ht="15" customHeight="1">
      <c r="A51" s="3188"/>
      <c r="B51" s="2269" t="s">
        <v>10</v>
      </c>
      <c r="C51" s="2270"/>
      <c r="D51" s="1975">
        <f>D52</f>
        <v>28500</v>
      </c>
      <c r="E51" s="1975">
        <f t="shared" ref="E51:J52" si="39">E52</f>
        <v>24500</v>
      </c>
      <c r="F51" s="1975">
        <f t="shared" si="39"/>
        <v>4000</v>
      </c>
      <c r="G51" s="1975">
        <f t="shared" ref="G51:L51" si="40">+G52+G54</f>
        <v>0</v>
      </c>
      <c r="H51" s="1975">
        <f t="shared" si="40"/>
        <v>0</v>
      </c>
      <c r="I51" s="1975">
        <f t="shared" si="40"/>
        <v>0</v>
      </c>
      <c r="J51" s="1975">
        <f t="shared" si="40"/>
        <v>0</v>
      </c>
      <c r="K51" s="1975">
        <f t="shared" si="40"/>
        <v>0</v>
      </c>
      <c r="L51" s="1975">
        <f t="shared" si="40"/>
        <v>0</v>
      </c>
      <c r="M51" s="2201">
        <f>M52</f>
        <v>4000</v>
      </c>
      <c r="N51" s="2201">
        <f>N52</f>
        <v>0</v>
      </c>
      <c r="O51" s="3183"/>
    </row>
    <row r="52" spans="1:15" ht="12">
      <c r="A52" s="3188"/>
      <c r="B52" s="2282" t="s">
        <v>18</v>
      </c>
      <c r="C52" s="3190" t="s">
        <v>135</v>
      </c>
      <c r="D52" s="1970">
        <f>+D53</f>
        <v>28500</v>
      </c>
      <c r="E52" s="1970">
        <f t="shared" si="39"/>
        <v>24500</v>
      </c>
      <c r="F52" s="1970">
        <f t="shared" si="39"/>
        <v>4000</v>
      </c>
      <c r="G52" s="1970">
        <f t="shared" si="39"/>
        <v>0</v>
      </c>
      <c r="H52" s="1970">
        <f t="shared" si="39"/>
        <v>0</v>
      </c>
      <c r="I52" s="1970">
        <f t="shared" si="39"/>
        <v>0</v>
      </c>
      <c r="J52" s="1970">
        <f t="shared" si="39"/>
        <v>0</v>
      </c>
      <c r="K52" s="1970">
        <f>K53</f>
        <v>0</v>
      </c>
      <c r="L52" s="1970">
        <f>L53</f>
        <v>0</v>
      </c>
      <c r="M52" s="1966">
        <f>+M53</f>
        <v>4000</v>
      </c>
      <c r="N52" s="1966">
        <f>+N53</f>
        <v>0</v>
      </c>
      <c r="O52" s="3183"/>
    </row>
    <row r="53" spans="1:15" ht="12">
      <c r="A53" s="3188"/>
      <c r="B53" s="2283" t="s">
        <v>20</v>
      </c>
      <c r="C53" s="3191"/>
      <c r="D53" s="1034">
        <f>E53+F53+G53+H53+I53+J53+K53+L53</f>
        <v>28500</v>
      </c>
      <c r="E53" s="2406">
        <f>24500</f>
        <v>24500</v>
      </c>
      <c r="F53" s="138">
        <f>4000</f>
        <v>4000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2397">
        <f>SUM(F53:K53)</f>
        <v>4000</v>
      </c>
      <c r="N53" s="2397">
        <f>SUM(G53:L53)</f>
        <v>0</v>
      </c>
      <c r="O53" s="3183"/>
    </row>
    <row r="54" spans="1:15" ht="15" customHeight="1">
      <c r="A54" s="3188"/>
      <c r="B54" s="2284" t="s">
        <v>22</v>
      </c>
      <c r="C54" s="2285"/>
      <c r="D54" s="1975">
        <f>+D55</f>
        <v>28500</v>
      </c>
      <c r="E54" s="1975">
        <f t="shared" ref="E54" si="41">+E55</f>
        <v>24500</v>
      </c>
      <c r="F54" s="1975">
        <f t="shared" ref="F54:I54" si="42">F55</f>
        <v>4000</v>
      </c>
      <c r="G54" s="1975">
        <f t="shared" si="42"/>
        <v>0</v>
      </c>
      <c r="H54" s="1975">
        <f t="shared" si="42"/>
        <v>0</v>
      </c>
      <c r="I54" s="1975">
        <f t="shared" si="42"/>
        <v>0</v>
      </c>
      <c r="J54" s="1975"/>
      <c r="K54" s="1975"/>
      <c r="L54" s="1975"/>
      <c r="M54" s="3176" t="s">
        <v>61</v>
      </c>
      <c r="N54" s="3176" t="s">
        <v>61</v>
      </c>
      <c r="O54" s="3183"/>
    </row>
    <row r="55" spans="1:15" ht="12">
      <c r="A55" s="3188"/>
      <c r="B55" s="2282" t="s">
        <v>18</v>
      </c>
      <c r="C55" s="3190" t="s">
        <v>135</v>
      </c>
      <c r="D55" s="1970">
        <f>+D56</f>
        <v>28500</v>
      </c>
      <c r="E55" s="1970">
        <f t="shared" ref="E55:L55" si="43">E56</f>
        <v>24500</v>
      </c>
      <c r="F55" s="1970">
        <f t="shared" si="43"/>
        <v>4000</v>
      </c>
      <c r="G55" s="1970">
        <f t="shared" si="43"/>
        <v>0</v>
      </c>
      <c r="H55" s="1970">
        <f t="shared" si="43"/>
        <v>0</v>
      </c>
      <c r="I55" s="1970">
        <f t="shared" si="43"/>
        <v>0</v>
      </c>
      <c r="J55" s="1970">
        <f t="shared" si="43"/>
        <v>0</v>
      </c>
      <c r="K55" s="1970">
        <f t="shared" si="43"/>
        <v>0</v>
      </c>
      <c r="L55" s="1970">
        <f t="shared" si="43"/>
        <v>0</v>
      </c>
      <c r="M55" s="3177"/>
      <c r="N55" s="3177"/>
      <c r="O55" s="3183"/>
    </row>
    <row r="56" spans="1:15" ht="12.75" thickBot="1">
      <c r="A56" s="3189"/>
      <c r="B56" s="2286" t="s">
        <v>20</v>
      </c>
      <c r="C56" s="3192"/>
      <c r="D56" s="1034">
        <f>E56+F56+G56+H56+I56+J56+K56+L56</f>
        <v>28500</v>
      </c>
      <c r="E56" s="2406">
        <f>24500</f>
        <v>24500</v>
      </c>
      <c r="F56" s="2403">
        <f>4000</f>
        <v>4000</v>
      </c>
      <c r="G56" s="2403">
        <v>0</v>
      </c>
      <c r="H56" s="2403">
        <v>0</v>
      </c>
      <c r="I56" s="2403">
        <v>0</v>
      </c>
      <c r="J56" s="2403">
        <v>0</v>
      </c>
      <c r="K56" s="2403">
        <v>0</v>
      </c>
      <c r="L56" s="2403">
        <v>0</v>
      </c>
      <c r="M56" s="3178"/>
      <c r="N56" s="3178"/>
      <c r="O56" s="3184"/>
    </row>
    <row r="57" spans="1:15" ht="26.25" hidden="1" customHeight="1">
      <c r="A57" s="3187" t="s">
        <v>65</v>
      </c>
      <c r="B57" s="2266" t="s">
        <v>336</v>
      </c>
      <c r="C57" s="2267" t="s">
        <v>109</v>
      </c>
      <c r="D57" s="2394"/>
      <c r="E57" s="2395"/>
      <c r="F57" s="2395"/>
      <c r="G57" s="2395"/>
      <c r="H57" s="2395"/>
      <c r="I57" s="2395"/>
      <c r="J57" s="2395"/>
      <c r="K57" s="2395"/>
      <c r="L57" s="2395"/>
      <c r="M57" s="2396"/>
      <c r="N57" s="2396"/>
      <c r="O57" s="3182" t="s">
        <v>237</v>
      </c>
    </row>
    <row r="58" spans="1:15" ht="15" hidden="1" customHeight="1">
      <c r="A58" s="3188"/>
      <c r="B58" s="2269" t="s">
        <v>10</v>
      </c>
      <c r="C58" s="2270"/>
      <c r="D58" s="1975"/>
      <c r="E58" s="1975">
        <v>0</v>
      </c>
      <c r="F58" s="1975">
        <f t="shared" ref="F58:J59" si="44">F59</f>
        <v>0</v>
      </c>
      <c r="G58" s="1975">
        <f t="shared" ref="G58:L58" si="45">+G59+G61</f>
        <v>0</v>
      </c>
      <c r="H58" s="1975">
        <f t="shared" si="45"/>
        <v>0</v>
      </c>
      <c r="I58" s="1975">
        <f t="shared" si="45"/>
        <v>0</v>
      </c>
      <c r="J58" s="1975">
        <f t="shared" si="45"/>
        <v>0</v>
      </c>
      <c r="K58" s="1975">
        <f t="shared" si="45"/>
        <v>0</v>
      </c>
      <c r="L58" s="1975">
        <f t="shared" si="45"/>
        <v>0</v>
      </c>
      <c r="M58" s="2201">
        <f>M59</f>
        <v>0</v>
      </c>
      <c r="N58" s="2201">
        <f>N59</f>
        <v>0</v>
      </c>
      <c r="O58" s="3183"/>
    </row>
    <row r="59" spans="1:15" ht="12.75" hidden="1" thickBot="1">
      <c r="A59" s="3188"/>
      <c r="B59" s="2282" t="s">
        <v>18</v>
      </c>
      <c r="C59" s="3190" t="s">
        <v>238</v>
      </c>
      <c r="D59" s="1970"/>
      <c r="E59" s="1970">
        <v>0</v>
      </c>
      <c r="F59" s="1970">
        <f t="shared" si="44"/>
        <v>0</v>
      </c>
      <c r="G59" s="1970">
        <f t="shared" si="44"/>
        <v>0</v>
      </c>
      <c r="H59" s="1970">
        <f t="shared" si="44"/>
        <v>0</v>
      </c>
      <c r="I59" s="1970">
        <f t="shared" si="44"/>
        <v>0</v>
      </c>
      <c r="J59" s="1970">
        <f t="shared" si="44"/>
        <v>0</v>
      </c>
      <c r="K59" s="1970">
        <f>K60</f>
        <v>0</v>
      </c>
      <c r="L59" s="1970">
        <f>L60</f>
        <v>0</v>
      </c>
      <c r="M59" s="1966">
        <f>+M60</f>
        <v>0</v>
      </c>
      <c r="N59" s="1966">
        <f>+N60</f>
        <v>0</v>
      </c>
      <c r="O59" s="3183"/>
    </row>
    <row r="60" spans="1:15" ht="12.75" hidden="1" thickBot="1">
      <c r="A60" s="3188"/>
      <c r="B60" s="2283" t="s">
        <v>20</v>
      </c>
      <c r="C60" s="3191"/>
      <c r="D60" s="2411"/>
      <c r="E60" s="2406">
        <v>0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2397">
        <f>SUM(E60:K60)</f>
        <v>0</v>
      </c>
      <c r="N60" s="2397">
        <f>SUM(F60:L60)</f>
        <v>0</v>
      </c>
      <c r="O60" s="3183"/>
    </row>
    <row r="61" spans="1:15" ht="15" hidden="1" customHeight="1">
      <c r="A61" s="3188"/>
      <c r="B61" s="2284" t="s">
        <v>22</v>
      </c>
      <c r="C61" s="2285"/>
      <c r="D61" s="2412"/>
      <c r="E61" s="1975">
        <v>0</v>
      </c>
      <c r="F61" s="1975">
        <f t="shared" ref="F61:L61" si="46">F62+F86</f>
        <v>0</v>
      </c>
      <c r="G61" s="1975">
        <f t="shared" si="46"/>
        <v>0</v>
      </c>
      <c r="H61" s="1975">
        <f t="shared" si="46"/>
        <v>0</v>
      </c>
      <c r="I61" s="1975">
        <f t="shared" si="46"/>
        <v>0</v>
      </c>
      <c r="J61" s="1975">
        <f t="shared" si="46"/>
        <v>0</v>
      </c>
      <c r="K61" s="1975">
        <f t="shared" si="46"/>
        <v>0</v>
      </c>
      <c r="L61" s="1975">
        <f t="shared" si="46"/>
        <v>0</v>
      </c>
      <c r="M61" s="3176" t="s">
        <v>61</v>
      </c>
      <c r="N61" s="3176" t="s">
        <v>61</v>
      </c>
      <c r="O61" s="3183"/>
    </row>
    <row r="62" spans="1:15" ht="12.75" hidden="1" thickBot="1">
      <c r="A62" s="3188"/>
      <c r="B62" s="2282" t="s">
        <v>18</v>
      </c>
      <c r="C62" s="3190" t="s">
        <v>238</v>
      </c>
      <c r="D62" s="1970"/>
      <c r="E62" s="1970">
        <v>0</v>
      </c>
      <c r="F62" s="1970">
        <f t="shared" ref="F62:L62" si="47">F63</f>
        <v>0</v>
      </c>
      <c r="G62" s="1970">
        <f t="shared" si="47"/>
        <v>0</v>
      </c>
      <c r="H62" s="1970">
        <f t="shared" si="47"/>
        <v>0</v>
      </c>
      <c r="I62" s="1970">
        <f t="shared" si="47"/>
        <v>0</v>
      </c>
      <c r="J62" s="1970">
        <f t="shared" si="47"/>
        <v>0</v>
      </c>
      <c r="K62" s="1970">
        <f t="shared" si="47"/>
        <v>0</v>
      </c>
      <c r="L62" s="1970">
        <f t="shared" si="47"/>
        <v>0</v>
      </c>
      <c r="M62" s="3177"/>
      <c r="N62" s="3177"/>
      <c r="O62" s="3183"/>
    </row>
    <row r="63" spans="1:15" ht="12.75" hidden="1" thickBot="1">
      <c r="A63" s="3189"/>
      <c r="B63" s="2286" t="s">
        <v>20</v>
      </c>
      <c r="C63" s="3192"/>
      <c r="D63" s="2411"/>
      <c r="E63" s="2406">
        <v>0</v>
      </c>
      <c r="F63" s="2403">
        <v>0</v>
      </c>
      <c r="G63" s="2403">
        <v>0</v>
      </c>
      <c r="H63" s="2403">
        <v>0</v>
      </c>
      <c r="I63" s="2403">
        <v>0</v>
      </c>
      <c r="J63" s="2403">
        <v>0</v>
      </c>
      <c r="K63" s="2403">
        <v>0</v>
      </c>
      <c r="L63" s="2403">
        <v>0</v>
      </c>
      <c r="M63" s="3178"/>
      <c r="N63" s="3178"/>
      <c r="O63" s="3184"/>
    </row>
    <row r="64" spans="1:15" ht="26.25" customHeight="1">
      <c r="A64" s="3187" t="s">
        <v>65</v>
      </c>
      <c r="B64" s="2266" t="s">
        <v>514</v>
      </c>
      <c r="C64" s="2267" t="s">
        <v>109</v>
      </c>
      <c r="D64" s="2394"/>
      <c r="E64" s="2395"/>
      <c r="F64" s="2395"/>
      <c r="G64" s="2395"/>
      <c r="H64" s="2395"/>
      <c r="I64" s="2395"/>
      <c r="J64" s="2395"/>
      <c r="K64" s="2395"/>
      <c r="L64" s="2395"/>
      <c r="M64" s="2396"/>
      <c r="N64" s="2396"/>
      <c r="O64" s="3182" t="s">
        <v>132</v>
      </c>
    </row>
    <row r="65" spans="1:109" ht="15" customHeight="1">
      <c r="A65" s="3188"/>
      <c r="B65" s="2269" t="s">
        <v>10</v>
      </c>
      <c r="C65" s="2270"/>
      <c r="D65" s="1975">
        <f>+D66</f>
        <v>52164</v>
      </c>
      <c r="E65" s="1975">
        <f t="shared" ref="E65:E66" si="48">+E66</f>
        <v>803</v>
      </c>
      <c r="F65" s="1975">
        <f>+F66</f>
        <v>29479</v>
      </c>
      <c r="G65" s="1975">
        <f>+G66</f>
        <v>21882</v>
      </c>
      <c r="H65" s="1975"/>
      <c r="I65" s="1975"/>
      <c r="J65" s="1975"/>
      <c r="K65" s="1975"/>
      <c r="L65" s="1975"/>
      <c r="M65" s="2201">
        <f>+M66</f>
        <v>51361</v>
      </c>
      <c r="N65" s="2201">
        <f>+N66</f>
        <v>21882</v>
      </c>
      <c r="O65" s="3183"/>
    </row>
    <row r="66" spans="1:109" ht="12">
      <c r="A66" s="3188"/>
      <c r="B66" s="2282" t="s">
        <v>18</v>
      </c>
      <c r="C66" s="3190" t="s">
        <v>133</v>
      </c>
      <c r="D66" s="1970">
        <f>+D67</f>
        <v>52164</v>
      </c>
      <c r="E66" s="1970">
        <f t="shared" si="48"/>
        <v>803</v>
      </c>
      <c r="F66" s="1970">
        <f>+F67</f>
        <v>29479</v>
      </c>
      <c r="G66" s="1970">
        <f>+G67</f>
        <v>21882</v>
      </c>
      <c r="H66" s="1970"/>
      <c r="I66" s="1970"/>
      <c r="J66" s="1970"/>
      <c r="K66" s="1970"/>
      <c r="L66" s="1970"/>
      <c r="M66" s="1966">
        <f>+M67</f>
        <v>51361</v>
      </c>
      <c r="N66" s="1966">
        <f>+N67</f>
        <v>21882</v>
      </c>
      <c r="O66" s="3183"/>
    </row>
    <row r="67" spans="1:109" ht="12">
      <c r="A67" s="3188"/>
      <c r="B67" s="2283" t="s">
        <v>20</v>
      </c>
      <c r="C67" s="3191"/>
      <c r="D67" s="1926">
        <f>E67+F67+G67+H67+I67+J67+K67+L67</f>
        <v>52164</v>
      </c>
      <c r="E67" s="2406">
        <f>803</f>
        <v>803</v>
      </c>
      <c r="F67" s="138">
        <f>4200+3397+21882</f>
        <v>29479</v>
      </c>
      <c r="G67" s="138">
        <v>21882</v>
      </c>
      <c r="H67" s="138"/>
      <c r="I67" s="138"/>
      <c r="J67" s="138"/>
      <c r="K67" s="138"/>
      <c r="L67" s="138"/>
      <c r="M67" s="2397">
        <f>SUM(F67:K67)</f>
        <v>51361</v>
      </c>
      <c r="N67" s="2397">
        <f>SUM(G67:L67)</f>
        <v>21882</v>
      </c>
      <c r="O67" s="3183"/>
    </row>
    <row r="68" spans="1:109" ht="15" customHeight="1">
      <c r="A68" s="3188"/>
      <c r="B68" s="2284" t="s">
        <v>22</v>
      </c>
      <c r="C68" s="2285"/>
      <c r="D68" s="2412">
        <f>+D69</f>
        <v>52164</v>
      </c>
      <c r="E68" s="2412">
        <f t="shared" ref="E68:E69" si="49">+E69</f>
        <v>803</v>
      </c>
      <c r="F68" s="1975">
        <f>+F69</f>
        <v>29479</v>
      </c>
      <c r="G68" s="1975">
        <f>+G69</f>
        <v>21882</v>
      </c>
      <c r="H68" s="1975"/>
      <c r="I68" s="1975"/>
      <c r="J68" s="1975"/>
      <c r="K68" s="1975"/>
      <c r="L68" s="1975"/>
      <c r="M68" s="3176"/>
      <c r="N68" s="3176"/>
      <c r="O68" s="3183"/>
    </row>
    <row r="69" spans="1:109" ht="12">
      <c r="A69" s="3188"/>
      <c r="B69" s="2282" t="s">
        <v>18</v>
      </c>
      <c r="C69" s="3190" t="s">
        <v>133</v>
      </c>
      <c r="D69" s="1970">
        <f>+D70</f>
        <v>52164</v>
      </c>
      <c r="E69" s="1970">
        <f t="shared" si="49"/>
        <v>803</v>
      </c>
      <c r="F69" s="1970">
        <f>+F70</f>
        <v>29479</v>
      </c>
      <c r="G69" s="1970">
        <f>+G70</f>
        <v>21882</v>
      </c>
      <c r="H69" s="1970"/>
      <c r="I69" s="1970"/>
      <c r="J69" s="1970"/>
      <c r="K69" s="1970"/>
      <c r="L69" s="1970"/>
      <c r="M69" s="3177"/>
      <c r="N69" s="3177"/>
      <c r="O69" s="3183"/>
    </row>
    <row r="70" spans="1:109" ht="12.75" thickBot="1">
      <c r="A70" s="3189"/>
      <c r="B70" s="2286" t="s">
        <v>20</v>
      </c>
      <c r="C70" s="3192"/>
      <c r="D70" s="2222">
        <f>E70+F70+G70+H70+I70+J70+K70+L70</f>
        <v>52164</v>
      </c>
      <c r="E70" s="2460">
        <f>803</f>
        <v>803</v>
      </c>
      <c r="F70" s="2403">
        <f>4200+3397+21882</f>
        <v>29479</v>
      </c>
      <c r="G70" s="2403">
        <v>21882</v>
      </c>
      <c r="H70" s="2403"/>
      <c r="I70" s="2403"/>
      <c r="J70" s="2403"/>
      <c r="K70" s="2403"/>
      <c r="L70" s="2403"/>
      <c r="M70" s="3178"/>
      <c r="N70" s="3178"/>
      <c r="O70" s="3184"/>
    </row>
    <row r="71" spans="1:109" ht="9" customHeight="1">
      <c r="A71" s="2288"/>
      <c r="B71" s="2289"/>
      <c r="C71" s="2290"/>
      <c r="D71" s="2291"/>
      <c r="E71" s="2292"/>
      <c r="F71" s="2292"/>
      <c r="G71" s="2292"/>
      <c r="H71" s="2292"/>
      <c r="I71" s="2293"/>
      <c r="J71" s="2293"/>
      <c r="K71" s="2293"/>
      <c r="L71" s="2293"/>
      <c r="M71" s="2294"/>
      <c r="N71" s="2294"/>
      <c r="O71" s="2290"/>
    </row>
    <row r="72" spans="1:109" s="2298" customFormat="1" ht="26.25" hidden="1" customHeight="1" thickBot="1">
      <c r="A72" s="3210" t="s">
        <v>136</v>
      </c>
      <c r="B72" s="3210"/>
      <c r="C72" s="3210"/>
      <c r="D72" s="3210"/>
      <c r="E72" s="3210"/>
      <c r="F72" s="3210"/>
      <c r="G72" s="3210"/>
      <c r="H72" s="3210"/>
      <c r="I72" s="3210"/>
      <c r="J72" s="3210"/>
      <c r="K72" s="3210"/>
      <c r="L72" s="3210"/>
      <c r="M72" s="2295"/>
      <c r="N72" s="2295"/>
      <c r="O72" s="2296"/>
      <c r="P72" s="2297"/>
      <c r="Q72" s="2297"/>
      <c r="R72" s="2297"/>
      <c r="S72" s="2297"/>
      <c r="T72" s="2297"/>
      <c r="U72" s="2297"/>
      <c r="V72" s="2297"/>
      <c r="W72" s="2297"/>
      <c r="X72" s="2297"/>
      <c r="Y72" s="2297"/>
      <c r="Z72" s="2297"/>
      <c r="AA72" s="2297"/>
      <c r="AB72" s="2297"/>
      <c r="AC72" s="2297"/>
      <c r="AD72" s="2297"/>
      <c r="AE72" s="2297"/>
      <c r="AF72" s="2297"/>
      <c r="AG72" s="2297"/>
      <c r="AH72" s="2297"/>
      <c r="AI72" s="2297"/>
      <c r="AJ72" s="2297"/>
      <c r="AK72" s="2297"/>
      <c r="AL72" s="2297"/>
      <c r="AM72" s="2297"/>
      <c r="AN72" s="2297"/>
      <c r="AO72" s="2297"/>
      <c r="AP72" s="2297"/>
      <c r="AQ72" s="2297"/>
      <c r="AR72" s="2297"/>
      <c r="AS72" s="2297"/>
      <c r="AT72" s="2297"/>
      <c r="AU72" s="2297"/>
      <c r="AV72" s="2297"/>
      <c r="AW72" s="2297"/>
      <c r="AX72" s="2297"/>
      <c r="AY72" s="2297"/>
      <c r="AZ72" s="2297"/>
      <c r="BA72" s="2297"/>
      <c r="BB72" s="2297"/>
      <c r="BC72" s="2297"/>
      <c r="BD72" s="2297"/>
      <c r="BE72" s="2297"/>
      <c r="BF72" s="2297"/>
      <c r="BG72" s="2297"/>
      <c r="BH72" s="2297"/>
      <c r="BI72" s="2297"/>
      <c r="BJ72" s="2297"/>
      <c r="BK72" s="2297"/>
      <c r="BL72" s="2297"/>
      <c r="BM72" s="2297"/>
      <c r="BN72" s="2297"/>
      <c r="BO72" s="2297"/>
      <c r="BP72" s="2297"/>
      <c r="BQ72" s="2297"/>
      <c r="BR72" s="2297"/>
      <c r="BS72" s="2297"/>
      <c r="BT72" s="2297"/>
      <c r="BU72" s="2297"/>
      <c r="BV72" s="2297"/>
      <c r="BW72" s="2297"/>
      <c r="BX72" s="2297"/>
      <c r="BY72" s="2297"/>
      <c r="BZ72" s="2297"/>
      <c r="CA72" s="2297"/>
      <c r="CB72" s="2297"/>
      <c r="CC72" s="2297"/>
      <c r="CD72" s="2297"/>
      <c r="CE72" s="2297"/>
      <c r="CF72" s="2297"/>
      <c r="CG72" s="2297"/>
      <c r="CH72" s="2297"/>
      <c r="CI72" s="2297"/>
      <c r="CJ72" s="2297"/>
      <c r="CK72" s="2297"/>
      <c r="CL72" s="2297"/>
      <c r="CM72" s="2297"/>
      <c r="CN72" s="2297"/>
      <c r="CO72" s="2297"/>
      <c r="CP72" s="2297"/>
      <c r="CQ72" s="2297"/>
      <c r="CR72" s="2297"/>
      <c r="CS72" s="2297"/>
      <c r="CT72" s="2297"/>
      <c r="CU72" s="2297"/>
      <c r="CV72" s="2297"/>
      <c r="CW72" s="2297"/>
      <c r="CX72" s="2297"/>
      <c r="CY72" s="2297"/>
      <c r="CZ72" s="2297"/>
      <c r="DA72" s="2297"/>
      <c r="DB72" s="2297"/>
      <c r="DC72" s="2297"/>
      <c r="DD72" s="2297"/>
      <c r="DE72" s="2297"/>
    </row>
    <row r="73" spans="1:109" s="2550" customFormat="1" ht="14.25" hidden="1" customHeight="1">
      <c r="A73" s="2254"/>
      <c r="B73" s="2299" t="s">
        <v>76</v>
      </c>
      <c r="C73" s="2300"/>
      <c r="D73" s="2301">
        <f>+D74+D75</f>
        <v>0</v>
      </c>
      <c r="E73" s="2301">
        <f t="shared" ref="E73:L73" si="50">+E74+E75</f>
        <v>0</v>
      </c>
      <c r="F73" s="2301">
        <f t="shared" si="50"/>
        <v>0</v>
      </c>
      <c r="G73" s="2301">
        <f t="shared" si="50"/>
        <v>0</v>
      </c>
      <c r="H73" s="2301">
        <f t="shared" si="50"/>
        <v>0</v>
      </c>
      <c r="I73" s="2301">
        <f t="shared" si="50"/>
        <v>0</v>
      </c>
      <c r="J73" s="2301">
        <f t="shared" si="50"/>
        <v>0</v>
      </c>
      <c r="K73" s="2301">
        <f t="shared" si="50"/>
        <v>0</v>
      </c>
      <c r="L73" s="2301">
        <f t="shared" si="50"/>
        <v>0</v>
      </c>
      <c r="M73" s="2236">
        <f>+M74+M75</f>
        <v>0</v>
      </c>
      <c r="N73" s="2236">
        <f>+N74+N75</f>
        <v>0</v>
      </c>
      <c r="O73" s="3202"/>
    </row>
    <row r="74" spans="1:109" s="2550" customFormat="1" ht="13.5" hidden="1" customHeight="1">
      <c r="A74" s="2254"/>
      <c r="B74" s="2238" t="s">
        <v>77</v>
      </c>
      <c r="C74" s="2239"/>
      <c r="D74" s="2240">
        <v>0</v>
      </c>
      <c r="E74" s="2240">
        <v>0</v>
      </c>
      <c r="F74" s="2240">
        <v>0</v>
      </c>
      <c r="G74" s="2240">
        <v>0</v>
      </c>
      <c r="H74" s="2240">
        <v>0</v>
      </c>
      <c r="I74" s="2240">
        <v>0</v>
      </c>
      <c r="J74" s="2240">
        <v>0</v>
      </c>
      <c r="K74" s="2240">
        <v>0</v>
      </c>
      <c r="L74" s="2240">
        <v>0</v>
      </c>
      <c r="M74" s="2241">
        <f>SUM(E74:G74)</f>
        <v>0</v>
      </c>
      <c r="N74" s="2241">
        <f>SUM(F74:H74)</f>
        <v>0</v>
      </c>
      <c r="O74" s="3203"/>
    </row>
    <row r="75" spans="1:109" s="2550" customFormat="1" ht="13.5" hidden="1" customHeight="1" thickBot="1">
      <c r="A75" s="2254"/>
      <c r="B75" s="2302" t="s">
        <v>9</v>
      </c>
      <c r="C75" s="2303"/>
      <c r="D75" s="2304">
        <f>+D92+D96+D101+D113</f>
        <v>0</v>
      </c>
      <c r="E75" s="2304">
        <f t="shared" ref="E75:F75" si="51">+E92+E96+E101+E113</f>
        <v>0</v>
      </c>
      <c r="F75" s="2304">
        <f t="shared" si="51"/>
        <v>0</v>
      </c>
      <c r="G75" s="2304">
        <f t="shared" ref="G75:L75" si="52">+G92+G96+G101+G113</f>
        <v>0</v>
      </c>
      <c r="H75" s="2304">
        <f t="shared" si="52"/>
        <v>0</v>
      </c>
      <c r="I75" s="2304">
        <f t="shared" si="52"/>
        <v>0</v>
      </c>
      <c r="J75" s="2304">
        <f t="shared" si="52"/>
        <v>0</v>
      </c>
      <c r="K75" s="2304">
        <f t="shared" si="52"/>
        <v>0</v>
      </c>
      <c r="L75" s="2304">
        <f t="shared" si="52"/>
        <v>0</v>
      </c>
      <c r="M75" s="2241">
        <f>SUM(E75:G75)</f>
        <v>0</v>
      </c>
      <c r="N75" s="2241">
        <f>SUM(F75:H75)</f>
        <v>0</v>
      </c>
      <c r="O75" s="3203"/>
    </row>
    <row r="76" spans="1:109" s="2298" customFormat="1" ht="13.5" hidden="1" customHeight="1">
      <c r="A76" s="2254"/>
      <c r="B76" s="2305" t="s">
        <v>10</v>
      </c>
      <c r="C76" s="2306"/>
      <c r="D76" s="2307">
        <f>D77+D81</f>
        <v>0</v>
      </c>
      <c r="E76" s="2307">
        <f>+E77+E81</f>
        <v>0</v>
      </c>
      <c r="F76" s="2307">
        <f t="shared" ref="F76:L76" si="53">+F77+F81</f>
        <v>0</v>
      </c>
      <c r="G76" s="2307">
        <f t="shared" si="53"/>
        <v>0</v>
      </c>
      <c r="H76" s="2307">
        <f t="shared" si="53"/>
        <v>0</v>
      </c>
      <c r="I76" s="2307">
        <f t="shared" si="53"/>
        <v>0</v>
      </c>
      <c r="J76" s="2307">
        <f t="shared" si="53"/>
        <v>0</v>
      </c>
      <c r="K76" s="2307">
        <f t="shared" si="53"/>
        <v>0</v>
      </c>
      <c r="L76" s="2307">
        <f t="shared" si="53"/>
        <v>0</v>
      </c>
      <c r="M76" s="2308" t="e">
        <f>+M77</f>
        <v>#REF!</v>
      </c>
      <c r="N76" s="2308" t="e">
        <f>+N77</f>
        <v>#REF!</v>
      </c>
      <c r="O76" s="3202"/>
      <c r="P76" s="2297"/>
      <c r="Q76" s="2297"/>
      <c r="R76" s="2297"/>
      <c r="S76" s="2297"/>
      <c r="T76" s="2297"/>
      <c r="U76" s="2297"/>
      <c r="V76" s="2297"/>
      <c r="W76" s="2297"/>
      <c r="X76" s="2297"/>
      <c r="Y76" s="2297"/>
      <c r="Z76" s="2297"/>
      <c r="AA76" s="2297"/>
      <c r="AB76" s="2297"/>
      <c r="AC76" s="2297"/>
      <c r="AD76" s="2297"/>
      <c r="AE76" s="2297"/>
      <c r="AF76" s="2297"/>
      <c r="AG76" s="2297"/>
      <c r="AH76" s="2297"/>
      <c r="AI76" s="2297"/>
      <c r="AJ76" s="2297"/>
      <c r="AK76" s="2297"/>
      <c r="AL76" s="2297"/>
      <c r="AM76" s="2297"/>
      <c r="AN76" s="2297"/>
      <c r="AO76" s="2297"/>
      <c r="AP76" s="2297"/>
      <c r="AQ76" s="2297"/>
      <c r="AR76" s="2297"/>
      <c r="AS76" s="2297"/>
      <c r="AT76" s="2297"/>
      <c r="AU76" s="2297"/>
      <c r="AV76" s="2297"/>
      <c r="AW76" s="2297"/>
      <c r="AX76" s="2297"/>
      <c r="AY76" s="2297"/>
      <c r="AZ76" s="2297"/>
      <c r="BA76" s="2297"/>
      <c r="BB76" s="2297"/>
      <c r="BC76" s="2297"/>
      <c r="BD76" s="2297"/>
      <c r="BE76" s="2297"/>
      <c r="BF76" s="2297"/>
      <c r="BG76" s="2297"/>
      <c r="BH76" s="2297"/>
      <c r="BI76" s="2297"/>
      <c r="BJ76" s="2297"/>
      <c r="BK76" s="2297"/>
      <c r="BL76" s="2297"/>
      <c r="BM76" s="2297"/>
      <c r="BN76" s="2297"/>
      <c r="BO76" s="2297"/>
      <c r="BP76" s="2297"/>
      <c r="BQ76" s="2297"/>
      <c r="BR76" s="2297"/>
      <c r="BS76" s="2297"/>
      <c r="BT76" s="2297"/>
      <c r="BU76" s="2297"/>
      <c r="BV76" s="2297"/>
      <c r="BW76" s="2297"/>
      <c r="BX76" s="2297"/>
      <c r="BY76" s="2297"/>
      <c r="BZ76" s="2297"/>
      <c r="CA76" s="2297"/>
      <c r="CB76" s="2297"/>
      <c r="CC76" s="2297"/>
      <c r="CD76" s="2297"/>
      <c r="CE76" s="2297"/>
      <c r="CF76" s="2297"/>
      <c r="CG76" s="2297"/>
      <c r="CH76" s="2297"/>
      <c r="CI76" s="2297"/>
      <c r="CJ76" s="2297"/>
      <c r="CK76" s="2297"/>
      <c r="CL76" s="2297"/>
      <c r="CM76" s="2297"/>
      <c r="CN76" s="2297"/>
      <c r="CO76" s="2297"/>
      <c r="CP76" s="2297"/>
      <c r="CQ76" s="2297"/>
      <c r="CR76" s="2297"/>
      <c r="CS76" s="2297"/>
      <c r="CT76" s="2297"/>
      <c r="CU76" s="2297"/>
      <c r="CV76" s="2297"/>
      <c r="CW76" s="2297"/>
      <c r="CX76" s="2297"/>
      <c r="CY76" s="2297"/>
      <c r="CZ76" s="2297"/>
      <c r="DA76" s="2297"/>
      <c r="DB76" s="2297"/>
      <c r="DC76" s="2297"/>
      <c r="DD76" s="2297"/>
      <c r="DE76" s="2297"/>
    </row>
    <row r="77" spans="1:109" s="2298" customFormat="1" ht="13.5" hidden="1" customHeight="1">
      <c r="A77" s="2254"/>
      <c r="B77" s="2309" t="s">
        <v>11</v>
      </c>
      <c r="C77" s="2310"/>
      <c r="D77" s="2310">
        <f>+D78+D79+D80</f>
        <v>0</v>
      </c>
      <c r="E77" s="2310">
        <f t="shared" ref="E77:L77" si="54">+E78+E79+E80</f>
        <v>0</v>
      </c>
      <c r="F77" s="2310">
        <f t="shared" si="54"/>
        <v>0</v>
      </c>
      <c r="G77" s="2310">
        <f t="shared" si="54"/>
        <v>0</v>
      </c>
      <c r="H77" s="2310">
        <f t="shared" si="54"/>
        <v>0</v>
      </c>
      <c r="I77" s="2310">
        <f t="shared" si="54"/>
        <v>0</v>
      </c>
      <c r="J77" s="2310">
        <f t="shared" si="54"/>
        <v>0</v>
      </c>
      <c r="K77" s="2310">
        <f t="shared" si="54"/>
        <v>0</v>
      </c>
      <c r="L77" s="2310">
        <f t="shared" si="54"/>
        <v>0</v>
      </c>
      <c r="M77" s="2311" t="e">
        <f>+M80+M79</f>
        <v>#REF!</v>
      </c>
      <c r="N77" s="2311" t="e">
        <f>+N80+N79</f>
        <v>#REF!</v>
      </c>
      <c r="O77" s="3203"/>
      <c r="P77" s="2297"/>
      <c r="Q77" s="2297"/>
      <c r="R77" s="2297"/>
      <c r="S77" s="2297"/>
      <c r="T77" s="2297"/>
      <c r="U77" s="2297"/>
      <c r="V77" s="2297"/>
      <c r="W77" s="2297"/>
      <c r="X77" s="2297"/>
      <c r="Y77" s="2297"/>
      <c r="Z77" s="2297"/>
      <c r="AA77" s="2297"/>
      <c r="AB77" s="2297"/>
      <c r="AC77" s="2297"/>
      <c r="AD77" s="2297"/>
      <c r="AE77" s="2297"/>
      <c r="AF77" s="2297"/>
      <c r="AG77" s="2297"/>
      <c r="AH77" s="2297"/>
      <c r="AI77" s="2297"/>
      <c r="AJ77" s="2297"/>
      <c r="AK77" s="2297"/>
      <c r="AL77" s="2297"/>
      <c r="AM77" s="2297"/>
      <c r="AN77" s="2297"/>
      <c r="AO77" s="2297"/>
      <c r="AP77" s="2297"/>
      <c r="AQ77" s="2297"/>
      <c r="AR77" s="2297"/>
      <c r="AS77" s="2297"/>
      <c r="AT77" s="2297"/>
      <c r="AU77" s="2297"/>
      <c r="AV77" s="2297"/>
      <c r="AW77" s="2297"/>
      <c r="AX77" s="2297"/>
      <c r="AY77" s="2297"/>
      <c r="AZ77" s="2297"/>
      <c r="BA77" s="2297"/>
      <c r="BB77" s="2297"/>
      <c r="BC77" s="2297"/>
      <c r="BD77" s="2297"/>
      <c r="BE77" s="2297"/>
      <c r="BF77" s="2297"/>
      <c r="BG77" s="2297"/>
      <c r="BH77" s="2297"/>
      <c r="BI77" s="2297"/>
      <c r="BJ77" s="2297"/>
      <c r="BK77" s="2297"/>
      <c r="BL77" s="2297"/>
      <c r="BM77" s="2297"/>
      <c r="BN77" s="2297"/>
      <c r="BO77" s="2297"/>
      <c r="BP77" s="2297"/>
      <c r="BQ77" s="2297"/>
      <c r="BR77" s="2297"/>
      <c r="BS77" s="2297"/>
      <c r="BT77" s="2297"/>
      <c r="BU77" s="2297"/>
      <c r="BV77" s="2297"/>
      <c r="BW77" s="2297"/>
      <c r="BX77" s="2297"/>
      <c r="BY77" s="2297"/>
      <c r="BZ77" s="2297"/>
      <c r="CA77" s="2297"/>
      <c r="CB77" s="2297"/>
      <c r="CC77" s="2297"/>
      <c r="CD77" s="2297"/>
      <c r="CE77" s="2297"/>
      <c r="CF77" s="2297"/>
      <c r="CG77" s="2297"/>
      <c r="CH77" s="2297"/>
      <c r="CI77" s="2297"/>
      <c r="CJ77" s="2297"/>
      <c r="CK77" s="2297"/>
      <c r="CL77" s="2297"/>
      <c r="CM77" s="2297"/>
      <c r="CN77" s="2297"/>
      <c r="CO77" s="2297"/>
      <c r="CP77" s="2297"/>
      <c r="CQ77" s="2297"/>
      <c r="CR77" s="2297"/>
      <c r="CS77" s="2297"/>
      <c r="CT77" s="2297"/>
      <c r="CU77" s="2297"/>
      <c r="CV77" s="2297"/>
      <c r="CW77" s="2297"/>
      <c r="CX77" s="2297"/>
      <c r="CY77" s="2297"/>
      <c r="CZ77" s="2297"/>
      <c r="DA77" s="2297"/>
      <c r="DB77" s="2297"/>
      <c r="DC77" s="2297"/>
      <c r="DD77" s="2297"/>
      <c r="DE77" s="2297"/>
    </row>
    <row r="78" spans="1:109" s="2298" customFormat="1" ht="13.5" hidden="1" customHeight="1">
      <c r="A78" s="2254"/>
      <c r="B78" s="2312" t="s">
        <v>137</v>
      </c>
      <c r="C78" s="2313"/>
      <c r="D78" s="2313">
        <f>+D100</f>
        <v>0</v>
      </c>
      <c r="E78" s="2313">
        <f t="shared" ref="E78:F78" si="55">+E100</f>
        <v>0</v>
      </c>
      <c r="F78" s="2313">
        <f t="shared" si="55"/>
        <v>0</v>
      </c>
      <c r="G78" s="2313">
        <v>0</v>
      </c>
      <c r="H78" s="2313">
        <v>0</v>
      </c>
      <c r="I78" s="2313">
        <v>0</v>
      </c>
      <c r="J78" s="2313">
        <v>0</v>
      </c>
      <c r="K78" s="2313">
        <v>0</v>
      </c>
      <c r="L78" s="2313">
        <v>0</v>
      </c>
      <c r="M78" s="2314" t="s">
        <v>61</v>
      </c>
      <c r="N78" s="2314" t="s">
        <v>61</v>
      </c>
      <c r="O78" s="3203"/>
      <c r="P78" s="2297"/>
      <c r="Q78" s="2297"/>
      <c r="R78" s="2297"/>
      <c r="S78" s="2297"/>
      <c r="T78" s="2297"/>
      <c r="U78" s="2297"/>
      <c r="V78" s="2297"/>
      <c r="W78" s="2297"/>
      <c r="X78" s="2297"/>
      <c r="Y78" s="2297"/>
      <c r="Z78" s="2297"/>
      <c r="AA78" s="2297"/>
      <c r="AB78" s="2297"/>
      <c r="AC78" s="2297"/>
      <c r="AD78" s="2297"/>
      <c r="AE78" s="2297"/>
      <c r="AF78" s="2297"/>
      <c r="AG78" s="2297"/>
      <c r="AH78" s="2297"/>
      <c r="AI78" s="2297"/>
      <c r="AJ78" s="2297"/>
      <c r="AK78" s="2297"/>
      <c r="AL78" s="2297"/>
      <c r="AM78" s="2297"/>
      <c r="AN78" s="2297"/>
      <c r="AO78" s="2297"/>
      <c r="AP78" s="2297"/>
      <c r="AQ78" s="2297"/>
      <c r="AR78" s="2297"/>
      <c r="AS78" s="2297"/>
      <c r="AT78" s="2297"/>
      <c r="AU78" s="2297"/>
      <c r="AV78" s="2297"/>
      <c r="AW78" s="2297"/>
      <c r="AX78" s="2297"/>
      <c r="AY78" s="2297"/>
      <c r="AZ78" s="2297"/>
      <c r="BA78" s="2297"/>
      <c r="BB78" s="2297"/>
      <c r="BC78" s="2297"/>
      <c r="BD78" s="2297"/>
      <c r="BE78" s="2297"/>
      <c r="BF78" s="2297"/>
      <c r="BG78" s="2297"/>
      <c r="BH78" s="2297"/>
      <c r="BI78" s="2297"/>
      <c r="BJ78" s="2297"/>
      <c r="BK78" s="2297"/>
      <c r="BL78" s="2297"/>
      <c r="BM78" s="2297"/>
      <c r="BN78" s="2297"/>
      <c r="BO78" s="2297"/>
      <c r="BP78" s="2297"/>
      <c r="BQ78" s="2297"/>
      <c r="BR78" s="2297"/>
      <c r="BS78" s="2297"/>
      <c r="BT78" s="2297"/>
      <c r="BU78" s="2297"/>
      <c r="BV78" s="2297"/>
      <c r="BW78" s="2297"/>
      <c r="BX78" s="2297"/>
      <c r="BY78" s="2297"/>
      <c r="BZ78" s="2297"/>
      <c r="CA78" s="2297"/>
      <c r="CB78" s="2297"/>
      <c r="CC78" s="2297"/>
      <c r="CD78" s="2297"/>
      <c r="CE78" s="2297"/>
      <c r="CF78" s="2297"/>
      <c r="CG78" s="2297"/>
      <c r="CH78" s="2297"/>
      <c r="CI78" s="2297"/>
      <c r="CJ78" s="2297"/>
      <c r="CK78" s="2297"/>
      <c r="CL78" s="2297"/>
      <c r="CM78" s="2297"/>
      <c r="CN78" s="2297"/>
      <c r="CO78" s="2297"/>
      <c r="CP78" s="2297"/>
      <c r="CQ78" s="2297"/>
      <c r="CR78" s="2297"/>
      <c r="CS78" s="2297"/>
      <c r="CT78" s="2297"/>
      <c r="CU78" s="2297"/>
      <c r="CV78" s="2297"/>
      <c r="CW78" s="2297"/>
      <c r="CX78" s="2297"/>
      <c r="CY78" s="2297"/>
      <c r="CZ78" s="2297"/>
      <c r="DA78" s="2297"/>
      <c r="DB78" s="2297"/>
      <c r="DC78" s="2297"/>
      <c r="DD78" s="2297"/>
      <c r="DE78" s="2297"/>
    </row>
    <row r="79" spans="1:109" s="2298" customFormat="1" ht="13.5" hidden="1" customHeight="1">
      <c r="A79" s="2254"/>
      <c r="B79" s="2312" t="s">
        <v>138</v>
      </c>
      <c r="C79" s="2313"/>
      <c r="D79" s="2313">
        <f>+D101+D113</f>
        <v>0</v>
      </c>
      <c r="E79" s="2313">
        <f t="shared" ref="E79:I79" si="56">+E101+E113</f>
        <v>0</v>
      </c>
      <c r="F79" s="2313">
        <f t="shared" si="56"/>
        <v>0</v>
      </c>
      <c r="G79" s="2313">
        <f t="shared" si="56"/>
        <v>0</v>
      </c>
      <c r="H79" s="2313">
        <f t="shared" si="56"/>
        <v>0</v>
      </c>
      <c r="I79" s="2313">
        <f t="shared" si="56"/>
        <v>0</v>
      </c>
      <c r="J79" s="2313">
        <v>0</v>
      </c>
      <c r="K79" s="2313">
        <v>0</v>
      </c>
      <c r="L79" s="2313">
        <v>0</v>
      </c>
      <c r="M79" s="2315" t="e">
        <f>+H79+G79+F79+E79+#REF!</f>
        <v>#REF!</v>
      </c>
      <c r="N79" s="2315" t="e">
        <f>+I79+H79+G79+F79+#REF!</f>
        <v>#REF!</v>
      </c>
      <c r="O79" s="3203"/>
      <c r="P79" s="2297"/>
      <c r="Q79" s="2297"/>
      <c r="R79" s="2297"/>
      <c r="S79" s="2297"/>
      <c r="T79" s="2297"/>
      <c r="U79" s="2297"/>
      <c r="V79" s="2297"/>
      <c r="W79" s="2297"/>
      <c r="X79" s="2297"/>
      <c r="Y79" s="2297"/>
      <c r="Z79" s="2297"/>
      <c r="AA79" s="2297"/>
      <c r="AB79" s="2297"/>
      <c r="AC79" s="2297"/>
      <c r="AD79" s="2297"/>
      <c r="AE79" s="2297"/>
      <c r="AF79" s="2297"/>
      <c r="AG79" s="2297"/>
      <c r="AH79" s="2297"/>
      <c r="AI79" s="2297"/>
      <c r="AJ79" s="2297"/>
      <c r="AK79" s="2297"/>
      <c r="AL79" s="2297"/>
      <c r="AM79" s="2297"/>
      <c r="AN79" s="2297"/>
      <c r="AO79" s="2297"/>
      <c r="AP79" s="2297"/>
      <c r="AQ79" s="2297"/>
      <c r="AR79" s="2297"/>
      <c r="AS79" s="2297"/>
      <c r="AT79" s="2297"/>
      <c r="AU79" s="2297"/>
      <c r="AV79" s="2297"/>
      <c r="AW79" s="2297"/>
      <c r="AX79" s="2297"/>
      <c r="AY79" s="2297"/>
      <c r="AZ79" s="2297"/>
      <c r="BA79" s="2297"/>
      <c r="BB79" s="2297"/>
      <c r="BC79" s="2297"/>
      <c r="BD79" s="2297"/>
      <c r="BE79" s="2297"/>
      <c r="BF79" s="2297"/>
      <c r="BG79" s="2297"/>
      <c r="BH79" s="2297"/>
      <c r="BI79" s="2297"/>
      <c r="BJ79" s="2297"/>
      <c r="BK79" s="2297"/>
      <c r="BL79" s="2297"/>
      <c r="BM79" s="2297"/>
      <c r="BN79" s="2297"/>
      <c r="BO79" s="2297"/>
      <c r="BP79" s="2297"/>
      <c r="BQ79" s="2297"/>
      <c r="BR79" s="2297"/>
      <c r="BS79" s="2297"/>
      <c r="BT79" s="2297"/>
      <c r="BU79" s="2297"/>
      <c r="BV79" s="2297"/>
      <c r="BW79" s="2297"/>
      <c r="BX79" s="2297"/>
      <c r="BY79" s="2297"/>
      <c r="BZ79" s="2297"/>
      <c r="CA79" s="2297"/>
      <c r="CB79" s="2297"/>
      <c r="CC79" s="2297"/>
      <c r="CD79" s="2297"/>
      <c r="CE79" s="2297"/>
      <c r="CF79" s="2297"/>
      <c r="CG79" s="2297"/>
      <c r="CH79" s="2297"/>
      <c r="CI79" s="2297"/>
      <c r="CJ79" s="2297"/>
      <c r="CK79" s="2297"/>
      <c r="CL79" s="2297"/>
      <c r="CM79" s="2297"/>
      <c r="CN79" s="2297"/>
      <c r="CO79" s="2297"/>
      <c r="CP79" s="2297"/>
      <c r="CQ79" s="2297"/>
      <c r="CR79" s="2297"/>
      <c r="CS79" s="2297"/>
      <c r="CT79" s="2297"/>
      <c r="CU79" s="2297"/>
      <c r="CV79" s="2297"/>
      <c r="CW79" s="2297"/>
      <c r="CX79" s="2297"/>
      <c r="CY79" s="2297"/>
      <c r="CZ79" s="2297"/>
      <c r="DA79" s="2297"/>
      <c r="DB79" s="2297"/>
      <c r="DC79" s="2297"/>
      <c r="DD79" s="2297"/>
      <c r="DE79" s="2297"/>
    </row>
    <row r="80" spans="1:109" s="2320" customFormat="1" ht="13.5" hidden="1" customHeight="1">
      <c r="A80" s="2233"/>
      <c r="B80" s="2316" t="s">
        <v>12</v>
      </c>
      <c r="C80" s="2317"/>
      <c r="D80" s="2317">
        <f>+D92+D96</f>
        <v>0</v>
      </c>
      <c r="E80" s="2317">
        <f t="shared" ref="E80:F80" si="57">+E92+E96</f>
        <v>0</v>
      </c>
      <c r="F80" s="2317">
        <f t="shared" si="57"/>
        <v>0</v>
      </c>
      <c r="G80" s="2317">
        <v>0</v>
      </c>
      <c r="H80" s="2317">
        <v>0</v>
      </c>
      <c r="I80" s="2317">
        <v>0</v>
      </c>
      <c r="J80" s="2317"/>
      <c r="K80" s="2317"/>
      <c r="L80" s="2317"/>
      <c r="M80" s="2318">
        <f>SUM(E80:F80)</f>
        <v>0</v>
      </c>
      <c r="N80" s="2318">
        <f>SUM(F80:G80)</f>
        <v>0</v>
      </c>
      <c r="O80" s="3203"/>
      <c r="P80" s="2319"/>
      <c r="Q80" s="2319"/>
      <c r="R80" s="2319"/>
      <c r="S80" s="2319"/>
      <c r="T80" s="2319"/>
      <c r="U80" s="2319"/>
      <c r="V80" s="2319"/>
      <c r="W80" s="2319"/>
      <c r="X80" s="2319"/>
      <c r="Y80" s="2319"/>
      <c r="Z80" s="2319"/>
      <c r="AA80" s="2319"/>
      <c r="AB80" s="2319"/>
      <c r="AC80" s="2319"/>
      <c r="AD80" s="2319"/>
      <c r="AE80" s="2319"/>
      <c r="AF80" s="2319"/>
      <c r="AG80" s="2319"/>
      <c r="AH80" s="2319"/>
      <c r="AI80" s="2319"/>
      <c r="AJ80" s="2319"/>
      <c r="AK80" s="2319"/>
      <c r="AL80" s="2319"/>
      <c r="AM80" s="2319"/>
      <c r="AN80" s="2319"/>
      <c r="AO80" s="2319"/>
      <c r="AP80" s="2319"/>
      <c r="AQ80" s="2319"/>
      <c r="AR80" s="2319"/>
      <c r="AS80" s="2319"/>
      <c r="AT80" s="2319"/>
      <c r="AU80" s="2319"/>
      <c r="AV80" s="2319"/>
      <c r="AW80" s="2319"/>
      <c r="AX80" s="2319"/>
      <c r="AY80" s="2319"/>
      <c r="AZ80" s="2319"/>
      <c r="BA80" s="2319"/>
      <c r="BB80" s="2319"/>
      <c r="BC80" s="2319"/>
      <c r="BD80" s="2319"/>
      <c r="BE80" s="2319"/>
      <c r="BF80" s="2319"/>
      <c r="BG80" s="2319"/>
      <c r="BH80" s="2319"/>
      <c r="BI80" s="2319"/>
      <c r="BJ80" s="2319"/>
      <c r="BK80" s="2319"/>
      <c r="BL80" s="2319"/>
      <c r="BM80" s="2319"/>
      <c r="BN80" s="2319"/>
      <c r="BO80" s="2319"/>
      <c r="BP80" s="2319"/>
      <c r="BQ80" s="2319"/>
      <c r="BR80" s="2319"/>
      <c r="BS80" s="2319"/>
      <c r="BT80" s="2319"/>
      <c r="BU80" s="2319"/>
      <c r="BV80" s="2319"/>
      <c r="BW80" s="2319"/>
      <c r="BX80" s="2319"/>
      <c r="BY80" s="2319"/>
      <c r="BZ80" s="2319"/>
      <c r="CA80" s="2319"/>
      <c r="CB80" s="2319"/>
      <c r="CC80" s="2319"/>
      <c r="CD80" s="2319"/>
      <c r="CE80" s="2319"/>
      <c r="CF80" s="2319"/>
      <c r="CG80" s="2319"/>
      <c r="CH80" s="2319"/>
      <c r="CI80" s="2319"/>
      <c r="CJ80" s="2319"/>
      <c r="CK80" s="2319"/>
      <c r="CL80" s="2319"/>
      <c r="CM80" s="2319"/>
      <c r="CN80" s="2319"/>
      <c r="CO80" s="2319"/>
      <c r="CP80" s="2319"/>
      <c r="CQ80" s="2319"/>
      <c r="CR80" s="2319"/>
      <c r="CS80" s="2319"/>
      <c r="CT80" s="2319"/>
      <c r="CU80" s="2319"/>
      <c r="CV80" s="2319"/>
      <c r="CW80" s="2319"/>
      <c r="CX80" s="2319"/>
      <c r="CY80" s="2319"/>
      <c r="CZ80" s="2319"/>
      <c r="DA80" s="2319"/>
      <c r="DB80" s="2319"/>
      <c r="DC80" s="2319"/>
      <c r="DD80" s="2319"/>
      <c r="DE80" s="2319"/>
    </row>
    <row r="81" spans="1:109" s="2298" customFormat="1" ht="13.5" hidden="1" customHeight="1">
      <c r="A81" s="2254"/>
      <c r="B81" s="2309" t="s">
        <v>18</v>
      </c>
      <c r="C81" s="2321"/>
      <c r="D81" s="2322">
        <f>D82</f>
        <v>0</v>
      </c>
      <c r="E81" s="2322">
        <f t="shared" ref="E81:L81" si="58">E82</f>
        <v>0</v>
      </c>
      <c r="F81" s="2322">
        <f t="shared" si="58"/>
        <v>0</v>
      </c>
      <c r="G81" s="2321">
        <f t="shared" si="58"/>
        <v>0</v>
      </c>
      <c r="H81" s="2321">
        <f t="shared" si="58"/>
        <v>0</v>
      </c>
      <c r="I81" s="2321">
        <f t="shared" si="58"/>
        <v>0</v>
      </c>
      <c r="J81" s="2321">
        <f t="shared" si="58"/>
        <v>0</v>
      </c>
      <c r="K81" s="2321">
        <f t="shared" si="58"/>
        <v>0</v>
      </c>
      <c r="L81" s="2321">
        <f t="shared" si="58"/>
        <v>0</v>
      </c>
      <c r="M81" s="2323" t="s">
        <v>61</v>
      </c>
      <c r="N81" s="2323" t="s">
        <v>61</v>
      </c>
      <c r="O81" s="2324"/>
      <c r="P81" s="2297"/>
      <c r="Q81" s="2297"/>
      <c r="R81" s="2297"/>
      <c r="S81" s="2297"/>
      <c r="T81" s="2297"/>
      <c r="U81" s="2297"/>
      <c r="V81" s="2297"/>
      <c r="W81" s="2297"/>
      <c r="X81" s="2297"/>
      <c r="Y81" s="2297"/>
      <c r="Z81" s="2297"/>
      <c r="AA81" s="2297"/>
      <c r="AB81" s="2297"/>
      <c r="AC81" s="2297"/>
      <c r="AD81" s="2297"/>
      <c r="AE81" s="2297"/>
      <c r="AF81" s="2297"/>
      <c r="AG81" s="2297"/>
      <c r="AH81" s="2297"/>
      <c r="AI81" s="2297"/>
      <c r="AJ81" s="2297"/>
      <c r="AK81" s="2297"/>
      <c r="AL81" s="2297"/>
      <c r="AM81" s="2297"/>
      <c r="AN81" s="2297"/>
      <c r="AO81" s="2297"/>
      <c r="AP81" s="2297"/>
      <c r="AQ81" s="2297"/>
      <c r="AR81" s="2297"/>
      <c r="AS81" s="2297"/>
      <c r="AT81" s="2297"/>
      <c r="AU81" s="2297"/>
      <c r="AV81" s="2297"/>
      <c r="AW81" s="2297"/>
      <c r="AX81" s="2297"/>
      <c r="AY81" s="2297"/>
      <c r="AZ81" s="2297"/>
      <c r="BA81" s="2297"/>
      <c r="BB81" s="2297"/>
      <c r="BC81" s="2297"/>
      <c r="BD81" s="2297"/>
      <c r="BE81" s="2297"/>
      <c r="BF81" s="2297"/>
      <c r="BG81" s="2297"/>
      <c r="BH81" s="2297"/>
      <c r="BI81" s="2297"/>
      <c r="BJ81" s="2297"/>
      <c r="BK81" s="2297"/>
      <c r="BL81" s="2297"/>
      <c r="BM81" s="2297"/>
      <c r="BN81" s="2297"/>
      <c r="BO81" s="2297"/>
      <c r="BP81" s="2297"/>
      <c r="BQ81" s="2297"/>
      <c r="BR81" s="2297"/>
      <c r="BS81" s="2297"/>
      <c r="BT81" s="2297"/>
      <c r="BU81" s="2297"/>
      <c r="BV81" s="2297"/>
      <c r="BW81" s="2297"/>
      <c r="BX81" s="2297"/>
      <c r="BY81" s="2297"/>
      <c r="BZ81" s="2297"/>
      <c r="CA81" s="2297"/>
      <c r="CB81" s="2297"/>
      <c r="CC81" s="2297"/>
      <c r="CD81" s="2297"/>
      <c r="CE81" s="2297"/>
      <c r="CF81" s="2297"/>
      <c r="CG81" s="2297"/>
      <c r="CH81" s="2297"/>
      <c r="CI81" s="2297"/>
      <c r="CJ81" s="2297"/>
      <c r="CK81" s="2297"/>
      <c r="CL81" s="2297"/>
      <c r="CM81" s="2297"/>
      <c r="CN81" s="2297"/>
      <c r="CO81" s="2297"/>
      <c r="CP81" s="2297"/>
      <c r="CQ81" s="2297"/>
      <c r="CR81" s="2297"/>
      <c r="CS81" s="2297"/>
      <c r="CT81" s="2297"/>
      <c r="CU81" s="2297"/>
      <c r="CV81" s="2297"/>
      <c r="CW81" s="2297"/>
      <c r="CX81" s="2297"/>
      <c r="CY81" s="2297"/>
      <c r="CZ81" s="2297"/>
      <c r="DA81" s="2297"/>
      <c r="DB81" s="2297"/>
      <c r="DC81" s="2297"/>
      <c r="DD81" s="2297"/>
      <c r="DE81" s="2297"/>
    </row>
    <row r="82" spans="1:109" s="2298" customFormat="1" ht="13.5" hidden="1" customHeight="1">
      <c r="A82" s="2254"/>
      <c r="B82" s="2312" t="s">
        <v>35</v>
      </c>
      <c r="C82" s="2313"/>
      <c r="D82" s="2325">
        <f>D103</f>
        <v>0</v>
      </c>
      <c r="E82" s="2325">
        <f>E103</f>
        <v>0</v>
      </c>
      <c r="F82" s="2325">
        <v>0</v>
      </c>
      <c r="G82" s="2313">
        <v>0</v>
      </c>
      <c r="H82" s="2313">
        <v>0</v>
      </c>
      <c r="I82" s="2313">
        <v>0</v>
      </c>
      <c r="J82" s="2313">
        <v>0</v>
      </c>
      <c r="K82" s="2313">
        <v>0</v>
      </c>
      <c r="L82" s="2313">
        <v>0</v>
      </c>
      <c r="M82" s="2326" t="s">
        <v>61</v>
      </c>
      <c r="N82" s="2326" t="s">
        <v>61</v>
      </c>
      <c r="O82" s="2324"/>
      <c r="P82" s="2297"/>
      <c r="Q82" s="2297"/>
      <c r="R82" s="2297"/>
      <c r="S82" s="2297"/>
      <c r="T82" s="2297"/>
      <c r="U82" s="2297"/>
      <c r="V82" s="2297"/>
      <c r="W82" s="2297"/>
      <c r="X82" s="2297"/>
      <c r="Y82" s="2297"/>
      <c r="Z82" s="2297"/>
      <c r="AA82" s="2297"/>
      <c r="AB82" s="2297"/>
      <c r="AC82" s="2297"/>
      <c r="AD82" s="2297"/>
      <c r="AE82" s="2297"/>
      <c r="AF82" s="2297"/>
      <c r="AG82" s="2297"/>
      <c r="AH82" s="2297"/>
      <c r="AI82" s="2297"/>
      <c r="AJ82" s="2297"/>
      <c r="AK82" s="2297"/>
      <c r="AL82" s="2297"/>
      <c r="AM82" s="2297"/>
      <c r="AN82" s="2297"/>
      <c r="AO82" s="2297"/>
      <c r="AP82" s="2297"/>
      <c r="AQ82" s="2297"/>
      <c r="AR82" s="2297"/>
      <c r="AS82" s="2297"/>
      <c r="AT82" s="2297"/>
      <c r="AU82" s="2297"/>
      <c r="AV82" s="2297"/>
      <c r="AW82" s="2297"/>
      <c r="AX82" s="2297"/>
      <c r="AY82" s="2297"/>
      <c r="AZ82" s="2297"/>
      <c r="BA82" s="2297"/>
      <c r="BB82" s="2297"/>
      <c r="BC82" s="2297"/>
      <c r="BD82" s="2297"/>
      <c r="BE82" s="2297"/>
      <c r="BF82" s="2297"/>
      <c r="BG82" s="2297"/>
      <c r="BH82" s="2297"/>
      <c r="BI82" s="2297"/>
      <c r="BJ82" s="2297"/>
      <c r="BK82" s="2297"/>
      <c r="BL82" s="2297"/>
      <c r="BM82" s="2297"/>
      <c r="BN82" s="2297"/>
      <c r="BO82" s="2297"/>
      <c r="BP82" s="2297"/>
      <c r="BQ82" s="2297"/>
      <c r="BR82" s="2297"/>
      <c r="BS82" s="2297"/>
      <c r="BT82" s="2297"/>
      <c r="BU82" s="2297"/>
      <c r="BV82" s="2297"/>
      <c r="BW82" s="2297"/>
      <c r="BX82" s="2297"/>
      <c r="BY82" s="2297"/>
      <c r="BZ82" s="2297"/>
      <c r="CA82" s="2297"/>
      <c r="CB82" s="2297"/>
      <c r="CC82" s="2297"/>
      <c r="CD82" s="2297"/>
      <c r="CE82" s="2297"/>
      <c r="CF82" s="2297"/>
      <c r="CG82" s="2297"/>
      <c r="CH82" s="2297"/>
      <c r="CI82" s="2297"/>
      <c r="CJ82" s="2297"/>
      <c r="CK82" s="2297"/>
      <c r="CL82" s="2297"/>
      <c r="CM82" s="2297"/>
      <c r="CN82" s="2297"/>
      <c r="CO82" s="2297"/>
      <c r="CP82" s="2297"/>
      <c r="CQ82" s="2297"/>
      <c r="CR82" s="2297"/>
      <c r="CS82" s="2297"/>
      <c r="CT82" s="2297"/>
      <c r="CU82" s="2297"/>
      <c r="CV82" s="2297"/>
      <c r="CW82" s="2297"/>
      <c r="CX82" s="2297"/>
      <c r="CY82" s="2297"/>
      <c r="CZ82" s="2297"/>
      <c r="DA82" s="2297"/>
      <c r="DB82" s="2297"/>
      <c r="DC82" s="2297"/>
      <c r="DD82" s="2297"/>
      <c r="DE82" s="2297"/>
    </row>
    <row r="83" spans="1:109" s="2298" customFormat="1" ht="13.5" hidden="1" customHeight="1">
      <c r="A83" s="2254"/>
      <c r="B83" s="2327" t="s">
        <v>22</v>
      </c>
      <c r="C83" s="2328"/>
      <c r="D83" s="2329">
        <f>D84+D87</f>
        <v>0</v>
      </c>
      <c r="E83" s="2329">
        <f t="shared" ref="E83:L83" si="59">E84+E87</f>
        <v>0</v>
      </c>
      <c r="F83" s="2329">
        <f t="shared" si="59"/>
        <v>0</v>
      </c>
      <c r="G83" s="2329">
        <f t="shared" si="59"/>
        <v>0</v>
      </c>
      <c r="H83" s="2329">
        <f t="shared" si="59"/>
        <v>0</v>
      </c>
      <c r="I83" s="2329">
        <f t="shared" si="59"/>
        <v>0</v>
      </c>
      <c r="J83" s="2329">
        <f t="shared" si="59"/>
        <v>0</v>
      </c>
      <c r="K83" s="2329">
        <f t="shared" si="59"/>
        <v>0</v>
      </c>
      <c r="L83" s="2329">
        <f t="shared" si="59"/>
        <v>0</v>
      </c>
      <c r="M83" s="2330"/>
      <c r="N83" s="2330"/>
      <c r="O83" s="2324"/>
      <c r="P83" s="2297"/>
      <c r="Q83" s="2297"/>
      <c r="R83" s="2297"/>
      <c r="S83" s="2297"/>
      <c r="T83" s="2297"/>
      <c r="U83" s="2297"/>
      <c r="V83" s="2297"/>
      <c r="W83" s="2297"/>
      <c r="X83" s="2297"/>
      <c r="Y83" s="2297"/>
      <c r="Z83" s="2297"/>
      <c r="AA83" s="2297"/>
      <c r="AB83" s="2297"/>
      <c r="AC83" s="2297"/>
      <c r="AD83" s="2297"/>
      <c r="AE83" s="2297"/>
      <c r="AF83" s="2297"/>
      <c r="AG83" s="2297"/>
      <c r="AH83" s="2297"/>
      <c r="AI83" s="2297"/>
      <c r="AJ83" s="2297"/>
      <c r="AK83" s="2297"/>
      <c r="AL83" s="2297"/>
      <c r="AM83" s="2297"/>
      <c r="AN83" s="2297"/>
      <c r="AO83" s="2297"/>
      <c r="AP83" s="2297"/>
      <c r="AQ83" s="2297"/>
      <c r="AR83" s="2297"/>
      <c r="AS83" s="2297"/>
      <c r="AT83" s="2297"/>
      <c r="AU83" s="2297"/>
      <c r="AV83" s="2297"/>
      <c r="AW83" s="2297"/>
      <c r="AX83" s="2297"/>
      <c r="AY83" s="2297"/>
      <c r="AZ83" s="2297"/>
      <c r="BA83" s="2297"/>
      <c r="BB83" s="2297"/>
      <c r="BC83" s="2297"/>
      <c r="BD83" s="2297"/>
      <c r="BE83" s="2297"/>
      <c r="BF83" s="2297"/>
      <c r="BG83" s="2297"/>
      <c r="BH83" s="2297"/>
      <c r="BI83" s="2297"/>
      <c r="BJ83" s="2297"/>
      <c r="BK83" s="2297"/>
      <c r="BL83" s="2297"/>
      <c r="BM83" s="2297"/>
      <c r="BN83" s="2297"/>
      <c r="BO83" s="2297"/>
      <c r="BP83" s="2297"/>
      <c r="BQ83" s="2297"/>
      <c r="BR83" s="2297"/>
      <c r="BS83" s="2297"/>
      <c r="BT83" s="2297"/>
      <c r="BU83" s="2297"/>
      <c r="BV83" s="2297"/>
      <c r="BW83" s="2297"/>
      <c r="BX83" s="2297"/>
      <c r="BY83" s="2297"/>
      <c r="BZ83" s="2297"/>
      <c r="CA83" s="2297"/>
      <c r="CB83" s="2297"/>
      <c r="CC83" s="2297"/>
      <c r="CD83" s="2297"/>
      <c r="CE83" s="2297"/>
      <c r="CF83" s="2297"/>
      <c r="CG83" s="2297"/>
      <c r="CH83" s="2297"/>
      <c r="CI83" s="2297"/>
      <c r="CJ83" s="2297"/>
      <c r="CK83" s="2297"/>
      <c r="CL83" s="2297"/>
      <c r="CM83" s="2297"/>
      <c r="CN83" s="2297"/>
      <c r="CO83" s="2297"/>
      <c r="CP83" s="2297"/>
      <c r="CQ83" s="2297"/>
      <c r="CR83" s="2297"/>
      <c r="CS83" s="2297"/>
      <c r="CT83" s="2297"/>
      <c r="CU83" s="2297"/>
      <c r="CV83" s="2297"/>
      <c r="CW83" s="2297"/>
      <c r="CX83" s="2297"/>
      <c r="CY83" s="2297"/>
      <c r="CZ83" s="2297"/>
      <c r="DA83" s="2297"/>
      <c r="DB83" s="2297"/>
      <c r="DC83" s="2297"/>
      <c r="DD83" s="2297"/>
      <c r="DE83" s="2297"/>
    </row>
    <row r="84" spans="1:109" s="2298" customFormat="1" ht="13.5" hidden="1" customHeight="1">
      <c r="A84" s="2254"/>
      <c r="B84" s="2331" t="s">
        <v>24</v>
      </c>
      <c r="C84" s="2332"/>
      <c r="D84" s="2333">
        <f>+D85+D86</f>
        <v>0</v>
      </c>
      <c r="E84" s="2333">
        <f t="shared" ref="E84:I84" si="60">+E85+E86</f>
        <v>0</v>
      </c>
      <c r="F84" s="2317">
        <f t="shared" si="60"/>
        <v>0</v>
      </c>
      <c r="G84" s="2317">
        <f t="shared" si="60"/>
        <v>0</v>
      </c>
      <c r="H84" s="2317">
        <f t="shared" si="60"/>
        <v>0</v>
      </c>
      <c r="I84" s="2317">
        <f t="shared" si="60"/>
        <v>0</v>
      </c>
      <c r="J84" s="2317">
        <v>0</v>
      </c>
      <c r="K84" s="2317">
        <v>0</v>
      </c>
      <c r="L84" s="2317">
        <v>0</v>
      </c>
      <c r="M84" s="3211" t="s">
        <v>61</v>
      </c>
      <c r="N84" s="3211" t="s">
        <v>61</v>
      </c>
      <c r="O84" s="2324"/>
      <c r="P84" s="2297"/>
      <c r="Q84" s="2297"/>
      <c r="R84" s="2297"/>
      <c r="S84" s="2297"/>
      <c r="T84" s="2297"/>
      <c r="U84" s="2297"/>
      <c r="V84" s="2297"/>
      <c r="W84" s="2297"/>
      <c r="X84" s="2297"/>
      <c r="Y84" s="2297"/>
      <c r="Z84" s="2297"/>
      <c r="AA84" s="2297"/>
      <c r="AB84" s="2297"/>
      <c r="AC84" s="2297"/>
      <c r="AD84" s="2297"/>
      <c r="AE84" s="2297"/>
      <c r="AF84" s="2297"/>
      <c r="AG84" s="2297"/>
      <c r="AH84" s="2297"/>
      <c r="AI84" s="2297"/>
      <c r="AJ84" s="2297"/>
      <c r="AK84" s="2297"/>
      <c r="AL84" s="2297"/>
      <c r="AM84" s="2297"/>
      <c r="AN84" s="2297"/>
      <c r="AO84" s="2297"/>
      <c r="AP84" s="2297"/>
      <c r="AQ84" s="2297"/>
      <c r="AR84" s="2297"/>
      <c r="AS84" s="2297"/>
      <c r="AT84" s="2297"/>
      <c r="AU84" s="2297"/>
      <c r="AV84" s="2297"/>
      <c r="AW84" s="2297"/>
      <c r="AX84" s="2297"/>
      <c r="AY84" s="2297"/>
      <c r="AZ84" s="2297"/>
      <c r="BA84" s="2297"/>
      <c r="BB84" s="2297"/>
      <c r="BC84" s="2297"/>
      <c r="BD84" s="2297"/>
      <c r="BE84" s="2297"/>
      <c r="BF84" s="2297"/>
      <c r="BG84" s="2297"/>
      <c r="BH84" s="2297"/>
      <c r="BI84" s="2297"/>
      <c r="BJ84" s="2297"/>
      <c r="BK84" s="2297"/>
      <c r="BL84" s="2297"/>
      <c r="BM84" s="2297"/>
      <c r="BN84" s="2297"/>
      <c r="BO84" s="2297"/>
      <c r="BP84" s="2297"/>
      <c r="BQ84" s="2297"/>
      <c r="BR84" s="2297"/>
      <c r="BS84" s="2297"/>
      <c r="BT84" s="2297"/>
      <c r="BU84" s="2297"/>
      <c r="BV84" s="2297"/>
      <c r="BW84" s="2297"/>
      <c r="BX84" s="2297"/>
      <c r="BY84" s="2297"/>
      <c r="BZ84" s="2297"/>
      <c r="CA84" s="2297"/>
      <c r="CB84" s="2297"/>
      <c r="CC84" s="2297"/>
      <c r="CD84" s="2297"/>
      <c r="CE84" s="2297"/>
      <c r="CF84" s="2297"/>
      <c r="CG84" s="2297"/>
      <c r="CH84" s="2297"/>
      <c r="CI84" s="2297"/>
      <c r="CJ84" s="2297"/>
      <c r="CK84" s="2297"/>
      <c r="CL84" s="2297"/>
      <c r="CM84" s="2297"/>
      <c r="CN84" s="2297"/>
      <c r="CO84" s="2297"/>
      <c r="CP84" s="2297"/>
      <c r="CQ84" s="2297"/>
      <c r="CR84" s="2297"/>
      <c r="CS84" s="2297"/>
      <c r="CT84" s="2297"/>
      <c r="CU84" s="2297"/>
      <c r="CV84" s="2297"/>
      <c r="CW84" s="2297"/>
      <c r="CX84" s="2297"/>
      <c r="CY84" s="2297"/>
      <c r="CZ84" s="2297"/>
      <c r="DA84" s="2297"/>
      <c r="DB84" s="2297"/>
      <c r="DC84" s="2297"/>
      <c r="DD84" s="2297"/>
      <c r="DE84" s="2297"/>
    </row>
    <row r="85" spans="1:109" s="2298" customFormat="1" ht="13.5" hidden="1" customHeight="1">
      <c r="A85" s="2254"/>
      <c r="B85" s="2316" t="s">
        <v>137</v>
      </c>
      <c r="C85" s="2317"/>
      <c r="D85" s="2317">
        <f>+D106</f>
        <v>0</v>
      </c>
      <c r="E85" s="2317">
        <f t="shared" ref="E85:F86" si="61">+E106</f>
        <v>0</v>
      </c>
      <c r="F85" s="2317">
        <f t="shared" si="61"/>
        <v>0</v>
      </c>
      <c r="G85" s="2317">
        <v>0</v>
      </c>
      <c r="H85" s="2317">
        <v>0</v>
      </c>
      <c r="I85" s="2317">
        <v>0</v>
      </c>
      <c r="J85" s="2317">
        <v>0</v>
      </c>
      <c r="K85" s="2317">
        <v>0</v>
      </c>
      <c r="L85" s="2317">
        <v>0</v>
      </c>
      <c r="M85" s="3212"/>
      <c r="N85" s="3212"/>
      <c r="O85" s="2324"/>
      <c r="P85" s="2297"/>
      <c r="Q85" s="2297"/>
      <c r="R85" s="2297"/>
      <c r="S85" s="2297"/>
      <c r="T85" s="2297"/>
      <c r="U85" s="2297"/>
      <c r="V85" s="2297"/>
      <c r="W85" s="2297"/>
      <c r="X85" s="2297"/>
      <c r="Y85" s="2297"/>
      <c r="Z85" s="2297"/>
      <c r="AA85" s="2297"/>
      <c r="AB85" s="2297"/>
      <c r="AC85" s="2297"/>
      <c r="AD85" s="2297"/>
      <c r="AE85" s="2297"/>
      <c r="AF85" s="2297"/>
      <c r="AG85" s="2297"/>
      <c r="AH85" s="2297"/>
      <c r="AI85" s="2297"/>
      <c r="AJ85" s="2297"/>
      <c r="AK85" s="2297"/>
      <c r="AL85" s="2297"/>
      <c r="AM85" s="2297"/>
      <c r="AN85" s="2297"/>
      <c r="AO85" s="2297"/>
      <c r="AP85" s="2297"/>
      <c r="AQ85" s="2297"/>
      <c r="AR85" s="2297"/>
      <c r="AS85" s="2297"/>
      <c r="AT85" s="2297"/>
      <c r="AU85" s="2297"/>
      <c r="AV85" s="2297"/>
      <c r="AW85" s="2297"/>
      <c r="AX85" s="2297"/>
      <c r="AY85" s="2297"/>
      <c r="AZ85" s="2297"/>
      <c r="BA85" s="2297"/>
      <c r="BB85" s="2297"/>
      <c r="BC85" s="2297"/>
      <c r="BD85" s="2297"/>
      <c r="BE85" s="2297"/>
      <c r="BF85" s="2297"/>
      <c r="BG85" s="2297"/>
      <c r="BH85" s="2297"/>
      <c r="BI85" s="2297"/>
      <c r="BJ85" s="2297"/>
      <c r="BK85" s="2297"/>
      <c r="BL85" s="2297"/>
      <c r="BM85" s="2297"/>
      <c r="BN85" s="2297"/>
      <c r="BO85" s="2297"/>
      <c r="BP85" s="2297"/>
      <c r="BQ85" s="2297"/>
      <c r="BR85" s="2297"/>
      <c r="BS85" s="2297"/>
      <c r="BT85" s="2297"/>
      <c r="BU85" s="2297"/>
      <c r="BV85" s="2297"/>
      <c r="BW85" s="2297"/>
      <c r="BX85" s="2297"/>
      <c r="BY85" s="2297"/>
      <c r="BZ85" s="2297"/>
      <c r="CA85" s="2297"/>
      <c r="CB85" s="2297"/>
      <c r="CC85" s="2297"/>
      <c r="CD85" s="2297"/>
      <c r="CE85" s="2297"/>
      <c r="CF85" s="2297"/>
      <c r="CG85" s="2297"/>
      <c r="CH85" s="2297"/>
      <c r="CI85" s="2297"/>
      <c r="CJ85" s="2297"/>
      <c r="CK85" s="2297"/>
      <c r="CL85" s="2297"/>
      <c r="CM85" s="2297"/>
      <c r="CN85" s="2297"/>
      <c r="CO85" s="2297"/>
      <c r="CP85" s="2297"/>
      <c r="CQ85" s="2297"/>
      <c r="CR85" s="2297"/>
      <c r="CS85" s="2297"/>
      <c r="CT85" s="2297"/>
      <c r="CU85" s="2297"/>
      <c r="CV85" s="2297"/>
      <c r="CW85" s="2297"/>
      <c r="CX85" s="2297"/>
      <c r="CY85" s="2297"/>
      <c r="CZ85" s="2297"/>
      <c r="DA85" s="2297"/>
      <c r="DB85" s="2297"/>
      <c r="DC85" s="2297"/>
      <c r="DD85" s="2297"/>
      <c r="DE85" s="2297"/>
    </row>
    <row r="86" spans="1:109" s="2298" customFormat="1" ht="13.5" hidden="1" customHeight="1">
      <c r="A86" s="2254"/>
      <c r="B86" s="2316" t="s">
        <v>139</v>
      </c>
      <c r="C86" s="2317"/>
      <c r="D86" s="2317">
        <f>+D107</f>
        <v>0</v>
      </c>
      <c r="E86" s="2317">
        <f t="shared" si="61"/>
        <v>0</v>
      </c>
      <c r="F86" s="2317">
        <f t="shared" si="61"/>
        <v>0</v>
      </c>
      <c r="G86" s="2317">
        <v>0</v>
      </c>
      <c r="H86" s="2317">
        <v>0</v>
      </c>
      <c r="I86" s="2317">
        <v>0</v>
      </c>
      <c r="J86" s="2317"/>
      <c r="K86" s="2317"/>
      <c r="L86" s="2317"/>
      <c r="M86" s="3212"/>
      <c r="N86" s="3212"/>
      <c r="O86" s="2324"/>
      <c r="P86" s="2297"/>
      <c r="Q86" s="2297"/>
      <c r="R86" s="2297"/>
      <c r="S86" s="2297"/>
      <c r="T86" s="2297"/>
      <c r="U86" s="2297"/>
      <c r="V86" s="2297"/>
      <c r="W86" s="2297"/>
      <c r="X86" s="2297"/>
      <c r="Y86" s="2297"/>
      <c r="Z86" s="2297"/>
      <c r="AA86" s="2297"/>
      <c r="AB86" s="2297"/>
      <c r="AC86" s="2297"/>
      <c r="AD86" s="2297"/>
      <c r="AE86" s="2297"/>
      <c r="AF86" s="2297"/>
      <c r="AG86" s="2297"/>
      <c r="AH86" s="2297"/>
      <c r="AI86" s="2297"/>
      <c r="AJ86" s="2297"/>
      <c r="AK86" s="2297"/>
      <c r="AL86" s="2297"/>
      <c r="AM86" s="2297"/>
      <c r="AN86" s="2297"/>
      <c r="AO86" s="2297"/>
      <c r="AP86" s="2297"/>
      <c r="AQ86" s="2297"/>
      <c r="AR86" s="2297"/>
      <c r="AS86" s="2297"/>
      <c r="AT86" s="2297"/>
      <c r="AU86" s="2297"/>
      <c r="AV86" s="2297"/>
      <c r="AW86" s="2297"/>
      <c r="AX86" s="2297"/>
      <c r="AY86" s="2297"/>
      <c r="AZ86" s="2297"/>
      <c r="BA86" s="2297"/>
      <c r="BB86" s="2297"/>
      <c r="BC86" s="2297"/>
      <c r="BD86" s="2297"/>
      <c r="BE86" s="2297"/>
      <c r="BF86" s="2297"/>
      <c r="BG86" s="2297"/>
      <c r="BH86" s="2297"/>
      <c r="BI86" s="2297"/>
      <c r="BJ86" s="2297"/>
      <c r="BK86" s="2297"/>
      <c r="BL86" s="2297"/>
      <c r="BM86" s="2297"/>
      <c r="BN86" s="2297"/>
      <c r="BO86" s="2297"/>
      <c r="BP86" s="2297"/>
      <c r="BQ86" s="2297"/>
      <c r="BR86" s="2297"/>
      <c r="BS86" s="2297"/>
      <c r="BT86" s="2297"/>
      <c r="BU86" s="2297"/>
      <c r="BV86" s="2297"/>
      <c r="BW86" s="2297"/>
      <c r="BX86" s="2297"/>
      <c r="BY86" s="2297"/>
      <c r="BZ86" s="2297"/>
      <c r="CA86" s="2297"/>
      <c r="CB86" s="2297"/>
      <c r="CC86" s="2297"/>
      <c r="CD86" s="2297"/>
      <c r="CE86" s="2297"/>
      <c r="CF86" s="2297"/>
      <c r="CG86" s="2297"/>
      <c r="CH86" s="2297"/>
      <c r="CI86" s="2297"/>
      <c r="CJ86" s="2297"/>
      <c r="CK86" s="2297"/>
      <c r="CL86" s="2297"/>
      <c r="CM86" s="2297"/>
      <c r="CN86" s="2297"/>
      <c r="CO86" s="2297"/>
      <c r="CP86" s="2297"/>
      <c r="CQ86" s="2297"/>
      <c r="CR86" s="2297"/>
      <c r="CS86" s="2297"/>
      <c r="CT86" s="2297"/>
      <c r="CU86" s="2297"/>
      <c r="CV86" s="2297"/>
      <c r="CW86" s="2297"/>
      <c r="CX86" s="2297"/>
      <c r="CY86" s="2297"/>
      <c r="CZ86" s="2297"/>
      <c r="DA86" s="2297"/>
      <c r="DB86" s="2297"/>
      <c r="DC86" s="2297"/>
      <c r="DD86" s="2297"/>
      <c r="DE86" s="2297"/>
    </row>
    <row r="87" spans="1:109" s="2338" customFormat="1" ht="13.5" hidden="1" customHeight="1">
      <c r="A87" s="2334"/>
      <c r="B87" s="2331" t="s">
        <v>18</v>
      </c>
      <c r="C87" s="2335"/>
      <c r="D87" s="2335">
        <f>+D88</f>
        <v>0</v>
      </c>
      <c r="E87" s="2335">
        <f t="shared" ref="E87:L87" si="62">+E88</f>
        <v>0</v>
      </c>
      <c r="F87" s="2335">
        <f t="shared" si="62"/>
        <v>0</v>
      </c>
      <c r="G87" s="2335">
        <f t="shared" si="62"/>
        <v>0</v>
      </c>
      <c r="H87" s="2335">
        <f t="shared" si="62"/>
        <v>0</v>
      </c>
      <c r="I87" s="2335">
        <f t="shared" si="62"/>
        <v>0</v>
      </c>
      <c r="J87" s="2335">
        <f t="shared" si="62"/>
        <v>0</v>
      </c>
      <c r="K87" s="2335">
        <f t="shared" si="62"/>
        <v>0</v>
      </c>
      <c r="L87" s="2335">
        <f t="shared" si="62"/>
        <v>0</v>
      </c>
      <c r="M87" s="3212"/>
      <c r="N87" s="3212"/>
      <c r="O87" s="2336"/>
      <c r="P87" s="2337"/>
      <c r="Q87" s="2337"/>
      <c r="R87" s="2337"/>
      <c r="S87" s="2337"/>
      <c r="T87" s="2337"/>
      <c r="U87" s="2337"/>
      <c r="V87" s="2337"/>
      <c r="W87" s="2337"/>
      <c r="X87" s="2337"/>
      <c r="Y87" s="2337"/>
      <c r="Z87" s="2337"/>
      <c r="AA87" s="2337"/>
      <c r="AB87" s="2337"/>
      <c r="AC87" s="2337"/>
      <c r="AD87" s="2337"/>
      <c r="AE87" s="2337"/>
      <c r="AF87" s="2337"/>
      <c r="AG87" s="2337"/>
      <c r="AH87" s="2337"/>
      <c r="AI87" s="2337"/>
      <c r="AJ87" s="2337"/>
      <c r="AK87" s="2337"/>
      <c r="AL87" s="2337"/>
      <c r="AM87" s="2337"/>
      <c r="AN87" s="2337"/>
      <c r="AO87" s="2337"/>
      <c r="AP87" s="2337"/>
      <c r="AQ87" s="2337"/>
      <c r="AR87" s="2337"/>
      <c r="AS87" s="2337"/>
      <c r="AT87" s="2337"/>
      <c r="AU87" s="2337"/>
      <c r="AV87" s="2337"/>
      <c r="AW87" s="2337"/>
      <c r="AX87" s="2337"/>
      <c r="AY87" s="2337"/>
      <c r="AZ87" s="2337"/>
      <c r="BA87" s="2337"/>
      <c r="BB87" s="2337"/>
      <c r="BC87" s="2337"/>
      <c r="BD87" s="2337"/>
      <c r="BE87" s="2337"/>
      <c r="BF87" s="2337"/>
      <c r="BG87" s="2337"/>
      <c r="BH87" s="2337"/>
      <c r="BI87" s="2337"/>
      <c r="BJ87" s="2337"/>
      <c r="BK87" s="2337"/>
      <c r="BL87" s="2337"/>
      <c r="BM87" s="2337"/>
      <c r="BN87" s="2337"/>
      <c r="BO87" s="2337"/>
      <c r="BP87" s="2337"/>
      <c r="BQ87" s="2337"/>
      <c r="BR87" s="2337"/>
      <c r="BS87" s="2337"/>
      <c r="BT87" s="2337"/>
      <c r="BU87" s="2337"/>
      <c r="BV87" s="2337"/>
      <c r="BW87" s="2337"/>
      <c r="BX87" s="2337"/>
      <c r="BY87" s="2337"/>
      <c r="BZ87" s="2337"/>
      <c r="CA87" s="2337"/>
      <c r="CB87" s="2337"/>
      <c r="CC87" s="2337"/>
      <c r="CD87" s="2337"/>
      <c r="CE87" s="2337"/>
      <c r="CF87" s="2337"/>
      <c r="CG87" s="2337"/>
      <c r="CH87" s="2337"/>
      <c r="CI87" s="2337"/>
      <c r="CJ87" s="2337"/>
      <c r="CK87" s="2337"/>
      <c r="CL87" s="2337"/>
      <c r="CM87" s="2337"/>
      <c r="CN87" s="2337"/>
      <c r="CO87" s="2337"/>
      <c r="CP87" s="2337"/>
      <c r="CQ87" s="2337"/>
      <c r="CR87" s="2337"/>
      <c r="CS87" s="2337"/>
      <c r="CT87" s="2337"/>
      <c r="CU87" s="2337"/>
      <c r="CV87" s="2337"/>
      <c r="CW87" s="2337"/>
      <c r="CX87" s="2337"/>
      <c r="CY87" s="2337"/>
      <c r="CZ87" s="2337"/>
      <c r="DA87" s="2337"/>
      <c r="DB87" s="2337"/>
      <c r="DC87" s="2337"/>
      <c r="DD87" s="2337"/>
      <c r="DE87" s="2337"/>
    </row>
    <row r="88" spans="1:109" s="2298" customFormat="1" ht="13.5" hidden="1" customHeight="1" thickBot="1">
      <c r="A88" s="2254"/>
      <c r="B88" s="2316" t="s">
        <v>35</v>
      </c>
      <c r="C88" s="2317"/>
      <c r="D88" s="2317">
        <f>+D109</f>
        <v>0</v>
      </c>
      <c r="E88" s="2317">
        <f t="shared" ref="E88:F88" si="63">+E109</f>
        <v>0</v>
      </c>
      <c r="F88" s="2317">
        <f t="shared" si="63"/>
        <v>0</v>
      </c>
      <c r="G88" s="2317">
        <v>0</v>
      </c>
      <c r="H88" s="2317">
        <v>0</v>
      </c>
      <c r="I88" s="2317">
        <v>0</v>
      </c>
      <c r="J88" s="2317">
        <v>0</v>
      </c>
      <c r="K88" s="2317">
        <v>0</v>
      </c>
      <c r="L88" s="2317">
        <v>0</v>
      </c>
      <c r="M88" s="3213"/>
      <c r="N88" s="3213"/>
      <c r="O88" s="2324"/>
      <c r="P88" s="2297"/>
      <c r="Q88" s="2297"/>
      <c r="R88" s="2297"/>
      <c r="S88" s="2297"/>
      <c r="T88" s="2297"/>
      <c r="U88" s="2297"/>
      <c r="V88" s="2297"/>
      <c r="W88" s="2297"/>
      <c r="X88" s="2297"/>
      <c r="Y88" s="2297"/>
      <c r="Z88" s="2297"/>
      <c r="AA88" s="2297"/>
      <c r="AB88" s="2297"/>
      <c r="AC88" s="2297"/>
      <c r="AD88" s="2297"/>
      <c r="AE88" s="2297"/>
      <c r="AF88" s="2297"/>
      <c r="AG88" s="2297"/>
      <c r="AH88" s="2297"/>
      <c r="AI88" s="2297"/>
      <c r="AJ88" s="2297"/>
      <c r="AK88" s="2297"/>
      <c r="AL88" s="2297"/>
      <c r="AM88" s="2297"/>
      <c r="AN88" s="2297"/>
      <c r="AO88" s="2297"/>
      <c r="AP88" s="2297"/>
      <c r="AQ88" s="2297"/>
      <c r="AR88" s="2297"/>
      <c r="AS88" s="2297"/>
      <c r="AT88" s="2297"/>
      <c r="AU88" s="2297"/>
      <c r="AV88" s="2297"/>
      <c r="AW88" s="2297"/>
      <c r="AX88" s="2297"/>
      <c r="AY88" s="2297"/>
      <c r="AZ88" s="2297"/>
      <c r="BA88" s="2297"/>
      <c r="BB88" s="2297"/>
      <c r="BC88" s="2297"/>
      <c r="BD88" s="2297"/>
      <c r="BE88" s="2297"/>
      <c r="BF88" s="2297"/>
      <c r="BG88" s="2297"/>
      <c r="BH88" s="2297"/>
      <c r="BI88" s="2297"/>
      <c r="BJ88" s="2297"/>
      <c r="BK88" s="2297"/>
      <c r="BL88" s="2297"/>
      <c r="BM88" s="2297"/>
      <c r="BN88" s="2297"/>
      <c r="BO88" s="2297"/>
      <c r="BP88" s="2297"/>
      <c r="BQ88" s="2297"/>
      <c r="BR88" s="2297"/>
      <c r="BS88" s="2297"/>
      <c r="BT88" s="2297"/>
      <c r="BU88" s="2297"/>
      <c r="BV88" s="2297"/>
      <c r="BW88" s="2297"/>
      <c r="BX88" s="2297"/>
      <c r="BY88" s="2297"/>
      <c r="BZ88" s="2297"/>
      <c r="CA88" s="2297"/>
      <c r="CB88" s="2297"/>
      <c r="CC88" s="2297"/>
      <c r="CD88" s="2297"/>
      <c r="CE88" s="2297"/>
      <c r="CF88" s="2297"/>
      <c r="CG88" s="2297"/>
      <c r="CH88" s="2297"/>
      <c r="CI88" s="2297"/>
      <c r="CJ88" s="2297"/>
      <c r="CK88" s="2297"/>
      <c r="CL88" s="2297"/>
      <c r="CM88" s="2297"/>
      <c r="CN88" s="2297"/>
      <c r="CO88" s="2297"/>
      <c r="CP88" s="2297"/>
      <c r="CQ88" s="2297"/>
      <c r="CR88" s="2297"/>
      <c r="CS88" s="2297"/>
      <c r="CT88" s="2297"/>
      <c r="CU88" s="2297"/>
      <c r="CV88" s="2297"/>
      <c r="CW88" s="2297"/>
      <c r="CX88" s="2297"/>
      <c r="CY88" s="2297"/>
      <c r="CZ88" s="2297"/>
      <c r="DA88" s="2297"/>
      <c r="DB88" s="2297"/>
      <c r="DC88" s="2297"/>
      <c r="DD88" s="2297"/>
      <c r="DE88" s="2297"/>
    </row>
    <row r="89" spans="1:109" s="2298" customFormat="1" ht="39.75" hidden="1" customHeight="1">
      <c r="A89" s="3214" t="s">
        <v>63</v>
      </c>
      <c r="B89" s="2339" t="s">
        <v>140</v>
      </c>
      <c r="C89" s="2340" t="s">
        <v>81</v>
      </c>
      <c r="D89" s="2341"/>
      <c r="E89" s="2342"/>
      <c r="F89" s="2342"/>
      <c r="G89" s="2342"/>
      <c r="H89" s="2342"/>
      <c r="I89" s="2342"/>
      <c r="J89" s="2342"/>
      <c r="K89" s="2342"/>
      <c r="L89" s="2342"/>
      <c r="M89" s="2343"/>
      <c r="N89" s="2343"/>
      <c r="O89" s="3199" t="s">
        <v>141</v>
      </c>
      <c r="P89" s="2297"/>
      <c r="Q89" s="2297"/>
      <c r="R89" s="2297"/>
      <c r="S89" s="2297"/>
      <c r="T89" s="2297"/>
      <c r="U89" s="2297"/>
      <c r="V89" s="2297"/>
      <c r="W89" s="2297"/>
      <c r="X89" s="2297"/>
      <c r="Y89" s="2297"/>
      <c r="Z89" s="2297"/>
      <c r="AA89" s="2297"/>
      <c r="AB89" s="2297"/>
      <c r="AC89" s="2297"/>
      <c r="AD89" s="2297"/>
      <c r="AE89" s="2297"/>
      <c r="AF89" s="2297"/>
      <c r="AG89" s="2297"/>
      <c r="AH89" s="2297"/>
      <c r="AI89" s="2297"/>
      <c r="AJ89" s="2297"/>
      <c r="AK89" s="2297"/>
      <c r="AL89" s="2297"/>
      <c r="AM89" s="2297"/>
      <c r="AN89" s="2297"/>
      <c r="AO89" s="2297"/>
      <c r="AP89" s="2297"/>
      <c r="AQ89" s="2297"/>
      <c r="AR89" s="2297"/>
      <c r="AS89" s="2297"/>
      <c r="AT89" s="2297"/>
      <c r="AU89" s="2297"/>
      <c r="AV89" s="2297"/>
      <c r="AW89" s="2297"/>
      <c r="AX89" s="2297"/>
      <c r="AY89" s="2297"/>
      <c r="AZ89" s="2297"/>
      <c r="BA89" s="2297"/>
      <c r="BB89" s="2297"/>
      <c r="BC89" s="2297"/>
      <c r="BD89" s="2297"/>
      <c r="BE89" s="2297"/>
      <c r="BF89" s="2297"/>
      <c r="BG89" s="2297"/>
      <c r="BH89" s="2297"/>
      <c r="BI89" s="2297"/>
      <c r="BJ89" s="2297"/>
      <c r="BK89" s="2297"/>
      <c r="BL89" s="2297"/>
      <c r="BM89" s="2297"/>
      <c r="BN89" s="2297"/>
      <c r="BO89" s="2297"/>
      <c r="BP89" s="2297"/>
      <c r="BQ89" s="2297"/>
      <c r="BR89" s="2297"/>
      <c r="BS89" s="2297"/>
      <c r="BT89" s="2297"/>
      <c r="BU89" s="2297"/>
      <c r="BV89" s="2297"/>
      <c r="BW89" s="2297"/>
      <c r="BX89" s="2297"/>
      <c r="BY89" s="2297"/>
      <c r="BZ89" s="2297"/>
      <c r="CA89" s="2297"/>
      <c r="CB89" s="2297"/>
      <c r="CC89" s="2297"/>
      <c r="CD89" s="2297"/>
      <c r="CE89" s="2297"/>
      <c r="CF89" s="2297"/>
      <c r="CG89" s="2297"/>
      <c r="CH89" s="2297"/>
      <c r="CI89" s="2297"/>
      <c r="CJ89" s="2297"/>
      <c r="CK89" s="2297"/>
      <c r="CL89" s="2297"/>
      <c r="CM89" s="2297"/>
      <c r="CN89" s="2297"/>
      <c r="CO89" s="2297"/>
      <c r="CP89" s="2297"/>
      <c r="CQ89" s="2297"/>
      <c r="CR89" s="2297"/>
      <c r="CS89" s="2297"/>
      <c r="CT89" s="2297"/>
      <c r="CU89" s="2297"/>
      <c r="CV89" s="2297"/>
      <c r="CW89" s="2297"/>
      <c r="CX89" s="2297"/>
      <c r="CY89" s="2297"/>
      <c r="CZ89" s="2297"/>
      <c r="DA89" s="2297"/>
      <c r="DB89" s="2297"/>
      <c r="DC89" s="2297"/>
      <c r="DD89" s="2297"/>
      <c r="DE89" s="2297"/>
    </row>
    <row r="90" spans="1:109" s="2298" customFormat="1" ht="18.75" hidden="1" customHeight="1">
      <c r="A90" s="3215"/>
      <c r="B90" s="2344" t="s">
        <v>10</v>
      </c>
      <c r="C90" s="2345"/>
      <c r="D90" s="2287"/>
      <c r="E90" s="2287"/>
      <c r="F90" s="2287">
        <f t="shared" ref="F90:G91" si="64">F91</f>
        <v>0</v>
      </c>
      <c r="G90" s="2287">
        <f t="shared" si="64"/>
        <v>0</v>
      </c>
      <c r="H90" s="2287"/>
      <c r="I90" s="2287"/>
      <c r="J90" s="2287"/>
      <c r="K90" s="2287"/>
      <c r="L90" s="2287"/>
      <c r="M90" s="2330">
        <f>+M91</f>
        <v>0</v>
      </c>
      <c r="N90" s="2330">
        <f>+N91</f>
        <v>0</v>
      </c>
      <c r="O90" s="3200"/>
      <c r="P90" s="2297"/>
      <c r="Q90" s="2297"/>
      <c r="R90" s="2297"/>
      <c r="S90" s="2297"/>
      <c r="T90" s="2297"/>
      <c r="U90" s="2297"/>
      <c r="V90" s="2297"/>
      <c r="W90" s="2297"/>
      <c r="X90" s="2297"/>
      <c r="Y90" s="2297"/>
      <c r="Z90" s="2297"/>
      <c r="AA90" s="2297"/>
      <c r="AB90" s="2297"/>
      <c r="AC90" s="2297"/>
      <c r="AD90" s="2297"/>
      <c r="AE90" s="2297"/>
      <c r="AF90" s="2297"/>
      <c r="AG90" s="2297"/>
      <c r="AH90" s="2297"/>
      <c r="AI90" s="2297"/>
      <c r="AJ90" s="2297"/>
      <c r="AK90" s="2297"/>
      <c r="AL90" s="2297"/>
      <c r="AM90" s="2297"/>
      <c r="AN90" s="2297"/>
      <c r="AO90" s="2297"/>
      <c r="AP90" s="2297"/>
      <c r="AQ90" s="2297"/>
      <c r="AR90" s="2297"/>
      <c r="AS90" s="2297"/>
      <c r="AT90" s="2297"/>
      <c r="AU90" s="2297"/>
      <c r="AV90" s="2297"/>
      <c r="AW90" s="2297"/>
      <c r="AX90" s="2297"/>
      <c r="AY90" s="2297"/>
      <c r="AZ90" s="2297"/>
      <c r="BA90" s="2297"/>
      <c r="BB90" s="2297"/>
      <c r="BC90" s="2297"/>
      <c r="BD90" s="2297"/>
      <c r="BE90" s="2297"/>
      <c r="BF90" s="2297"/>
      <c r="BG90" s="2297"/>
      <c r="BH90" s="2297"/>
      <c r="BI90" s="2297"/>
      <c r="BJ90" s="2297"/>
      <c r="BK90" s="2297"/>
      <c r="BL90" s="2297"/>
      <c r="BM90" s="2297"/>
      <c r="BN90" s="2297"/>
      <c r="BO90" s="2297"/>
      <c r="BP90" s="2297"/>
      <c r="BQ90" s="2297"/>
      <c r="BR90" s="2297"/>
      <c r="BS90" s="2297"/>
      <c r="BT90" s="2297"/>
      <c r="BU90" s="2297"/>
      <c r="BV90" s="2297"/>
      <c r="BW90" s="2297"/>
      <c r="BX90" s="2297"/>
      <c r="BY90" s="2297"/>
      <c r="BZ90" s="2297"/>
      <c r="CA90" s="2297"/>
      <c r="CB90" s="2297"/>
      <c r="CC90" s="2297"/>
      <c r="CD90" s="2297"/>
      <c r="CE90" s="2297"/>
      <c r="CF90" s="2297"/>
      <c r="CG90" s="2297"/>
      <c r="CH90" s="2297"/>
      <c r="CI90" s="2297"/>
      <c r="CJ90" s="2297"/>
      <c r="CK90" s="2297"/>
      <c r="CL90" s="2297"/>
      <c r="CM90" s="2297"/>
      <c r="CN90" s="2297"/>
      <c r="CO90" s="2297"/>
      <c r="CP90" s="2297"/>
      <c r="CQ90" s="2297"/>
      <c r="CR90" s="2297"/>
      <c r="CS90" s="2297"/>
      <c r="CT90" s="2297"/>
      <c r="CU90" s="2297"/>
      <c r="CV90" s="2297"/>
      <c r="CW90" s="2297"/>
      <c r="CX90" s="2297"/>
      <c r="CY90" s="2297"/>
      <c r="CZ90" s="2297"/>
      <c r="DA90" s="2297"/>
      <c r="DB90" s="2297"/>
      <c r="DC90" s="2297"/>
      <c r="DD90" s="2297"/>
      <c r="DE90" s="2297"/>
    </row>
    <row r="91" spans="1:109" s="2319" customFormat="1" ht="18.75" hidden="1" customHeight="1">
      <c r="A91" s="3215"/>
      <c r="B91" s="2346" t="s">
        <v>24</v>
      </c>
      <c r="C91" s="3190" t="s">
        <v>142</v>
      </c>
      <c r="D91" s="2347"/>
      <c r="E91" s="2347"/>
      <c r="F91" s="2347">
        <f t="shared" si="64"/>
        <v>0</v>
      </c>
      <c r="G91" s="2347">
        <f t="shared" si="64"/>
        <v>0</v>
      </c>
      <c r="H91" s="2347"/>
      <c r="I91" s="2347"/>
      <c r="J91" s="2347"/>
      <c r="K91" s="2347"/>
      <c r="L91" s="2347"/>
      <c r="M91" s="2348">
        <f>+M92</f>
        <v>0</v>
      </c>
      <c r="N91" s="2348">
        <f>+N92</f>
        <v>0</v>
      </c>
      <c r="O91" s="3200"/>
    </row>
    <row r="92" spans="1:109" s="2298" customFormat="1" ht="18.75" hidden="1" customHeight="1" thickBot="1">
      <c r="A92" s="3216"/>
      <c r="B92" s="2349" t="s">
        <v>12</v>
      </c>
      <c r="C92" s="3192"/>
      <c r="D92" s="2350"/>
      <c r="E92" s="2350"/>
      <c r="F92" s="2350">
        <v>0</v>
      </c>
      <c r="G92" s="2350">
        <v>0</v>
      </c>
      <c r="H92" s="2350"/>
      <c r="I92" s="2350"/>
      <c r="J92" s="2350"/>
      <c r="K92" s="2350"/>
      <c r="L92" s="2350"/>
      <c r="M92" s="2318">
        <f>SUM(E92:G92)</f>
        <v>0</v>
      </c>
      <c r="N92" s="2318">
        <f>SUM(F92:H92)</f>
        <v>0</v>
      </c>
      <c r="O92" s="3201"/>
      <c r="P92" s="2297"/>
      <c r="Q92" s="2297"/>
      <c r="R92" s="2297"/>
      <c r="S92" s="2297"/>
      <c r="T92" s="2297"/>
      <c r="U92" s="2297"/>
      <c r="V92" s="2297"/>
      <c r="W92" s="2297"/>
      <c r="X92" s="2297"/>
      <c r="Y92" s="2297"/>
      <c r="Z92" s="2297"/>
      <c r="AA92" s="2297"/>
      <c r="AB92" s="2297"/>
      <c r="AC92" s="2297"/>
      <c r="AD92" s="2297"/>
      <c r="AE92" s="2297"/>
      <c r="AF92" s="2297"/>
      <c r="AG92" s="2297"/>
      <c r="AH92" s="2297"/>
      <c r="AI92" s="2297"/>
      <c r="AJ92" s="2297"/>
      <c r="AK92" s="2297"/>
      <c r="AL92" s="2297"/>
      <c r="AM92" s="2297"/>
      <c r="AN92" s="2297"/>
      <c r="AO92" s="2297"/>
      <c r="AP92" s="2297"/>
      <c r="AQ92" s="2297"/>
      <c r="AR92" s="2297"/>
      <c r="AS92" s="2297"/>
      <c r="AT92" s="2297"/>
      <c r="AU92" s="2297"/>
      <c r="AV92" s="2297"/>
      <c r="AW92" s="2297"/>
      <c r="AX92" s="2297"/>
      <c r="AY92" s="2297"/>
      <c r="AZ92" s="2297"/>
      <c r="BA92" s="2297"/>
      <c r="BB92" s="2297"/>
      <c r="BC92" s="2297"/>
      <c r="BD92" s="2297"/>
      <c r="BE92" s="2297"/>
      <c r="BF92" s="2297"/>
      <c r="BG92" s="2297"/>
      <c r="BH92" s="2297"/>
      <c r="BI92" s="2297"/>
      <c r="BJ92" s="2297"/>
      <c r="BK92" s="2297"/>
      <c r="BL92" s="2297"/>
      <c r="BM92" s="2297"/>
      <c r="BN92" s="2297"/>
      <c r="BO92" s="2297"/>
      <c r="BP92" s="2297"/>
      <c r="BQ92" s="2297"/>
      <c r="BR92" s="2297"/>
      <c r="BS92" s="2297"/>
      <c r="BT92" s="2297"/>
      <c r="BU92" s="2297"/>
      <c r="BV92" s="2297"/>
      <c r="BW92" s="2297"/>
      <c r="BX92" s="2297"/>
      <c r="BY92" s="2297"/>
      <c r="BZ92" s="2297"/>
      <c r="CA92" s="2297"/>
      <c r="CB92" s="2297"/>
      <c r="CC92" s="2297"/>
      <c r="CD92" s="2297"/>
      <c r="CE92" s="2297"/>
      <c r="CF92" s="2297"/>
      <c r="CG92" s="2297"/>
      <c r="CH92" s="2297"/>
      <c r="CI92" s="2297"/>
      <c r="CJ92" s="2297"/>
      <c r="CK92" s="2297"/>
      <c r="CL92" s="2297"/>
      <c r="CM92" s="2297"/>
      <c r="CN92" s="2297"/>
      <c r="CO92" s="2297"/>
      <c r="CP92" s="2297"/>
      <c r="CQ92" s="2297"/>
      <c r="CR92" s="2297"/>
      <c r="CS92" s="2297"/>
      <c r="CT92" s="2297"/>
      <c r="CU92" s="2297"/>
      <c r="CV92" s="2297"/>
      <c r="CW92" s="2297"/>
      <c r="CX92" s="2297"/>
      <c r="CY92" s="2297"/>
      <c r="CZ92" s="2297"/>
      <c r="DA92" s="2297"/>
      <c r="DB92" s="2297"/>
      <c r="DC92" s="2297"/>
      <c r="DD92" s="2297"/>
      <c r="DE92" s="2297"/>
    </row>
    <row r="93" spans="1:109" ht="12.75" hidden="1" customHeight="1">
      <c r="A93" s="3193" t="s">
        <v>64</v>
      </c>
      <c r="B93" s="2351" t="s">
        <v>143</v>
      </c>
      <c r="C93" s="2550" t="s">
        <v>81</v>
      </c>
      <c r="D93" s="2550"/>
      <c r="E93" s="2550"/>
      <c r="F93" s="2550"/>
      <c r="G93" s="2550"/>
      <c r="H93" s="2550"/>
      <c r="I93" s="2550"/>
      <c r="J93" s="2550"/>
      <c r="K93" s="2550"/>
      <c r="L93" s="2550"/>
      <c r="M93" s="2352"/>
      <c r="N93" s="2352"/>
      <c r="O93" s="3194" t="s">
        <v>144</v>
      </c>
    </row>
    <row r="94" spans="1:109" ht="13.5" hidden="1" customHeight="1">
      <c r="A94" s="3180"/>
      <c r="B94" s="2269" t="s">
        <v>10</v>
      </c>
      <c r="C94" s="2353"/>
      <c r="D94" s="2550"/>
      <c r="E94" s="2550"/>
      <c r="F94" s="2550">
        <v>0</v>
      </c>
      <c r="G94" s="2550">
        <v>0</v>
      </c>
      <c r="H94" s="2550"/>
      <c r="I94" s="2550"/>
      <c r="J94" s="2550"/>
      <c r="K94" s="2550"/>
      <c r="L94" s="2550"/>
      <c r="M94" s="2352"/>
      <c r="N94" s="2352"/>
      <c r="O94" s="3194"/>
    </row>
    <row r="95" spans="1:109" ht="14.25" hidden="1" customHeight="1">
      <c r="A95" s="3180"/>
      <c r="B95" s="2351" t="s">
        <v>24</v>
      </c>
      <c r="C95" s="3196" t="s">
        <v>145</v>
      </c>
      <c r="D95" s="2550"/>
      <c r="E95" s="2550"/>
      <c r="F95" s="2550">
        <v>0</v>
      </c>
      <c r="G95" s="2550">
        <v>0</v>
      </c>
      <c r="H95" s="2550"/>
      <c r="I95" s="2550"/>
      <c r="J95" s="2550"/>
      <c r="K95" s="2550"/>
      <c r="L95" s="2550"/>
      <c r="M95" s="2352"/>
      <c r="N95" s="2352"/>
      <c r="O95" s="3195"/>
    </row>
    <row r="96" spans="1:109" ht="15" hidden="1" customHeight="1" thickBot="1">
      <c r="A96" s="3180"/>
      <c r="B96" s="2351" t="s">
        <v>12</v>
      </c>
      <c r="C96" s="3196"/>
      <c r="D96" s="2550"/>
      <c r="E96" s="2550"/>
      <c r="F96" s="2550">
        <v>0</v>
      </c>
      <c r="G96" s="2550">
        <v>0</v>
      </c>
      <c r="H96" s="2550"/>
      <c r="I96" s="2550"/>
      <c r="J96" s="2550"/>
      <c r="K96" s="2550"/>
      <c r="L96" s="2550"/>
      <c r="M96" s="2352"/>
      <c r="N96" s="2352"/>
      <c r="O96" s="3195"/>
    </row>
    <row r="97" spans="1:15" ht="36.75" hidden="1" customHeight="1">
      <c r="A97" s="3179" t="s">
        <v>63</v>
      </c>
      <c r="B97" s="2339" t="s">
        <v>211</v>
      </c>
      <c r="C97" s="2354" t="s">
        <v>81</v>
      </c>
      <c r="D97" s="2355"/>
      <c r="E97" s="2342"/>
      <c r="F97" s="2342"/>
      <c r="G97" s="2342"/>
      <c r="H97" s="2342"/>
      <c r="I97" s="2342"/>
      <c r="J97" s="2342"/>
      <c r="K97" s="2342"/>
      <c r="L97" s="2342"/>
      <c r="M97" s="2356"/>
      <c r="N97" s="2356"/>
      <c r="O97" s="3197" t="s">
        <v>178</v>
      </c>
    </row>
    <row r="98" spans="1:15" ht="14.25" hidden="1" customHeight="1">
      <c r="A98" s="3193"/>
      <c r="B98" s="2258" t="s">
        <v>10</v>
      </c>
      <c r="C98" s="2353"/>
      <c r="D98" s="2357"/>
      <c r="E98" s="2357">
        <f>+E99+E102</f>
        <v>0</v>
      </c>
      <c r="F98" s="2357">
        <v>0</v>
      </c>
      <c r="G98" s="2357">
        <v>0</v>
      </c>
      <c r="H98" s="2357">
        <v>0</v>
      </c>
      <c r="I98" s="2357">
        <v>0</v>
      </c>
      <c r="J98" s="2357">
        <v>0</v>
      </c>
      <c r="K98" s="2357">
        <v>0</v>
      </c>
      <c r="L98" s="2357">
        <v>0</v>
      </c>
      <c r="M98" s="2330">
        <f>+M99</f>
        <v>0</v>
      </c>
      <c r="N98" s="2330">
        <f>+N99</f>
        <v>0</v>
      </c>
      <c r="O98" s="3197"/>
    </row>
    <row r="99" spans="1:15" ht="15.75" hidden="1" customHeight="1">
      <c r="A99" s="3193"/>
      <c r="B99" s="2358" t="s">
        <v>24</v>
      </c>
      <c r="C99" s="3190" t="s">
        <v>146</v>
      </c>
      <c r="D99" s="2359"/>
      <c r="E99" s="2359">
        <f t="shared" ref="E99" si="65">E100+E101</f>
        <v>0</v>
      </c>
      <c r="F99" s="2359">
        <f t="shared" ref="F99:L99" si="66">F100+F101</f>
        <v>0</v>
      </c>
      <c r="G99" s="2359">
        <f t="shared" si="66"/>
        <v>0</v>
      </c>
      <c r="H99" s="2359">
        <f t="shared" si="66"/>
        <v>0</v>
      </c>
      <c r="I99" s="2359">
        <f t="shared" si="66"/>
        <v>0</v>
      </c>
      <c r="J99" s="2359">
        <f t="shared" si="66"/>
        <v>0</v>
      </c>
      <c r="K99" s="2359">
        <f t="shared" si="66"/>
        <v>0</v>
      </c>
      <c r="L99" s="2359">
        <f t="shared" si="66"/>
        <v>0</v>
      </c>
      <c r="M99" s="2315">
        <f>+M101</f>
        <v>0</v>
      </c>
      <c r="N99" s="2315">
        <f>+N101</f>
        <v>0</v>
      </c>
      <c r="O99" s="3197"/>
    </row>
    <row r="100" spans="1:15" ht="13.5" hidden="1" customHeight="1">
      <c r="A100" s="3193"/>
      <c r="B100" s="2360" t="s">
        <v>137</v>
      </c>
      <c r="C100" s="3206"/>
      <c r="D100" s="2273"/>
      <c r="E100" s="2273"/>
      <c r="F100" s="2279">
        <v>0</v>
      </c>
      <c r="G100" s="2279">
        <v>0</v>
      </c>
      <c r="H100" s="2279">
        <v>0</v>
      </c>
      <c r="I100" s="2279">
        <v>0</v>
      </c>
      <c r="J100" s="2279">
        <v>0</v>
      </c>
      <c r="K100" s="2279">
        <v>0</v>
      </c>
      <c r="L100" s="2279">
        <v>0</v>
      </c>
      <c r="M100" s="2323" t="s">
        <v>61</v>
      </c>
      <c r="N100" s="2323" t="s">
        <v>61</v>
      </c>
      <c r="O100" s="3197"/>
    </row>
    <row r="101" spans="1:15" ht="13.5" hidden="1" customHeight="1">
      <c r="A101" s="3193"/>
      <c r="B101" s="2361" t="s">
        <v>138</v>
      </c>
      <c r="C101" s="3206"/>
      <c r="D101" s="2273"/>
      <c r="E101" s="2273"/>
      <c r="F101" s="2362">
        <v>0</v>
      </c>
      <c r="G101" s="2362">
        <v>0</v>
      </c>
      <c r="H101" s="2362">
        <v>0</v>
      </c>
      <c r="I101" s="2362">
        <v>0</v>
      </c>
      <c r="J101" s="2362">
        <v>0</v>
      </c>
      <c r="K101" s="2362">
        <v>0</v>
      </c>
      <c r="L101" s="2362">
        <v>0</v>
      </c>
      <c r="M101" s="2315"/>
      <c r="N101" s="2315"/>
      <c r="O101" s="3197"/>
    </row>
    <row r="102" spans="1:15" ht="12" hidden="1" customHeight="1">
      <c r="A102" s="3193"/>
      <c r="B102" s="2358" t="s">
        <v>18</v>
      </c>
      <c r="C102" s="3206"/>
      <c r="D102" s="2359"/>
      <c r="E102" s="2359">
        <f t="shared" ref="E102" si="67">+E103</f>
        <v>0</v>
      </c>
      <c r="F102" s="2359">
        <v>0</v>
      </c>
      <c r="G102" s="2359">
        <v>0</v>
      </c>
      <c r="H102" s="2359">
        <v>0</v>
      </c>
      <c r="I102" s="2359">
        <v>0</v>
      </c>
      <c r="J102" s="2359">
        <v>0</v>
      </c>
      <c r="K102" s="2359">
        <v>0</v>
      </c>
      <c r="L102" s="2359">
        <v>0</v>
      </c>
      <c r="M102" s="2323" t="str">
        <f>+M103</f>
        <v>x</v>
      </c>
      <c r="N102" s="2323" t="str">
        <f>+N103</f>
        <v>x</v>
      </c>
      <c r="O102" s="3197"/>
    </row>
    <row r="103" spans="1:15" ht="14.25" hidden="1" customHeight="1">
      <c r="A103" s="3193"/>
      <c r="B103" s="2363" t="s">
        <v>35</v>
      </c>
      <c r="C103" s="3191"/>
      <c r="D103" s="2273"/>
      <c r="E103" s="2273"/>
      <c r="F103" s="2364">
        <v>0</v>
      </c>
      <c r="G103" s="2364">
        <v>0</v>
      </c>
      <c r="H103" s="2364">
        <v>0</v>
      </c>
      <c r="I103" s="2364">
        <v>0</v>
      </c>
      <c r="J103" s="2364">
        <v>0</v>
      </c>
      <c r="K103" s="2364">
        <v>0</v>
      </c>
      <c r="L103" s="2364">
        <v>0</v>
      </c>
      <c r="M103" s="2365" t="s">
        <v>61</v>
      </c>
      <c r="N103" s="2365" t="s">
        <v>61</v>
      </c>
      <c r="O103" s="3197"/>
    </row>
    <row r="104" spans="1:15" ht="13.5" hidden="1" customHeight="1">
      <c r="A104" s="3193"/>
      <c r="B104" s="2269" t="s">
        <v>22</v>
      </c>
      <c r="C104" s="2353"/>
      <c r="D104" s="2357"/>
      <c r="E104" s="2357">
        <f>E108+E105</f>
        <v>0</v>
      </c>
      <c r="F104" s="2357">
        <v>0</v>
      </c>
      <c r="G104" s="2357">
        <v>0</v>
      </c>
      <c r="H104" s="2357">
        <v>0</v>
      </c>
      <c r="I104" s="2357">
        <v>0</v>
      </c>
      <c r="J104" s="2357">
        <v>0</v>
      </c>
      <c r="K104" s="2357">
        <v>0</v>
      </c>
      <c r="L104" s="2357">
        <v>0</v>
      </c>
      <c r="M104" s="2330"/>
      <c r="N104" s="2330"/>
      <c r="O104" s="3197"/>
    </row>
    <row r="105" spans="1:15" ht="14.25" hidden="1" customHeight="1">
      <c r="A105" s="3193"/>
      <c r="B105" s="2271" t="s">
        <v>24</v>
      </c>
      <c r="C105" s="3207" t="s">
        <v>23</v>
      </c>
      <c r="D105" s="2366"/>
      <c r="E105" s="2366">
        <f t="shared" ref="E105" si="68">+E107+E106</f>
        <v>0</v>
      </c>
      <c r="F105" s="2359">
        <f t="shared" ref="F105:L105" si="69">+F107+F106</f>
        <v>0</v>
      </c>
      <c r="G105" s="2359">
        <f t="shared" si="69"/>
        <v>0</v>
      </c>
      <c r="H105" s="2359">
        <f t="shared" si="69"/>
        <v>0</v>
      </c>
      <c r="I105" s="2359">
        <f t="shared" si="69"/>
        <v>0</v>
      </c>
      <c r="J105" s="2359">
        <f t="shared" si="69"/>
        <v>0</v>
      </c>
      <c r="K105" s="2359">
        <f t="shared" si="69"/>
        <v>0</v>
      </c>
      <c r="L105" s="2359">
        <f t="shared" si="69"/>
        <v>0</v>
      </c>
      <c r="M105" s="3211" t="s">
        <v>61</v>
      </c>
      <c r="N105" s="3211" t="s">
        <v>61</v>
      </c>
      <c r="O105" s="3197"/>
    </row>
    <row r="106" spans="1:15" ht="13.5" hidden="1" customHeight="1">
      <c r="A106" s="3193"/>
      <c r="B106" s="2360" t="s">
        <v>137</v>
      </c>
      <c r="C106" s="3208"/>
      <c r="D106" s="2273"/>
      <c r="E106" s="2273"/>
      <c r="F106" s="2367">
        <v>0</v>
      </c>
      <c r="G106" s="2367">
        <v>0</v>
      </c>
      <c r="H106" s="2367">
        <v>0</v>
      </c>
      <c r="I106" s="2367">
        <v>0</v>
      </c>
      <c r="J106" s="2367">
        <v>0</v>
      </c>
      <c r="K106" s="2367">
        <v>0</v>
      </c>
      <c r="L106" s="2367">
        <v>0</v>
      </c>
      <c r="M106" s="3212"/>
      <c r="N106" s="3212"/>
      <c r="O106" s="3197"/>
    </row>
    <row r="107" spans="1:15" ht="13.5" hidden="1" customHeight="1">
      <c r="A107" s="3193"/>
      <c r="B107" s="2361" t="s">
        <v>147</v>
      </c>
      <c r="C107" s="3208"/>
      <c r="D107" s="2273"/>
      <c r="E107" s="2368"/>
      <c r="F107" s="2362">
        <v>0</v>
      </c>
      <c r="G107" s="2362">
        <v>0</v>
      </c>
      <c r="H107" s="2362">
        <v>0</v>
      </c>
      <c r="I107" s="2362">
        <v>0</v>
      </c>
      <c r="J107" s="2362">
        <v>0</v>
      </c>
      <c r="K107" s="2362">
        <v>0</v>
      </c>
      <c r="L107" s="2362">
        <v>0</v>
      </c>
      <c r="M107" s="3212"/>
      <c r="N107" s="3212"/>
      <c r="O107" s="3197"/>
    </row>
    <row r="108" spans="1:15" ht="12.75" hidden="1" customHeight="1">
      <c r="A108" s="3193"/>
      <c r="B108" s="2358" t="s">
        <v>18</v>
      </c>
      <c r="C108" s="3208"/>
      <c r="D108" s="2366"/>
      <c r="E108" s="2366">
        <f t="shared" ref="E108" si="70">+E109</f>
        <v>0</v>
      </c>
      <c r="F108" s="2359">
        <v>0</v>
      </c>
      <c r="G108" s="2359">
        <v>0</v>
      </c>
      <c r="H108" s="2359">
        <v>0</v>
      </c>
      <c r="I108" s="2359">
        <v>0</v>
      </c>
      <c r="J108" s="2359"/>
      <c r="K108" s="2359"/>
      <c r="L108" s="2359"/>
      <c r="M108" s="3212"/>
      <c r="N108" s="3212"/>
      <c r="O108" s="3197"/>
    </row>
    <row r="109" spans="1:15" ht="13.5" hidden="1" customHeight="1" thickBot="1">
      <c r="A109" s="3193"/>
      <c r="B109" s="2369" t="s">
        <v>35</v>
      </c>
      <c r="C109" s="3209"/>
      <c r="D109" s="2273"/>
      <c r="E109" s="2273">
        <v>0</v>
      </c>
      <c r="F109" s="2367">
        <v>0</v>
      </c>
      <c r="G109" s="2367">
        <v>0</v>
      </c>
      <c r="H109" s="2367">
        <v>0</v>
      </c>
      <c r="I109" s="2367">
        <v>0</v>
      </c>
      <c r="J109" s="2367">
        <v>0</v>
      </c>
      <c r="K109" s="2367">
        <v>0</v>
      </c>
      <c r="L109" s="2367">
        <v>0</v>
      </c>
      <c r="M109" s="3213"/>
      <c r="N109" s="3213"/>
      <c r="O109" s="3198"/>
    </row>
    <row r="110" spans="1:15" ht="26.25" hidden="1" customHeight="1">
      <c r="A110" s="3179" t="s">
        <v>63</v>
      </c>
      <c r="B110" s="2370" t="s">
        <v>182</v>
      </c>
      <c r="C110" s="2371" t="s">
        <v>81</v>
      </c>
      <c r="D110" s="2372"/>
      <c r="E110" s="2342"/>
      <c r="F110" s="2342"/>
      <c r="G110" s="2342"/>
      <c r="H110" s="2342"/>
      <c r="I110" s="2342"/>
      <c r="J110" s="2342"/>
      <c r="K110" s="2342"/>
      <c r="L110" s="2342"/>
      <c r="M110" s="2268"/>
      <c r="N110" s="2268"/>
      <c r="O110" s="3182" t="s">
        <v>187</v>
      </c>
    </row>
    <row r="111" spans="1:15" s="2261" customFormat="1" ht="17.25" hidden="1" customHeight="1">
      <c r="A111" s="3180"/>
      <c r="B111" s="2373" t="s">
        <v>10</v>
      </c>
      <c r="C111" s="2353"/>
      <c r="D111" s="2374"/>
      <c r="E111" s="2374">
        <f t="shared" ref="E111:J112" si="71">E112</f>
        <v>0</v>
      </c>
      <c r="F111" s="2374">
        <f t="shared" si="71"/>
        <v>0</v>
      </c>
      <c r="G111" s="2374">
        <f t="shared" si="71"/>
        <v>0</v>
      </c>
      <c r="H111" s="2374">
        <f t="shared" si="71"/>
        <v>0</v>
      </c>
      <c r="I111" s="2374">
        <f t="shared" si="71"/>
        <v>0</v>
      </c>
      <c r="J111" s="2374">
        <f t="shared" si="71"/>
        <v>0</v>
      </c>
      <c r="K111" s="2374">
        <f>K112</f>
        <v>0</v>
      </c>
      <c r="L111" s="2374">
        <f>L112</f>
        <v>0</v>
      </c>
      <c r="M111" s="2375">
        <f>+M112</f>
        <v>0</v>
      </c>
      <c r="N111" s="2375">
        <f>+N112</f>
        <v>0</v>
      </c>
      <c r="O111" s="3183"/>
    </row>
    <row r="112" spans="1:15" s="2378" customFormat="1" ht="15" hidden="1" customHeight="1">
      <c r="A112" s="3180"/>
      <c r="B112" s="2376" t="s">
        <v>24</v>
      </c>
      <c r="C112" s="3185" t="s">
        <v>146</v>
      </c>
      <c r="D112" s="2366"/>
      <c r="E112" s="2366">
        <f>E113</f>
        <v>0</v>
      </c>
      <c r="F112" s="2366">
        <f t="shared" si="71"/>
        <v>0</v>
      </c>
      <c r="G112" s="2366">
        <f t="shared" si="71"/>
        <v>0</v>
      </c>
      <c r="H112" s="2366">
        <f t="shared" si="71"/>
        <v>0</v>
      </c>
      <c r="I112" s="2366">
        <f t="shared" si="71"/>
        <v>0</v>
      </c>
      <c r="J112" s="2366">
        <f t="shared" si="71"/>
        <v>0</v>
      </c>
      <c r="K112" s="2366">
        <f>K113</f>
        <v>0</v>
      </c>
      <c r="L112" s="2366">
        <f>L113</f>
        <v>0</v>
      </c>
      <c r="M112" s="2377">
        <f>+M113</f>
        <v>0</v>
      </c>
      <c r="N112" s="2377">
        <f>+N113</f>
        <v>0</v>
      </c>
      <c r="O112" s="3183"/>
    </row>
    <row r="113" spans="1:15" s="2261" customFormat="1" ht="15" hidden="1" customHeight="1" thickBot="1">
      <c r="A113" s="3181"/>
      <c r="B113" s="2379" t="s">
        <v>138</v>
      </c>
      <c r="C113" s="3186"/>
      <c r="D113" s="2380"/>
      <c r="E113" s="2380">
        <v>0</v>
      </c>
      <c r="F113" s="2381">
        <v>0</v>
      </c>
      <c r="G113" s="2381">
        <v>0</v>
      </c>
      <c r="H113" s="2381">
        <v>0</v>
      </c>
      <c r="I113" s="2381">
        <v>0</v>
      </c>
      <c r="J113" s="2381">
        <v>0</v>
      </c>
      <c r="K113" s="2381">
        <v>0</v>
      </c>
      <c r="L113" s="2381">
        <v>0</v>
      </c>
      <c r="M113" s="2382"/>
      <c r="N113" s="2382"/>
      <c r="O113" s="3184"/>
    </row>
    <row r="114" spans="1:15" ht="12.75" hidden="1">
      <c r="A114" s="2550"/>
      <c r="B114" s="2550"/>
      <c r="C114" s="2550"/>
      <c r="D114" s="2550"/>
      <c r="E114" s="2550"/>
      <c r="F114" s="2550"/>
      <c r="G114" s="2550"/>
      <c r="H114" s="2550"/>
      <c r="I114" s="2550"/>
      <c r="J114" s="2550"/>
      <c r="K114" s="2550"/>
      <c r="L114" s="2550"/>
      <c r="M114" s="2550"/>
      <c r="N114" s="2550"/>
    </row>
    <row r="115" spans="1:15" ht="12.75" hidden="1">
      <c r="A115" s="2550"/>
      <c r="B115" s="2384" t="s">
        <v>390</v>
      </c>
      <c r="C115" s="2364"/>
      <c r="D115" s="2364"/>
      <c r="E115" s="2364"/>
      <c r="F115" s="2364"/>
      <c r="G115" s="2364"/>
      <c r="H115" s="2364"/>
      <c r="I115" s="2364"/>
      <c r="J115" s="2364"/>
      <c r="K115" s="2364"/>
      <c r="L115" s="2364"/>
      <c r="M115" s="2550"/>
      <c r="N115" s="2550"/>
    </row>
    <row r="116" spans="1:15" ht="12.75" hidden="1">
      <c r="A116" s="2550"/>
      <c r="B116" s="2384" t="s">
        <v>391</v>
      </c>
      <c r="C116" s="2364"/>
      <c r="D116" s="2364">
        <f>D68+D54+D38</f>
        <v>477349</v>
      </c>
      <c r="E116" s="2364">
        <f t="shared" ref="E116:L116" si="72">E68+E54+E38</f>
        <v>316615</v>
      </c>
      <c r="F116" s="2364">
        <f t="shared" si="72"/>
        <v>113775</v>
      </c>
      <c r="G116" s="2364">
        <f t="shared" si="72"/>
        <v>46959</v>
      </c>
      <c r="H116" s="2364">
        <f t="shared" si="72"/>
        <v>0</v>
      </c>
      <c r="I116" s="2364">
        <f t="shared" si="72"/>
        <v>0</v>
      </c>
      <c r="J116" s="2364">
        <f t="shared" si="72"/>
        <v>0</v>
      </c>
      <c r="K116" s="2364">
        <f t="shared" si="72"/>
        <v>0</v>
      </c>
      <c r="L116" s="2364">
        <f t="shared" si="72"/>
        <v>0</v>
      </c>
      <c r="M116" s="2550"/>
      <c r="N116" s="2550"/>
    </row>
    <row r="117" spans="1:15" ht="12.75" hidden="1">
      <c r="A117" s="2550"/>
      <c r="B117" s="2384" t="s">
        <v>392</v>
      </c>
      <c r="C117" s="2364"/>
      <c r="D117" s="2364">
        <v>0</v>
      </c>
      <c r="E117" s="2364">
        <v>0</v>
      </c>
      <c r="F117" s="2364">
        <v>0</v>
      </c>
      <c r="G117" s="2364">
        <v>0</v>
      </c>
      <c r="H117" s="2364">
        <v>0</v>
      </c>
      <c r="I117" s="2364">
        <v>0</v>
      </c>
      <c r="J117" s="2364">
        <v>0</v>
      </c>
      <c r="K117" s="2364">
        <v>0</v>
      </c>
      <c r="L117" s="2364">
        <v>0</v>
      </c>
      <c r="M117" s="2550"/>
      <c r="N117" s="2550"/>
    </row>
    <row r="118" spans="1:15" ht="12.75" hidden="1">
      <c r="A118" s="2550"/>
      <c r="B118" s="2384" t="s">
        <v>393</v>
      </c>
      <c r="C118" s="2364"/>
      <c r="D118" s="2385">
        <f>D116+D117</f>
        <v>477349</v>
      </c>
      <c r="E118" s="2385">
        <f t="shared" ref="E118:L118" si="73">E116+E117</f>
        <v>316615</v>
      </c>
      <c r="F118" s="2385">
        <f t="shared" si="73"/>
        <v>113775</v>
      </c>
      <c r="G118" s="2385">
        <f t="shared" si="73"/>
        <v>46959</v>
      </c>
      <c r="H118" s="2385">
        <f t="shared" si="73"/>
        <v>0</v>
      </c>
      <c r="I118" s="2385">
        <f t="shared" si="73"/>
        <v>0</v>
      </c>
      <c r="J118" s="2385">
        <f t="shared" si="73"/>
        <v>0</v>
      </c>
      <c r="K118" s="2385">
        <f t="shared" si="73"/>
        <v>0</v>
      </c>
      <c r="L118" s="2385">
        <f t="shared" si="73"/>
        <v>0</v>
      </c>
      <c r="M118" s="2550"/>
      <c r="N118" s="2550"/>
    </row>
    <row r="119" spans="1:15" ht="12.75" hidden="1">
      <c r="B119" s="2386" t="s">
        <v>42</v>
      </c>
      <c r="C119" s="2387"/>
      <c r="D119" s="2388">
        <f>D18-D118</f>
        <v>0</v>
      </c>
      <c r="E119" s="2388">
        <f t="shared" ref="E119:L119" si="74">E18-E118</f>
        <v>0</v>
      </c>
      <c r="F119" s="2388">
        <f t="shared" si="74"/>
        <v>0</v>
      </c>
      <c r="G119" s="2388">
        <f t="shared" si="74"/>
        <v>0</v>
      </c>
      <c r="H119" s="2388">
        <f t="shared" si="74"/>
        <v>0</v>
      </c>
      <c r="I119" s="2388">
        <f t="shared" si="74"/>
        <v>0</v>
      </c>
      <c r="J119" s="2388">
        <f t="shared" si="74"/>
        <v>0</v>
      </c>
      <c r="K119" s="2388">
        <f t="shared" si="74"/>
        <v>0</v>
      </c>
      <c r="L119" s="2388">
        <f t="shared" si="74"/>
        <v>0</v>
      </c>
    </row>
    <row r="120" spans="1:15" hidden="1"/>
    <row r="121" spans="1:15" hidden="1"/>
    <row r="122" spans="1:15" hidden="1"/>
    <row r="123" spans="1:15" hidden="1"/>
    <row r="124" spans="1:15" hidden="1"/>
    <row r="125" spans="1:15" hidden="1"/>
    <row r="126" spans="1:15" hidden="1"/>
    <row r="127" spans="1:15" hidden="1"/>
    <row r="128" spans="1:15" hidden="1"/>
    <row r="183" spans="1:15" ht="12.75">
      <c r="A183" s="2550"/>
      <c r="B183" s="2550" t="s">
        <v>69</v>
      </c>
      <c r="C183" s="2550"/>
      <c r="D183" s="2550"/>
      <c r="E183" s="2550"/>
      <c r="F183" s="2550"/>
      <c r="G183" s="2550"/>
      <c r="H183" s="2550"/>
      <c r="I183" s="2550"/>
      <c r="J183" s="2550"/>
      <c r="K183" s="2550"/>
      <c r="L183" s="2550"/>
      <c r="M183" s="2550"/>
      <c r="N183" s="2550"/>
      <c r="O183" s="2550"/>
    </row>
    <row r="184" spans="1:15" ht="12.75">
      <c r="A184" s="2550"/>
      <c r="O184" s="2550"/>
    </row>
    <row r="185" spans="1:15" ht="12.75">
      <c r="A185" s="2550"/>
      <c r="O185" s="2550"/>
    </row>
    <row r="186" spans="1:15" ht="12.75">
      <c r="A186" s="2550"/>
      <c r="O186" s="2550"/>
    </row>
    <row r="187" spans="1:15" ht="12.75">
      <c r="A187" s="2550"/>
      <c r="O187" s="2550"/>
    </row>
    <row r="188" spans="1:15" ht="12.75">
      <c r="A188" s="2550"/>
      <c r="O188" s="2550"/>
    </row>
    <row r="189" spans="1:15" ht="12.75">
      <c r="A189" s="2550"/>
      <c r="O189" s="2550"/>
    </row>
    <row r="190" spans="1:15" ht="12.75">
      <c r="A190" s="2550"/>
      <c r="O190" s="2550"/>
    </row>
    <row r="191" spans="1:15" ht="12.75">
      <c r="A191" s="2550"/>
      <c r="O191" s="2550"/>
    </row>
    <row r="192" spans="1:15" ht="12.75">
      <c r="A192" s="2550"/>
      <c r="O192" s="2550"/>
    </row>
    <row r="193" spans="1:15" ht="12.75">
      <c r="A193" s="2550"/>
      <c r="O193" s="2550"/>
    </row>
    <row r="194" spans="1:15" ht="12.75">
      <c r="A194" s="2550"/>
      <c r="B194" s="2550"/>
      <c r="C194" s="2550"/>
      <c r="D194" s="2550"/>
      <c r="E194" s="2550"/>
      <c r="F194" s="2550"/>
      <c r="G194" s="2550"/>
      <c r="H194" s="2550"/>
      <c r="I194" s="2550"/>
      <c r="J194" s="2550"/>
      <c r="K194" s="2550"/>
      <c r="L194" s="2550"/>
      <c r="M194" s="2550"/>
      <c r="N194" s="2550"/>
      <c r="O194" s="2550"/>
    </row>
  </sheetData>
  <mergeCells count="74">
    <mergeCell ref="N18:N20"/>
    <mergeCell ref="N27:N31"/>
    <mergeCell ref="O21:O31"/>
    <mergeCell ref="N38:N42"/>
    <mergeCell ref="O32:O42"/>
    <mergeCell ref="O43:O49"/>
    <mergeCell ref="N47:N49"/>
    <mergeCell ref="O64:O70"/>
    <mergeCell ref="C66:C67"/>
    <mergeCell ref="N68:N70"/>
    <mergeCell ref="C69:C70"/>
    <mergeCell ref="O57:O63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C105:C109"/>
    <mergeCell ref="A72:L72"/>
    <mergeCell ref="N105:N109"/>
    <mergeCell ref="N54:N56"/>
    <mergeCell ref="C62:C63"/>
    <mergeCell ref="N61:N63"/>
    <mergeCell ref="C99:C103"/>
    <mergeCell ref="A57:A63"/>
    <mergeCell ref="A89:A92"/>
    <mergeCell ref="N84:N88"/>
    <mergeCell ref="A64:A70"/>
    <mergeCell ref="C59:C60"/>
    <mergeCell ref="M61:M63"/>
    <mergeCell ref="M68:M70"/>
    <mergeCell ref="M84:M88"/>
    <mergeCell ref="M105:M109"/>
    <mergeCell ref="A43:A49"/>
    <mergeCell ref="A32:A42"/>
    <mergeCell ref="C34:C37"/>
    <mergeCell ref="A21:A31"/>
    <mergeCell ref="C28:C31"/>
    <mergeCell ref="C23:C26"/>
    <mergeCell ref="C39:C42"/>
    <mergeCell ref="C45:C46"/>
    <mergeCell ref="C48:C49"/>
    <mergeCell ref="A110:A113"/>
    <mergeCell ref="O110:O113"/>
    <mergeCell ref="C112:C113"/>
    <mergeCell ref="A50:A56"/>
    <mergeCell ref="O50:O56"/>
    <mergeCell ref="C52:C53"/>
    <mergeCell ref="C55:C56"/>
    <mergeCell ref="A93:A96"/>
    <mergeCell ref="O93:O96"/>
    <mergeCell ref="C95:C96"/>
    <mergeCell ref="A97:A109"/>
    <mergeCell ref="O97:O109"/>
    <mergeCell ref="O89:O92"/>
    <mergeCell ref="C91:C92"/>
    <mergeCell ref="O73:O75"/>
    <mergeCell ref="O76:O80"/>
    <mergeCell ref="M18:M20"/>
    <mergeCell ref="M27:M31"/>
    <mergeCell ref="M38:M42"/>
    <mergeCell ref="M47:M49"/>
    <mergeCell ref="M54:M56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41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552"/>
  <sheetViews>
    <sheetView showGridLines="0" view="pageBreakPreview" topLeftCell="A4" zoomScaleNormal="100" zoomScaleSheetLayoutView="100" workbookViewId="0">
      <pane xSplit="3" ySplit="5" topLeftCell="D9" activePane="bottomRight" state="frozen"/>
      <selection activeCell="L250" sqref="L250"/>
      <selection pane="topRight" activeCell="L250" sqref="L250"/>
      <selection pane="bottomLeft" activeCell="L250" sqref="L250"/>
      <selection pane="bottomRight" activeCell="D9" sqref="D9"/>
    </sheetView>
  </sheetViews>
  <sheetFormatPr defaultColWidth="9.140625" defaultRowHeight="12.75"/>
  <cols>
    <col min="1" max="1" width="4.7109375" style="322" customWidth="1"/>
    <col min="2" max="2" width="61" style="323" customWidth="1"/>
    <col min="3" max="3" width="10" style="323" customWidth="1"/>
    <col min="4" max="4" width="14.28515625" style="323" customWidth="1"/>
    <col min="5" max="5" width="13.7109375" style="323" customWidth="1"/>
    <col min="6" max="6" width="10.28515625" style="323" customWidth="1"/>
    <col min="7" max="7" width="9.85546875" style="323" customWidth="1"/>
    <col min="8" max="8" width="11.28515625" style="323" customWidth="1"/>
    <col min="9" max="9" width="11" style="323" customWidth="1"/>
    <col min="10" max="10" width="9.85546875" style="323" customWidth="1"/>
    <col min="11" max="12" width="10.42578125" style="323" bestFit="1" customWidth="1"/>
    <col min="13" max="13" width="12.5703125" style="323" customWidth="1"/>
    <col min="14" max="14" width="12.5703125" style="323" hidden="1" customWidth="1"/>
    <col min="15" max="15" width="13.5703125" style="392" customWidth="1"/>
    <col min="16" max="16" width="15.140625" style="323" hidden="1" customWidth="1"/>
    <col min="17" max="17" width="16.42578125" style="323" hidden="1" customWidth="1"/>
    <col min="18" max="18" width="9.5703125" style="323" hidden="1" customWidth="1"/>
    <col min="19" max="26" width="0" style="323" hidden="1" customWidth="1"/>
    <col min="27" max="16384" width="9.140625" style="323"/>
  </cols>
  <sheetData>
    <row r="1" spans="1:77" ht="3.75" customHeight="1">
      <c r="M1" s="6"/>
      <c r="N1" s="6"/>
      <c r="O1" s="7"/>
    </row>
    <row r="2" spans="1:77" ht="15" customHeight="1">
      <c r="B2" s="325"/>
      <c r="E2" s="326"/>
      <c r="F2" s="326"/>
      <c r="I2" s="328" t="s">
        <v>475</v>
      </c>
      <c r="J2" s="328"/>
      <c r="K2" s="328"/>
      <c r="L2" s="328"/>
      <c r="M2" s="6"/>
      <c r="N2" s="6"/>
      <c r="O2" s="7"/>
    </row>
    <row r="3" spans="1:77" ht="0.75" customHeight="1">
      <c r="G3" s="329"/>
      <c r="H3" s="329"/>
      <c r="I3" s="329"/>
      <c r="J3" s="329"/>
      <c r="K3" s="329"/>
      <c r="L3" s="329"/>
      <c r="M3" s="6"/>
      <c r="N3" s="6"/>
      <c r="O3" s="7"/>
    </row>
    <row r="4" spans="1:77" ht="3" customHeight="1"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6"/>
      <c r="O4" s="7"/>
    </row>
    <row r="5" spans="1:77" s="330" customFormat="1" ht="45" customHeight="1" thickBot="1">
      <c r="A5" s="3289" t="s">
        <v>148</v>
      </c>
      <c r="B5" s="3289"/>
      <c r="C5" s="3289"/>
      <c r="D5" s="3289"/>
      <c r="E5" s="3289"/>
      <c r="F5" s="3289"/>
      <c r="G5" s="3289"/>
      <c r="H5" s="3289"/>
      <c r="I5" s="3289"/>
      <c r="J5" s="3289"/>
      <c r="K5" s="3289"/>
      <c r="L5" s="3289"/>
      <c r="M5" s="3289"/>
      <c r="N5" s="3289"/>
      <c r="O5" s="3289"/>
    </row>
    <row r="6" spans="1:77" s="332" customFormat="1" ht="55.5" customHeight="1" thickBot="1">
      <c r="A6" s="150"/>
      <c r="B6" s="3290" t="s">
        <v>75</v>
      </c>
      <c r="C6" s="2976" t="s">
        <v>71</v>
      </c>
      <c r="D6" s="3162" t="s">
        <v>118</v>
      </c>
      <c r="E6" s="3165" t="s">
        <v>460</v>
      </c>
      <c r="F6" s="2861" t="s">
        <v>461</v>
      </c>
      <c r="G6" s="2993" t="s">
        <v>456</v>
      </c>
      <c r="H6" s="2994"/>
      <c r="I6" s="2994"/>
      <c r="J6" s="2994"/>
      <c r="K6" s="2994"/>
      <c r="L6" s="2995"/>
      <c r="M6" s="2985" t="s">
        <v>479</v>
      </c>
      <c r="N6" s="2985" t="s">
        <v>457</v>
      </c>
      <c r="O6" s="3170" t="s">
        <v>73</v>
      </c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</row>
    <row r="7" spans="1:77" s="332" customFormat="1" ht="14.25" customHeight="1" thickBot="1">
      <c r="A7" s="151"/>
      <c r="B7" s="3290"/>
      <c r="C7" s="2977"/>
      <c r="D7" s="3164"/>
      <c r="E7" s="3167"/>
      <c r="F7" s="2863"/>
      <c r="G7" s="2525" t="s">
        <v>6</v>
      </c>
      <c r="H7" s="333" t="s">
        <v>184</v>
      </c>
      <c r="I7" s="333" t="s">
        <v>185</v>
      </c>
      <c r="J7" s="333" t="s">
        <v>232</v>
      </c>
      <c r="K7" s="333" t="s">
        <v>233</v>
      </c>
      <c r="L7" s="333" t="s">
        <v>234</v>
      </c>
      <c r="M7" s="3246"/>
      <c r="N7" s="3246"/>
      <c r="O7" s="3172"/>
      <c r="P7" s="182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</row>
    <row r="8" spans="1:77" s="332" customFormat="1" ht="12.75" customHeight="1">
      <c r="A8" s="1137">
        <v>1</v>
      </c>
      <c r="B8" s="1138">
        <v>2</v>
      </c>
      <c r="C8" s="1139" t="s">
        <v>119</v>
      </c>
      <c r="D8" s="1139" t="s">
        <v>120</v>
      </c>
      <c r="E8" s="1921">
        <v>5</v>
      </c>
      <c r="F8" s="1139">
        <v>6</v>
      </c>
      <c r="G8" s="1139">
        <v>7</v>
      </c>
      <c r="H8" s="1139">
        <v>8</v>
      </c>
      <c r="I8" s="1139">
        <v>9</v>
      </c>
      <c r="J8" s="1139">
        <v>10</v>
      </c>
      <c r="K8" s="1139">
        <v>11</v>
      </c>
      <c r="L8" s="1139">
        <v>12</v>
      </c>
      <c r="M8" s="1140">
        <v>13</v>
      </c>
      <c r="N8" s="1140">
        <v>13</v>
      </c>
      <c r="O8" s="1141">
        <v>14</v>
      </c>
      <c r="P8" s="332" t="s">
        <v>224</v>
      </c>
    </row>
    <row r="9" spans="1:77" s="2065" customFormat="1" ht="16.5" customHeight="1">
      <c r="A9" s="192"/>
      <c r="B9" s="455" t="s">
        <v>76</v>
      </c>
      <c r="C9" s="420"/>
      <c r="D9" s="421">
        <f>+D10+D11</f>
        <v>336435005</v>
      </c>
      <c r="E9" s="421">
        <f t="shared" ref="E9" si="0">+E10+E11</f>
        <v>27739202</v>
      </c>
      <c r="F9" s="421">
        <f t="shared" ref="F9:N9" si="1">+F10+F11</f>
        <v>34526920</v>
      </c>
      <c r="G9" s="421">
        <f t="shared" si="1"/>
        <v>52596168</v>
      </c>
      <c r="H9" s="226">
        <f t="shared" si="1"/>
        <v>79767462</v>
      </c>
      <c r="I9" s="226">
        <f t="shared" si="1"/>
        <v>62849185</v>
      </c>
      <c r="J9" s="226">
        <f t="shared" si="1"/>
        <v>27429729</v>
      </c>
      <c r="K9" s="226">
        <f t="shared" si="1"/>
        <v>26073404</v>
      </c>
      <c r="L9" s="226">
        <f t="shared" si="1"/>
        <v>25452935</v>
      </c>
      <c r="M9" s="153">
        <f t="shared" ref="M9" si="2">+M10+M11</f>
        <v>308695803</v>
      </c>
      <c r="N9" s="153">
        <f t="shared" si="1"/>
        <v>274168883</v>
      </c>
      <c r="O9" s="17"/>
      <c r="P9" s="334">
        <f>M9-M12</f>
        <v>0</v>
      </c>
      <c r="Q9" s="334"/>
    </row>
    <row r="10" spans="1:77" s="2065" customFormat="1">
      <c r="A10" s="192"/>
      <c r="B10" s="216" t="s">
        <v>77</v>
      </c>
      <c r="C10" s="217"/>
      <c r="D10" s="218">
        <f t="shared" ref="D10:L10" si="3">+D27+D72+D94-D102+D156+D186+D213-D217+D39</f>
        <v>236159202</v>
      </c>
      <c r="E10" s="218">
        <f t="shared" si="3"/>
        <v>26977519</v>
      </c>
      <c r="F10" s="218">
        <f t="shared" si="3"/>
        <v>32950111</v>
      </c>
      <c r="G10" s="218">
        <f t="shared" si="3"/>
        <v>38219902</v>
      </c>
      <c r="H10" s="218">
        <f t="shared" si="3"/>
        <v>30011101</v>
      </c>
      <c r="I10" s="218">
        <f t="shared" si="3"/>
        <v>29529001</v>
      </c>
      <c r="J10" s="218">
        <f t="shared" si="3"/>
        <v>27268229</v>
      </c>
      <c r="K10" s="218">
        <f t="shared" si="3"/>
        <v>25911904</v>
      </c>
      <c r="L10" s="218">
        <f t="shared" si="3"/>
        <v>25291435</v>
      </c>
      <c r="M10" s="655">
        <f>+M27+M72+M94+M156+M186+M213+M39</f>
        <v>209181683</v>
      </c>
      <c r="N10" s="655">
        <f>+N27+N72+N94+N156+N186+N213+N39</f>
        <v>176231572</v>
      </c>
      <c r="O10" s="17"/>
      <c r="P10" s="334">
        <f>F10+G10+H10+I10+J10+K10+L10-M10</f>
        <v>0</v>
      </c>
      <c r="Q10" s="334"/>
    </row>
    <row r="11" spans="1:77" s="2065" customFormat="1" ht="13.5" thickBot="1">
      <c r="A11" s="192"/>
      <c r="B11" s="219" t="s">
        <v>9</v>
      </c>
      <c r="C11" s="220"/>
      <c r="D11" s="221">
        <f>D60+D83+D119-D121+D170+D197+D226</f>
        <v>100275803</v>
      </c>
      <c r="E11" s="221">
        <f t="shared" ref="E11:L11" si="4">E60+E83+E119-E121+E170+E197+E226</f>
        <v>761683</v>
      </c>
      <c r="F11" s="221">
        <f t="shared" si="4"/>
        <v>1576809</v>
      </c>
      <c r="G11" s="221">
        <f t="shared" si="4"/>
        <v>14376266</v>
      </c>
      <c r="H11" s="221">
        <f t="shared" si="4"/>
        <v>49756361</v>
      </c>
      <c r="I11" s="221">
        <f t="shared" si="4"/>
        <v>33320184</v>
      </c>
      <c r="J11" s="221">
        <f t="shared" si="4"/>
        <v>161500</v>
      </c>
      <c r="K11" s="221">
        <f t="shared" si="4"/>
        <v>161500</v>
      </c>
      <c r="L11" s="221">
        <f t="shared" si="4"/>
        <v>161500</v>
      </c>
      <c r="M11" s="18">
        <f>+M60+M83+M119+M170+M197+M226</f>
        <v>99514120</v>
      </c>
      <c r="N11" s="18">
        <f>+N60+N83+N119+N170+N197+N226</f>
        <v>97937311</v>
      </c>
      <c r="O11" s="17"/>
      <c r="P11" s="334">
        <f>F11+G11+H11+I11+J11+K11+L11-M11</f>
        <v>0</v>
      </c>
    </row>
    <row r="12" spans="1:77" s="337" customFormat="1" ht="13.5" customHeight="1">
      <c r="A12" s="156"/>
      <c r="B12" s="157" t="s">
        <v>10</v>
      </c>
      <c r="C12" s="158"/>
      <c r="D12" s="159">
        <f>+D13+D18</f>
        <v>338041435</v>
      </c>
      <c r="E12" s="159">
        <f t="shared" ref="E12" si="5">+E13+E18</f>
        <v>28130318</v>
      </c>
      <c r="F12" s="159">
        <f t="shared" ref="F12:L12" si="6">+F13+F18</f>
        <v>34899529</v>
      </c>
      <c r="G12" s="159">
        <f t="shared" si="6"/>
        <v>53080252</v>
      </c>
      <c r="H12" s="159">
        <f t="shared" si="6"/>
        <v>79856563</v>
      </c>
      <c r="I12" s="159">
        <f t="shared" si="6"/>
        <v>62926650</v>
      </c>
      <c r="J12" s="159">
        <f t="shared" si="6"/>
        <v>27493748</v>
      </c>
      <c r="K12" s="159">
        <f t="shared" si="6"/>
        <v>26137422</v>
      </c>
      <c r="L12" s="159">
        <f t="shared" si="6"/>
        <v>25516953</v>
      </c>
      <c r="M12" s="193">
        <f>+M13+M18</f>
        <v>308695803</v>
      </c>
      <c r="N12" s="193">
        <f>+N13+N18</f>
        <v>274168883</v>
      </c>
      <c r="O12" s="154"/>
      <c r="P12" s="334"/>
      <c r="Q12" s="336"/>
    </row>
    <row r="13" spans="1:77" s="342" customFormat="1" ht="13.5" customHeight="1">
      <c r="A13" s="152"/>
      <c r="B13" s="160" t="s">
        <v>11</v>
      </c>
      <c r="C13" s="161"/>
      <c r="D13" s="338">
        <f>+D14+D15+D16+D17</f>
        <v>67765696</v>
      </c>
      <c r="E13" s="338">
        <f t="shared" ref="E13" si="7">+E14+E15+E16+E17</f>
        <v>4923143</v>
      </c>
      <c r="F13" s="338">
        <f t="shared" ref="F13:L13" si="8">+F14+F15+F16+F17</f>
        <v>5835990</v>
      </c>
      <c r="G13" s="338">
        <f t="shared" si="8"/>
        <v>11135592</v>
      </c>
      <c r="H13" s="338">
        <f t="shared" si="8"/>
        <v>17244832</v>
      </c>
      <c r="I13" s="338">
        <f t="shared" si="8"/>
        <v>17560637</v>
      </c>
      <c r="J13" s="338">
        <f t="shared" si="8"/>
        <v>4898800</v>
      </c>
      <c r="K13" s="338">
        <f t="shared" si="8"/>
        <v>3052728</v>
      </c>
      <c r="L13" s="338">
        <f t="shared" si="8"/>
        <v>3113974</v>
      </c>
      <c r="M13" s="339">
        <f>+M14+M15+M16+M17</f>
        <v>61627239</v>
      </c>
      <c r="N13" s="339">
        <f>+N14+N15+N16+N17</f>
        <v>56163858</v>
      </c>
      <c r="O13" s="340"/>
      <c r="P13" s="334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</row>
    <row r="14" spans="1:77" s="345" customFormat="1" ht="12" customHeight="1">
      <c r="A14" s="162"/>
      <c r="B14" s="163" t="s">
        <v>12</v>
      </c>
      <c r="C14" s="164"/>
      <c r="D14" s="343">
        <f t="shared" ref="D14:L14" si="9">+D96+D140+D215+D29+D41+D62</f>
        <v>63814873</v>
      </c>
      <c r="E14" s="343">
        <f t="shared" si="9"/>
        <v>4110816</v>
      </c>
      <c r="F14" s="343">
        <f t="shared" si="9"/>
        <v>4952623</v>
      </c>
      <c r="G14" s="343">
        <f t="shared" si="9"/>
        <v>9727340</v>
      </c>
      <c r="H14" s="343">
        <f t="shared" si="9"/>
        <v>16904103</v>
      </c>
      <c r="I14" s="343">
        <f t="shared" si="9"/>
        <v>17246544</v>
      </c>
      <c r="J14" s="343">
        <f t="shared" si="9"/>
        <v>4834781</v>
      </c>
      <c r="K14" s="343">
        <f t="shared" si="9"/>
        <v>2988710</v>
      </c>
      <c r="L14" s="343">
        <f t="shared" si="9"/>
        <v>3049956</v>
      </c>
      <c r="M14" s="344">
        <f>SUM(F14:L14)</f>
        <v>59704057</v>
      </c>
      <c r="N14" s="344">
        <f t="shared" ref="M14:N16" si="10">SUM(G14:L14)</f>
        <v>54751434</v>
      </c>
      <c r="O14" s="154"/>
      <c r="P14" s="334">
        <f t="shared" ref="P14:P19" si="11">F14+G14+H14+I14+J14+K14+L14-M14</f>
        <v>0</v>
      </c>
      <c r="Q14" s="345" t="s">
        <v>262</v>
      </c>
    </row>
    <row r="15" spans="1:77" s="345" customFormat="1" ht="11.25" customHeight="1">
      <c r="A15" s="162"/>
      <c r="B15" s="346" t="s">
        <v>13</v>
      </c>
      <c r="C15" s="347"/>
      <c r="D15" s="343">
        <f t="shared" ref="D15:L15" si="12">+D63+D74+D85+D216+D228+D45</f>
        <v>2344393</v>
      </c>
      <c r="E15" s="343">
        <f t="shared" si="12"/>
        <v>421211</v>
      </c>
      <c r="F15" s="343">
        <f t="shared" si="12"/>
        <v>510758</v>
      </c>
      <c r="G15" s="343">
        <f t="shared" si="12"/>
        <v>924168</v>
      </c>
      <c r="H15" s="343">
        <f t="shared" si="12"/>
        <v>251628</v>
      </c>
      <c r="I15" s="343">
        <f t="shared" si="12"/>
        <v>236628</v>
      </c>
      <c r="J15" s="343">
        <f t="shared" si="12"/>
        <v>0</v>
      </c>
      <c r="K15" s="343">
        <f t="shared" si="12"/>
        <v>0</v>
      </c>
      <c r="L15" s="343">
        <f t="shared" si="12"/>
        <v>0</v>
      </c>
      <c r="M15" s="344">
        <f>SUM(F15:L15)</f>
        <v>1923182</v>
      </c>
      <c r="N15" s="344">
        <f t="shared" si="10"/>
        <v>1412424</v>
      </c>
      <c r="O15" s="154"/>
      <c r="P15" s="334">
        <f t="shared" si="11"/>
        <v>0</v>
      </c>
    </row>
    <row r="16" spans="1:77" s="345" customFormat="1" ht="15" hidden="1" customHeight="1">
      <c r="A16" s="162"/>
      <c r="B16" s="346" t="s">
        <v>16</v>
      </c>
      <c r="C16" s="347"/>
      <c r="D16" s="348">
        <f>+D141</f>
        <v>0</v>
      </c>
      <c r="E16" s="348">
        <f t="shared" ref="E16:L16" si="13">+E141</f>
        <v>0</v>
      </c>
      <c r="F16" s="348">
        <f t="shared" si="13"/>
        <v>0</v>
      </c>
      <c r="G16" s="348">
        <f t="shared" si="13"/>
        <v>0</v>
      </c>
      <c r="H16" s="348">
        <f t="shared" si="13"/>
        <v>0</v>
      </c>
      <c r="I16" s="348">
        <f t="shared" si="13"/>
        <v>0</v>
      </c>
      <c r="J16" s="348">
        <f t="shared" si="13"/>
        <v>0</v>
      </c>
      <c r="K16" s="348">
        <f t="shared" si="13"/>
        <v>0</v>
      </c>
      <c r="L16" s="348">
        <f t="shared" si="13"/>
        <v>0</v>
      </c>
      <c r="M16" s="344">
        <f t="shared" si="10"/>
        <v>0</v>
      </c>
      <c r="N16" s="344">
        <f t="shared" si="10"/>
        <v>0</v>
      </c>
      <c r="O16" s="154"/>
      <c r="P16" s="334">
        <f t="shared" si="11"/>
        <v>0</v>
      </c>
    </row>
    <row r="17" spans="1:27" s="345" customFormat="1" ht="12" customHeight="1">
      <c r="A17" s="162"/>
      <c r="B17" s="346" t="s">
        <v>32</v>
      </c>
      <c r="C17" s="347"/>
      <c r="D17" s="348">
        <f t="shared" ref="D17:L17" si="14">D102+D121+D217</f>
        <v>1606430</v>
      </c>
      <c r="E17" s="348">
        <f t="shared" si="14"/>
        <v>391116</v>
      </c>
      <c r="F17" s="348">
        <f t="shared" si="14"/>
        <v>372609</v>
      </c>
      <c r="G17" s="348">
        <f t="shared" si="14"/>
        <v>484084</v>
      </c>
      <c r="H17" s="348">
        <f t="shared" si="14"/>
        <v>89101</v>
      </c>
      <c r="I17" s="348">
        <f t="shared" si="14"/>
        <v>77465</v>
      </c>
      <c r="J17" s="348">
        <f t="shared" si="14"/>
        <v>64019</v>
      </c>
      <c r="K17" s="348">
        <f t="shared" si="14"/>
        <v>64018</v>
      </c>
      <c r="L17" s="348">
        <f t="shared" si="14"/>
        <v>64018</v>
      </c>
      <c r="M17" s="349">
        <f>M102+M121</f>
        <v>0</v>
      </c>
      <c r="N17" s="349">
        <f>N102+N121</f>
        <v>0</v>
      </c>
      <c r="O17" s="154"/>
      <c r="P17" s="334"/>
    </row>
    <row r="18" spans="1:27" s="342" customFormat="1" ht="12" customHeight="1">
      <c r="A18" s="152"/>
      <c r="B18" s="165" t="s">
        <v>18</v>
      </c>
      <c r="C18" s="166"/>
      <c r="D18" s="167">
        <f>SUM(D19)</f>
        <v>270275739</v>
      </c>
      <c r="E18" s="167">
        <f t="shared" ref="E18" si="15">SUM(E19)</f>
        <v>23207175</v>
      </c>
      <c r="F18" s="167">
        <f t="shared" ref="F18:N18" si="16">SUM(F19)</f>
        <v>29063539</v>
      </c>
      <c r="G18" s="167">
        <f t="shared" si="16"/>
        <v>41944660</v>
      </c>
      <c r="H18" s="167">
        <f t="shared" si="16"/>
        <v>62611731</v>
      </c>
      <c r="I18" s="167">
        <f t="shared" si="16"/>
        <v>45366013</v>
      </c>
      <c r="J18" s="167">
        <f t="shared" si="16"/>
        <v>22594948</v>
      </c>
      <c r="K18" s="167">
        <f t="shared" si="16"/>
        <v>23084694</v>
      </c>
      <c r="L18" s="167">
        <f t="shared" si="16"/>
        <v>22402979</v>
      </c>
      <c r="M18" s="339">
        <f t="shared" si="16"/>
        <v>247068564</v>
      </c>
      <c r="N18" s="339">
        <f t="shared" si="16"/>
        <v>218005025</v>
      </c>
      <c r="O18" s="340"/>
      <c r="P18" s="334">
        <f t="shared" si="11"/>
        <v>0</v>
      </c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</row>
    <row r="19" spans="1:27" s="354" customFormat="1" ht="12" customHeight="1">
      <c r="A19" s="168"/>
      <c r="B19" s="350" t="s">
        <v>21</v>
      </c>
      <c r="C19" s="351"/>
      <c r="D19" s="343">
        <f t="shared" ref="D19:L19" si="17">+D31+D65+D76+D87+D106+D125+D143+D219+D230+D50</f>
        <v>270275739</v>
      </c>
      <c r="E19" s="343">
        <f t="shared" si="17"/>
        <v>23207175</v>
      </c>
      <c r="F19" s="343">
        <f t="shared" si="17"/>
        <v>29063539</v>
      </c>
      <c r="G19" s="343">
        <f t="shared" si="17"/>
        <v>41944660</v>
      </c>
      <c r="H19" s="343">
        <f t="shared" si="17"/>
        <v>62611731</v>
      </c>
      <c r="I19" s="343">
        <f t="shared" si="17"/>
        <v>45366013</v>
      </c>
      <c r="J19" s="343">
        <f t="shared" si="17"/>
        <v>22594948</v>
      </c>
      <c r="K19" s="343">
        <f t="shared" si="17"/>
        <v>23084694</v>
      </c>
      <c r="L19" s="343">
        <f t="shared" si="17"/>
        <v>22402979</v>
      </c>
      <c r="M19" s="344">
        <f>SUM(F19:L19)</f>
        <v>247068564</v>
      </c>
      <c r="N19" s="344">
        <f>SUM(G19:L19)</f>
        <v>218005025</v>
      </c>
      <c r="O19" s="352"/>
      <c r="P19" s="334">
        <f t="shared" si="11"/>
        <v>0</v>
      </c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</row>
    <row r="20" spans="1:27" s="354" customFormat="1" ht="12.75" customHeight="1">
      <c r="A20" s="168"/>
      <c r="B20" s="81" t="s">
        <v>22</v>
      </c>
      <c r="C20" s="425"/>
      <c r="D20" s="426">
        <f>+D21+D24</f>
        <v>272620132</v>
      </c>
      <c r="E20" s="426">
        <f t="shared" ref="E20" si="18">+E21+E24</f>
        <v>17797453</v>
      </c>
      <c r="F20" s="426">
        <f t="shared" ref="F20:L20" si="19">+F21+F24</f>
        <v>29310644</v>
      </c>
      <c r="G20" s="426">
        <f t="shared" si="19"/>
        <v>43445216</v>
      </c>
      <c r="H20" s="426">
        <f t="shared" si="19"/>
        <v>63003360</v>
      </c>
      <c r="I20" s="426">
        <f t="shared" si="19"/>
        <v>45602641</v>
      </c>
      <c r="J20" s="426">
        <f t="shared" si="19"/>
        <v>22721431</v>
      </c>
      <c r="K20" s="426">
        <f t="shared" si="19"/>
        <v>22935629</v>
      </c>
      <c r="L20" s="426">
        <f t="shared" si="19"/>
        <v>22764014</v>
      </c>
      <c r="M20" s="3247" t="s">
        <v>61</v>
      </c>
      <c r="N20" s="3247" t="s">
        <v>61</v>
      </c>
      <c r="O20" s="154"/>
      <c r="P20" s="358">
        <f>D77+D88+D115+D134+D147+D220+D54+D35+D66+D231</f>
        <v>272620132</v>
      </c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</row>
    <row r="21" spans="1:27" s="342" customFormat="1" ht="12" customHeight="1">
      <c r="A21" s="152"/>
      <c r="B21" s="160" t="s">
        <v>11</v>
      </c>
      <c r="C21" s="161"/>
      <c r="D21" s="338">
        <f>+D22+D23</f>
        <v>2344393</v>
      </c>
      <c r="E21" s="338">
        <f t="shared" ref="E21" si="20">+E22+E23</f>
        <v>413005</v>
      </c>
      <c r="F21" s="338">
        <f t="shared" ref="F21:L21" si="21">+F22+F23</f>
        <v>464447</v>
      </c>
      <c r="G21" s="338">
        <f t="shared" si="21"/>
        <v>965371</v>
      </c>
      <c r="H21" s="338">
        <f t="shared" si="21"/>
        <v>251628</v>
      </c>
      <c r="I21" s="338">
        <f t="shared" si="21"/>
        <v>236628</v>
      </c>
      <c r="J21" s="338">
        <f t="shared" si="21"/>
        <v>13314</v>
      </c>
      <c r="K21" s="338">
        <f t="shared" si="21"/>
        <v>0</v>
      </c>
      <c r="L21" s="338">
        <f t="shared" si="21"/>
        <v>0</v>
      </c>
      <c r="M21" s="3174"/>
      <c r="N21" s="3174"/>
      <c r="O21" s="340"/>
      <c r="P21" s="358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</row>
    <row r="22" spans="1:27" s="354" customFormat="1" ht="12" customHeight="1">
      <c r="A22" s="168"/>
      <c r="B22" s="346" t="s">
        <v>13</v>
      </c>
      <c r="C22" s="355"/>
      <c r="D22" s="343">
        <f t="shared" ref="D22:L22" si="22">+D68+D79+D222+D233+D90+D56</f>
        <v>2344393</v>
      </c>
      <c r="E22" s="343">
        <f t="shared" si="22"/>
        <v>413005</v>
      </c>
      <c r="F22" s="343">
        <f t="shared" si="22"/>
        <v>464447</v>
      </c>
      <c r="G22" s="343">
        <f t="shared" si="22"/>
        <v>965371</v>
      </c>
      <c r="H22" s="343">
        <f t="shared" si="22"/>
        <v>251628</v>
      </c>
      <c r="I22" s="343">
        <f t="shared" si="22"/>
        <v>236628</v>
      </c>
      <c r="J22" s="343">
        <f t="shared" si="22"/>
        <v>13314</v>
      </c>
      <c r="K22" s="343">
        <f t="shared" si="22"/>
        <v>0</v>
      </c>
      <c r="L22" s="343">
        <f t="shared" si="22"/>
        <v>0</v>
      </c>
      <c r="M22" s="3174"/>
      <c r="N22" s="3174"/>
      <c r="O22" s="352"/>
      <c r="P22" s="358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</row>
    <row r="23" spans="1:27" s="354" customFormat="1" ht="12" hidden="1" customHeight="1">
      <c r="A23" s="168"/>
      <c r="B23" s="346" t="s">
        <v>16</v>
      </c>
      <c r="C23" s="355"/>
      <c r="D23" s="348">
        <f>+D149</f>
        <v>0</v>
      </c>
      <c r="E23" s="348">
        <f>+E149</f>
        <v>0</v>
      </c>
      <c r="F23" s="348">
        <f>+F149</f>
        <v>0</v>
      </c>
      <c r="G23" s="348">
        <f t="shared" ref="G23:L23" si="23">+G149</f>
        <v>0</v>
      </c>
      <c r="H23" s="348">
        <f t="shared" si="23"/>
        <v>0</v>
      </c>
      <c r="I23" s="348">
        <f t="shared" si="23"/>
        <v>0</v>
      </c>
      <c r="J23" s="348">
        <f t="shared" si="23"/>
        <v>0</v>
      </c>
      <c r="K23" s="348">
        <f t="shared" si="23"/>
        <v>0</v>
      </c>
      <c r="L23" s="348">
        <f t="shared" si="23"/>
        <v>0</v>
      </c>
      <c r="M23" s="3174"/>
      <c r="N23" s="3174"/>
      <c r="O23" s="352"/>
      <c r="P23" s="358"/>
      <c r="Q23" s="353"/>
      <c r="R23" s="353"/>
      <c r="S23" s="353"/>
      <c r="T23" s="353"/>
      <c r="U23" s="353"/>
      <c r="V23" s="353"/>
      <c r="W23" s="353"/>
      <c r="X23" s="353"/>
      <c r="Y23" s="353"/>
      <c r="Z23" s="353"/>
      <c r="AA23" s="353"/>
    </row>
    <row r="24" spans="1:27" s="342" customFormat="1" ht="12" customHeight="1">
      <c r="A24" s="152"/>
      <c r="B24" s="165" t="s">
        <v>18</v>
      </c>
      <c r="C24" s="166"/>
      <c r="D24" s="167">
        <f>+D25</f>
        <v>270275739</v>
      </c>
      <c r="E24" s="167">
        <f t="shared" ref="E24" si="24">+E25</f>
        <v>17384448</v>
      </c>
      <c r="F24" s="167">
        <f t="shared" ref="F24:L24" si="25">+F25</f>
        <v>28846197</v>
      </c>
      <c r="G24" s="167">
        <f t="shared" si="25"/>
        <v>42479845</v>
      </c>
      <c r="H24" s="167">
        <f t="shared" si="25"/>
        <v>62751732</v>
      </c>
      <c r="I24" s="167">
        <f t="shared" si="25"/>
        <v>45366013</v>
      </c>
      <c r="J24" s="167">
        <f t="shared" si="25"/>
        <v>22708117</v>
      </c>
      <c r="K24" s="167">
        <f t="shared" si="25"/>
        <v>22935629</v>
      </c>
      <c r="L24" s="167">
        <f t="shared" si="25"/>
        <v>22764014</v>
      </c>
      <c r="M24" s="3174"/>
      <c r="N24" s="3174"/>
      <c r="O24" s="340"/>
      <c r="P24" s="358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</row>
    <row r="25" spans="1:27" s="354" customFormat="1" ht="12" customHeight="1" thickBot="1">
      <c r="A25" s="169"/>
      <c r="B25" s="356" t="s">
        <v>21</v>
      </c>
      <c r="C25" s="170"/>
      <c r="D25" s="171">
        <f t="shared" ref="D25:L25" si="26">+D37+D70+D81+D92+D117+D136+D151+D224+D235+D58</f>
        <v>270275739</v>
      </c>
      <c r="E25" s="171">
        <f t="shared" si="26"/>
        <v>17384448</v>
      </c>
      <c r="F25" s="171">
        <f t="shared" si="26"/>
        <v>28846197</v>
      </c>
      <c r="G25" s="171">
        <f t="shared" si="26"/>
        <v>42479845</v>
      </c>
      <c r="H25" s="171">
        <f t="shared" si="26"/>
        <v>62751732</v>
      </c>
      <c r="I25" s="171">
        <f t="shared" si="26"/>
        <v>45366013</v>
      </c>
      <c r="J25" s="171">
        <f t="shared" si="26"/>
        <v>22708117</v>
      </c>
      <c r="K25" s="171">
        <f t="shared" si="26"/>
        <v>22935629</v>
      </c>
      <c r="L25" s="171">
        <f t="shared" si="26"/>
        <v>22764014</v>
      </c>
      <c r="M25" s="3175"/>
      <c r="N25" s="3175"/>
      <c r="O25" s="357"/>
      <c r="P25" s="358">
        <f>D19-D25</f>
        <v>0</v>
      </c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</row>
    <row r="26" spans="1:27" s="353" customFormat="1" ht="25.5" customHeight="1">
      <c r="A26" s="3264" t="s">
        <v>63</v>
      </c>
      <c r="B26" s="172" t="s">
        <v>515</v>
      </c>
      <c r="C26" s="173" t="s">
        <v>109</v>
      </c>
      <c r="D26" s="189"/>
      <c r="E26" s="188"/>
      <c r="F26" s="188"/>
      <c r="G26" s="188"/>
      <c r="H26" s="188"/>
      <c r="I26" s="188"/>
      <c r="J26" s="188"/>
      <c r="K26" s="188"/>
      <c r="L26" s="263"/>
      <c r="M26" s="359"/>
      <c r="N26" s="359"/>
      <c r="O26" s="3283" t="s">
        <v>326</v>
      </c>
      <c r="P26" s="358"/>
    </row>
    <row r="27" spans="1:27" s="353" customFormat="1" ht="14.25" customHeight="1">
      <c r="A27" s="3265"/>
      <c r="B27" s="21" t="s">
        <v>10</v>
      </c>
      <c r="C27" s="2660"/>
      <c r="D27" s="360">
        <f>+D28+D30</f>
        <v>1966760</v>
      </c>
      <c r="E27" s="360">
        <f t="shared" ref="E27" si="27">+E28+E30</f>
        <v>192432</v>
      </c>
      <c r="F27" s="360">
        <f t="shared" ref="F27:K27" si="28">+F28+F30</f>
        <v>212270</v>
      </c>
      <c r="G27" s="360">
        <f t="shared" si="28"/>
        <v>288713</v>
      </c>
      <c r="H27" s="360">
        <f t="shared" si="28"/>
        <v>281170</v>
      </c>
      <c r="I27" s="360">
        <f t="shared" si="28"/>
        <v>281170</v>
      </c>
      <c r="J27" s="360">
        <f t="shared" si="28"/>
        <v>280970</v>
      </c>
      <c r="K27" s="360">
        <f t="shared" si="28"/>
        <v>430035</v>
      </c>
      <c r="L27" s="360"/>
      <c r="M27" s="2661">
        <f>M28+M30</f>
        <v>1774328</v>
      </c>
      <c r="N27" s="2661">
        <f>N28+N30</f>
        <v>1562058</v>
      </c>
      <c r="O27" s="3284"/>
      <c r="P27" s="334"/>
    </row>
    <row r="28" spans="1:27" s="2663" customFormat="1" ht="12" customHeight="1">
      <c r="A28" s="3265"/>
      <c r="B28" s="694" t="s">
        <v>24</v>
      </c>
      <c r="C28" s="3286" t="s">
        <v>149</v>
      </c>
      <c r="D28" s="361">
        <f>+D29</f>
        <v>2000</v>
      </c>
      <c r="E28" s="361">
        <f t="shared" ref="E28" si="29">+E29</f>
        <v>10</v>
      </c>
      <c r="F28" s="361">
        <f t="shared" ref="F28:K28" si="30">+F29</f>
        <v>300</v>
      </c>
      <c r="G28" s="361">
        <f t="shared" si="30"/>
        <v>490</v>
      </c>
      <c r="H28" s="361">
        <f t="shared" si="30"/>
        <v>400</v>
      </c>
      <c r="I28" s="361">
        <f t="shared" si="30"/>
        <v>400</v>
      </c>
      <c r="J28" s="361">
        <f t="shared" si="30"/>
        <v>200</v>
      </c>
      <c r="K28" s="361">
        <f t="shared" si="30"/>
        <v>200</v>
      </c>
      <c r="L28" s="361"/>
      <c r="M28" s="362">
        <f>+M29</f>
        <v>1990</v>
      </c>
      <c r="N28" s="362">
        <f>+N29</f>
        <v>1690</v>
      </c>
      <c r="O28" s="3284"/>
      <c r="P28" s="2662"/>
    </row>
    <row r="29" spans="1:27" s="2663" customFormat="1" ht="11.25" customHeight="1">
      <c r="A29" s="3265"/>
      <c r="B29" s="175" t="s">
        <v>12</v>
      </c>
      <c r="C29" s="3287"/>
      <c r="D29" s="251">
        <f>E29+F29+G29+H29+I29+J29+K29+L29</f>
        <v>2000</v>
      </c>
      <c r="E29" s="1607">
        <v>10</v>
      </c>
      <c r="F29" s="1607">
        <v>300</v>
      </c>
      <c r="G29" s="1607">
        <f>400+90</f>
        <v>490</v>
      </c>
      <c r="H29" s="1607">
        <v>400</v>
      </c>
      <c r="I29" s="1607">
        <v>400</v>
      </c>
      <c r="J29" s="1607">
        <v>200</v>
      </c>
      <c r="K29" s="1607">
        <v>200</v>
      </c>
      <c r="L29" s="2664"/>
      <c r="M29" s="764">
        <f>SUM(F29:K29)</f>
        <v>1990</v>
      </c>
      <c r="N29" s="764">
        <f>SUM(G29:L29)</f>
        <v>1690</v>
      </c>
      <c r="O29" s="3284"/>
      <c r="P29" s="2665"/>
    </row>
    <row r="30" spans="1:27" s="353" customFormat="1" ht="12" customHeight="1">
      <c r="A30" s="3265"/>
      <c r="B30" s="754" t="s">
        <v>18</v>
      </c>
      <c r="C30" s="3139"/>
      <c r="D30" s="364">
        <f>+D31</f>
        <v>1964760</v>
      </c>
      <c r="E30" s="364">
        <f t="shared" ref="E30:K30" si="31">E31</f>
        <v>192422</v>
      </c>
      <c r="F30" s="364">
        <f t="shared" si="31"/>
        <v>211970</v>
      </c>
      <c r="G30" s="364">
        <f t="shared" si="31"/>
        <v>288223</v>
      </c>
      <c r="H30" s="364">
        <f t="shared" si="31"/>
        <v>280770</v>
      </c>
      <c r="I30" s="364">
        <f t="shared" si="31"/>
        <v>280770</v>
      </c>
      <c r="J30" s="364">
        <f t="shared" si="31"/>
        <v>280770</v>
      </c>
      <c r="K30" s="364">
        <f t="shared" si="31"/>
        <v>429835</v>
      </c>
      <c r="L30" s="364"/>
      <c r="M30" s="362">
        <f>+M31</f>
        <v>1772338</v>
      </c>
      <c r="N30" s="362">
        <f>+N31</f>
        <v>1560368</v>
      </c>
      <c r="O30" s="3284"/>
      <c r="P30" s="358"/>
      <c r="Q30" s="358"/>
    </row>
    <row r="31" spans="1:27" s="2065" customFormat="1">
      <c r="A31" s="3265"/>
      <c r="B31" s="1608" t="s">
        <v>21</v>
      </c>
      <c r="C31" s="3140"/>
      <c r="D31" s="251">
        <f>E31+F31+G31+H31+I31+J31+K31+L31</f>
        <v>1964760</v>
      </c>
      <c r="E31" s="1607">
        <f>+E33+E34</f>
        <v>192422</v>
      </c>
      <c r="F31" s="251">
        <f t="shared" ref="F31:K31" si="32">SUM(F33:F34)</f>
        <v>211970</v>
      </c>
      <c r="G31" s="251">
        <f t="shared" si="32"/>
        <v>288223</v>
      </c>
      <c r="H31" s="251">
        <f t="shared" si="32"/>
        <v>280770</v>
      </c>
      <c r="I31" s="251">
        <f t="shared" si="32"/>
        <v>280770</v>
      </c>
      <c r="J31" s="251">
        <f t="shared" si="32"/>
        <v>280770</v>
      </c>
      <c r="K31" s="251">
        <f t="shared" si="32"/>
        <v>429835</v>
      </c>
      <c r="L31" s="2666"/>
      <c r="M31" s="764">
        <f>SUM(F31:L31)</f>
        <v>1772338</v>
      </c>
      <c r="N31" s="764">
        <f>SUM(G31:L31)</f>
        <v>1560368</v>
      </c>
      <c r="O31" s="3284"/>
      <c r="P31" s="334"/>
    </row>
    <row r="32" spans="1:27" s="2065" customFormat="1" hidden="1">
      <c r="A32" s="3265"/>
      <c r="B32" s="2667" t="s">
        <v>384</v>
      </c>
      <c r="C32" s="2540"/>
      <c r="D32" s="1034"/>
      <c r="E32" s="2668"/>
      <c r="F32" s="2668"/>
      <c r="G32" s="2668"/>
      <c r="H32" s="2668"/>
      <c r="I32" s="2668"/>
      <c r="J32" s="2668"/>
      <c r="K32" s="2668"/>
      <c r="L32" s="2668"/>
      <c r="M32" s="2669"/>
      <c r="N32" s="2669"/>
      <c r="O32" s="3284"/>
      <c r="P32" s="334"/>
    </row>
    <row r="33" spans="1:16" s="2065" customFormat="1" hidden="1">
      <c r="A33" s="3265"/>
      <c r="B33" s="2670" t="s">
        <v>270</v>
      </c>
      <c r="C33" s="2549"/>
      <c r="D33" s="1102">
        <f>SUM(E33:K33)</f>
        <v>1881600</v>
      </c>
      <c r="E33" s="2671">
        <v>187905</v>
      </c>
      <c r="F33" s="2671">
        <f>268800-68800</f>
        <v>200000</v>
      </c>
      <c r="G33" s="2671">
        <v>268800</v>
      </c>
      <c r="H33" s="2671">
        <v>268800</v>
      </c>
      <c r="I33" s="2671">
        <v>268800</v>
      </c>
      <c r="J33" s="2671">
        <v>268800</v>
      </c>
      <c r="K33" s="2671">
        <f>268800+80895+68800</f>
        <v>418495</v>
      </c>
      <c r="L33" s="2671"/>
      <c r="M33" s="2672">
        <f>SUM(F33:K33)</f>
        <v>1693695</v>
      </c>
      <c r="N33" s="2672">
        <f>SUM(F33:L33)</f>
        <v>1693695</v>
      </c>
      <c r="O33" s="3284"/>
      <c r="P33" s="334"/>
    </row>
    <row r="34" spans="1:16" s="2065" customFormat="1" hidden="1">
      <c r="A34" s="3265"/>
      <c r="B34" s="2670" t="s">
        <v>110</v>
      </c>
      <c r="C34" s="2549"/>
      <c r="D34" s="1034">
        <f>+E34+F34+G34+H34+I34+J34+K34</f>
        <v>83160</v>
      </c>
      <c r="E34" s="2673">
        <v>4517</v>
      </c>
      <c r="F34" s="2673">
        <f>11970</f>
        <v>11970</v>
      </c>
      <c r="G34" s="2673">
        <f>11970+7453</f>
        <v>19423</v>
      </c>
      <c r="H34" s="2673">
        <v>11970</v>
      </c>
      <c r="I34" s="2673">
        <v>11970</v>
      </c>
      <c r="J34" s="2673">
        <v>11970</v>
      </c>
      <c r="K34" s="2673">
        <v>11340</v>
      </c>
      <c r="L34" s="2673"/>
      <c r="M34" s="2674">
        <f>SUM(F34:K34)</f>
        <v>78643</v>
      </c>
      <c r="N34" s="2674">
        <f>SUM(F34:L34)</f>
        <v>78643</v>
      </c>
      <c r="O34" s="3284"/>
      <c r="P34" s="334"/>
    </row>
    <row r="35" spans="1:16" s="2065" customFormat="1" ht="12.75" customHeight="1">
      <c r="A35" s="2933"/>
      <c r="B35" s="21" t="s">
        <v>22</v>
      </c>
      <c r="C35" s="177"/>
      <c r="D35" s="360">
        <f>+D36</f>
        <v>1964760</v>
      </c>
      <c r="E35" s="360">
        <f t="shared" ref="E35:L35" si="33">+E36</f>
        <v>0</v>
      </c>
      <c r="F35" s="360">
        <f t="shared" si="33"/>
        <v>0</v>
      </c>
      <c r="G35" s="360">
        <f t="shared" si="33"/>
        <v>473192</v>
      </c>
      <c r="H35" s="360">
        <f t="shared" si="33"/>
        <v>288223</v>
      </c>
      <c r="I35" s="360">
        <f t="shared" si="33"/>
        <v>280770</v>
      </c>
      <c r="J35" s="360">
        <f t="shared" si="33"/>
        <v>280770</v>
      </c>
      <c r="K35" s="360">
        <f t="shared" si="33"/>
        <v>280770</v>
      </c>
      <c r="L35" s="360">
        <f t="shared" si="33"/>
        <v>361035</v>
      </c>
      <c r="M35" s="3248" t="s">
        <v>61</v>
      </c>
      <c r="N35" s="3248" t="s">
        <v>61</v>
      </c>
      <c r="O35" s="3284"/>
      <c r="P35" s="334"/>
    </row>
    <row r="36" spans="1:16" s="2065" customFormat="1" ht="12.75" customHeight="1">
      <c r="A36" s="2933"/>
      <c r="B36" s="367" t="s">
        <v>18</v>
      </c>
      <c r="C36" s="3139" t="s">
        <v>149</v>
      </c>
      <c r="D36" s="364">
        <f>+D37</f>
        <v>1964760</v>
      </c>
      <c r="E36" s="364">
        <f t="shared" ref="E36:L36" si="34">E37</f>
        <v>0</v>
      </c>
      <c r="F36" s="364">
        <f t="shared" si="34"/>
        <v>0</v>
      </c>
      <c r="G36" s="364">
        <f t="shared" si="34"/>
        <v>473192</v>
      </c>
      <c r="H36" s="364">
        <f t="shared" si="34"/>
        <v>288223</v>
      </c>
      <c r="I36" s="364">
        <f t="shared" si="34"/>
        <v>280770</v>
      </c>
      <c r="J36" s="364">
        <f t="shared" si="34"/>
        <v>280770</v>
      </c>
      <c r="K36" s="364">
        <f t="shared" si="34"/>
        <v>280770</v>
      </c>
      <c r="L36" s="364">
        <f t="shared" si="34"/>
        <v>361035</v>
      </c>
      <c r="M36" s="3177"/>
      <c r="N36" s="3177"/>
      <c r="O36" s="3284"/>
    </row>
    <row r="37" spans="1:16" s="2065" customFormat="1" ht="12" customHeight="1" thickBot="1">
      <c r="A37" s="2934"/>
      <c r="B37" s="368" t="s">
        <v>21</v>
      </c>
      <c r="C37" s="3267"/>
      <c r="D37" s="251">
        <f>E37+F37+G37+H37+I37+J37+K37+L37</f>
        <v>1964760</v>
      </c>
      <c r="E37" s="1607">
        <v>0</v>
      </c>
      <c r="F37" s="2666">
        <f>192422-192422</f>
        <v>0</v>
      </c>
      <c r="G37" s="2666">
        <f>280770+192422</f>
        <v>473192</v>
      </c>
      <c r="H37" s="2666">
        <v>288223</v>
      </c>
      <c r="I37" s="2666">
        <v>280770</v>
      </c>
      <c r="J37" s="2666">
        <v>280770</v>
      </c>
      <c r="K37" s="2666">
        <v>280770</v>
      </c>
      <c r="L37" s="2666">
        <v>361035</v>
      </c>
      <c r="M37" s="3178"/>
      <c r="N37" s="3178"/>
      <c r="O37" s="3285"/>
      <c r="P37" s="334">
        <f>D37-D31</f>
        <v>0</v>
      </c>
    </row>
    <row r="38" spans="1:16" s="2065" customFormat="1" ht="30" customHeight="1">
      <c r="A38" s="3264" t="s">
        <v>64</v>
      </c>
      <c r="B38" s="172" t="s">
        <v>405</v>
      </c>
      <c r="C38" s="173" t="s">
        <v>109</v>
      </c>
      <c r="D38" s="189"/>
      <c r="E38" s="188"/>
      <c r="F38" s="188"/>
      <c r="G38" s="188"/>
      <c r="H38" s="188"/>
      <c r="I38" s="188"/>
      <c r="J38" s="188"/>
      <c r="K38" s="188"/>
      <c r="L38" s="263"/>
      <c r="M38" s="359"/>
      <c r="N38" s="359"/>
      <c r="O38" s="3283" t="s">
        <v>296</v>
      </c>
      <c r="P38" s="2065" t="s">
        <v>414</v>
      </c>
    </row>
    <row r="39" spans="1:16" s="2065" customFormat="1" ht="12" customHeight="1">
      <c r="A39" s="3265"/>
      <c r="B39" s="728" t="s">
        <v>10</v>
      </c>
      <c r="C39" s="1963"/>
      <c r="D39" s="2675">
        <f t="shared" ref="D39:I39" si="35">+D40+D49</f>
        <v>1332900</v>
      </c>
      <c r="E39" s="2675">
        <f t="shared" si="35"/>
        <v>82069</v>
      </c>
      <c r="F39" s="2675">
        <f t="shared" si="35"/>
        <v>450901</v>
      </c>
      <c r="G39" s="2675">
        <f t="shared" si="35"/>
        <v>266680</v>
      </c>
      <c r="H39" s="2675">
        <f t="shared" si="35"/>
        <v>266680</v>
      </c>
      <c r="I39" s="2675">
        <f t="shared" si="35"/>
        <v>266570</v>
      </c>
      <c r="J39" s="2676">
        <v>0</v>
      </c>
      <c r="K39" s="2675"/>
      <c r="L39" s="2675"/>
      <c r="M39" s="2677">
        <f>+M40+M49</f>
        <v>1250831</v>
      </c>
      <c r="N39" s="2677">
        <f>+N40+N49</f>
        <v>799930</v>
      </c>
      <c r="O39" s="3284"/>
      <c r="P39" s="334"/>
    </row>
    <row r="40" spans="1:16" s="2065" customFormat="1" ht="12" customHeight="1">
      <c r="A40" s="3265"/>
      <c r="B40" s="694" t="s">
        <v>24</v>
      </c>
      <c r="C40" s="3277" t="s">
        <v>149</v>
      </c>
      <c r="D40" s="1964">
        <f>+D41+D45</f>
        <v>201211</v>
      </c>
      <c r="E40" s="1964">
        <f>+E41+E45</f>
        <v>12319</v>
      </c>
      <c r="F40" s="1964">
        <f t="shared" ref="F40:I40" si="36">+F41+F45</f>
        <v>67976</v>
      </c>
      <c r="G40" s="1964">
        <f t="shared" si="36"/>
        <v>40342</v>
      </c>
      <c r="H40" s="1964">
        <f t="shared" si="36"/>
        <v>40342</v>
      </c>
      <c r="I40" s="1964">
        <f t="shared" si="36"/>
        <v>40232</v>
      </c>
      <c r="J40" s="1965">
        <v>0</v>
      </c>
      <c r="K40" s="1964"/>
      <c r="L40" s="1964"/>
      <c r="M40" s="1966">
        <f>+M41+M45</f>
        <v>188892</v>
      </c>
      <c r="N40" s="1966">
        <f>+N41+N45</f>
        <v>120916</v>
      </c>
      <c r="O40" s="3284"/>
    </row>
    <row r="41" spans="1:16" s="2065" customFormat="1" ht="12" customHeight="1">
      <c r="A41" s="3265"/>
      <c r="B41" s="175" t="s">
        <v>12</v>
      </c>
      <c r="C41" s="3287"/>
      <c r="D41" s="1926">
        <f>E41+F41+G41+H41+I41+J41+K41+L41</f>
        <v>68070</v>
      </c>
      <c r="E41" s="1967">
        <f>+E43+E44</f>
        <v>4113</v>
      </c>
      <c r="F41" s="1495">
        <f t="shared" ref="F41:I41" si="37">+F43+F44</f>
        <v>22925</v>
      </c>
      <c r="G41" s="1495">
        <f t="shared" si="37"/>
        <v>13714</v>
      </c>
      <c r="H41" s="1495">
        <f t="shared" si="37"/>
        <v>13714</v>
      </c>
      <c r="I41" s="1495">
        <f t="shared" si="37"/>
        <v>13604</v>
      </c>
      <c r="J41" s="1704">
        <v>0</v>
      </c>
      <c r="K41" s="462"/>
      <c r="L41" s="462"/>
      <c r="M41" s="764">
        <f>SUM(F41:K41)</f>
        <v>63957</v>
      </c>
      <c r="N41" s="764">
        <f>SUM(G41:L41)</f>
        <v>41032</v>
      </c>
      <c r="O41" s="3284"/>
    </row>
    <row r="42" spans="1:16" s="2065" customFormat="1" ht="12" hidden="1" customHeight="1">
      <c r="A42" s="3265"/>
      <c r="B42" s="175" t="s">
        <v>150</v>
      </c>
      <c r="C42" s="3287"/>
      <c r="D42" s="1926"/>
      <c r="E42" s="1967"/>
      <c r="F42" s="1495"/>
      <c r="G42" s="1495"/>
      <c r="H42" s="1495"/>
      <c r="I42" s="1495"/>
      <c r="J42" s="1704"/>
      <c r="K42" s="462"/>
      <c r="L42" s="462"/>
      <c r="M42" s="1966"/>
      <c r="N42" s="1966"/>
      <c r="O42" s="3284"/>
    </row>
    <row r="43" spans="1:16" s="2065" customFormat="1" ht="12" hidden="1" customHeight="1">
      <c r="A43" s="3265"/>
      <c r="B43" s="1702" t="s">
        <v>270</v>
      </c>
      <c r="C43" s="3287"/>
      <c r="D43" s="1926">
        <f>E43+F43+G43+H43+I43+J43+K43+L43</f>
        <v>43007</v>
      </c>
      <c r="E43" s="1967">
        <f>3610+217</f>
        <v>3827</v>
      </c>
      <c r="F43" s="1968">
        <f>9240+555</f>
        <v>9795</v>
      </c>
      <c r="G43" s="1968">
        <f>9240+555</f>
        <v>9795</v>
      </c>
      <c r="H43" s="176">
        <f>9240+555</f>
        <v>9795</v>
      </c>
      <c r="I43" s="176">
        <f>9240+555</f>
        <v>9795</v>
      </c>
      <c r="J43" s="1704">
        <v>0</v>
      </c>
      <c r="K43" s="462"/>
      <c r="L43" s="462"/>
      <c r="M43" s="764">
        <f t="shared" ref="M43:N45" si="38">SUM(F43:K43)</f>
        <v>39180</v>
      </c>
      <c r="N43" s="764">
        <f t="shared" si="38"/>
        <v>29385</v>
      </c>
      <c r="O43" s="3284"/>
    </row>
    <row r="44" spans="1:16" s="2065" customFormat="1" ht="12" hidden="1" customHeight="1">
      <c r="A44" s="3265"/>
      <c r="B44" s="1073" t="s">
        <v>110</v>
      </c>
      <c r="C44" s="3287"/>
      <c r="D44" s="1926">
        <f>E44+F44+G44+H44+I44+J44+K44+L44</f>
        <v>25063</v>
      </c>
      <c r="E44" s="1967">
        <v>286</v>
      </c>
      <c r="F44" s="1495">
        <f>13902-772</f>
        <v>13130</v>
      </c>
      <c r="G44" s="1495">
        <f>4474-555</f>
        <v>3919</v>
      </c>
      <c r="H44" s="1495">
        <f>4474-555</f>
        <v>3919</v>
      </c>
      <c r="I44" s="1495">
        <f>4364-555</f>
        <v>3809</v>
      </c>
      <c r="J44" s="2678">
        <v>0</v>
      </c>
      <c r="K44" s="1495"/>
      <c r="L44" s="1495"/>
      <c r="M44" s="764">
        <f t="shared" si="38"/>
        <v>24777</v>
      </c>
      <c r="N44" s="764">
        <f t="shared" si="38"/>
        <v>11647</v>
      </c>
      <c r="O44" s="3284"/>
    </row>
    <row r="45" spans="1:16" s="285" customFormat="1">
      <c r="A45" s="3265"/>
      <c r="B45" s="2679" t="s">
        <v>13</v>
      </c>
      <c r="C45" s="3287"/>
      <c r="D45" s="1926">
        <f>+E45+F45+G45+H45+I45</f>
        <v>133141</v>
      </c>
      <c r="E45" s="2680">
        <f>+E47+E48</f>
        <v>8206</v>
      </c>
      <c r="F45" s="2681">
        <f>+F47+F48</f>
        <v>45051</v>
      </c>
      <c r="G45" s="2681">
        <f>+G47+G48</f>
        <v>26628</v>
      </c>
      <c r="H45" s="2681">
        <f>+H47+H48</f>
        <v>26628</v>
      </c>
      <c r="I45" s="2681">
        <f>+I47+I48</f>
        <v>26628</v>
      </c>
      <c r="J45" s="2682">
        <v>0</v>
      </c>
      <c r="K45" s="2681"/>
      <c r="L45" s="2681"/>
      <c r="M45" s="2683">
        <f t="shared" si="38"/>
        <v>124935</v>
      </c>
      <c r="N45" s="2683">
        <f t="shared" si="38"/>
        <v>79884</v>
      </c>
      <c r="O45" s="3284"/>
    </row>
    <row r="46" spans="1:16" s="2065" customFormat="1" ht="12" hidden="1" customHeight="1">
      <c r="A46" s="3265"/>
      <c r="B46" s="175" t="s">
        <v>150</v>
      </c>
      <c r="C46" s="3287"/>
      <c r="D46" s="1968"/>
      <c r="E46" s="176"/>
      <c r="F46" s="176"/>
      <c r="G46" s="176"/>
      <c r="H46" s="176"/>
      <c r="I46" s="176"/>
      <c r="J46" s="1483"/>
      <c r="K46" s="176"/>
      <c r="L46" s="176"/>
      <c r="M46" s="1969"/>
      <c r="N46" s="1969"/>
      <c r="O46" s="3284"/>
    </row>
    <row r="47" spans="1:16" s="2065" customFormat="1" ht="13.5" hidden="1" customHeight="1">
      <c r="A47" s="3265"/>
      <c r="B47" s="1702" t="s">
        <v>270</v>
      </c>
      <c r="C47" s="3287"/>
      <c r="D47" s="1968">
        <f>+E47+F47+G47+H47+I47</f>
        <v>86006</v>
      </c>
      <c r="E47" s="176">
        <f>7221+433</f>
        <v>7654</v>
      </c>
      <c r="F47" s="176">
        <f>18480+1108</f>
        <v>19588</v>
      </c>
      <c r="G47" s="176">
        <f>18480+1108</f>
        <v>19588</v>
      </c>
      <c r="H47" s="176">
        <f>18480+1108</f>
        <v>19588</v>
      </c>
      <c r="I47" s="176">
        <f>18480+1108</f>
        <v>19588</v>
      </c>
      <c r="J47" s="1483">
        <v>0</v>
      </c>
      <c r="K47" s="176"/>
      <c r="L47" s="176"/>
      <c r="M47" s="764">
        <f>SUM(F47:K47)</f>
        <v>78352</v>
      </c>
      <c r="N47" s="764">
        <f>SUM(G47:L47)</f>
        <v>58764</v>
      </c>
      <c r="O47" s="3284"/>
    </row>
    <row r="48" spans="1:16" s="2065" customFormat="1" ht="10.5" hidden="1" customHeight="1">
      <c r="A48" s="3265"/>
      <c r="B48" s="2684" t="s">
        <v>110</v>
      </c>
      <c r="C48" s="3287"/>
      <c r="D48" s="1968">
        <f>+E48+F48+G48+H48+I48</f>
        <v>47135</v>
      </c>
      <c r="E48" s="176">
        <v>552</v>
      </c>
      <c r="F48" s="176">
        <f>27004-1541</f>
        <v>25463</v>
      </c>
      <c r="G48" s="176">
        <f>8148-1108</f>
        <v>7040</v>
      </c>
      <c r="H48" s="176">
        <f>8148-1108</f>
        <v>7040</v>
      </c>
      <c r="I48" s="176">
        <f>8148-1108</f>
        <v>7040</v>
      </c>
      <c r="J48" s="1483">
        <v>0</v>
      </c>
      <c r="K48" s="176"/>
      <c r="L48" s="176"/>
      <c r="M48" s="764">
        <f>SUM(F48:K48)</f>
        <v>46583</v>
      </c>
      <c r="N48" s="764">
        <f>SUM(G48:L48)</f>
        <v>21120</v>
      </c>
      <c r="O48" s="3284"/>
    </row>
    <row r="49" spans="1:16" s="2065" customFormat="1" ht="12.75" customHeight="1">
      <c r="A49" s="3265"/>
      <c r="B49" s="754" t="s">
        <v>18</v>
      </c>
      <c r="C49" s="3139"/>
      <c r="D49" s="1970">
        <f>+D50</f>
        <v>1131689</v>
      </c>
      <c r="E49" s="1970">
        <f>+E50</f>
        <v>69750</v>
      </c>
      <c r="F49" s="1970">
        <f t="shared" ref="F49:I49" si="39">+F50</f>
        <v>382925</v>
      </c>
      <c r="G49" s="1970">
        <f t="shared" si="39"/>
        <v>226338</v>
      </c>
      <c r="H49" s="1970">
        <f t="shared" si="39"/>
        <v>226338</v>
      </c>
      <c r="I49" s="1970">
        <f t="shared" si="39"/>
        <v>226338</v>
      </c>
      <c r="J49" s="1971">
        <v>0</v>
      </c>
      <c r="K49" s="1970"/>
      <c r="L49" s="1970"/>
      <c r="M49" s="1966">
        <f>+M50</f>
        <v>1061939</v>
      </c>
      <c r="N49" s="1966">
        <f>+N50</f>
        <v>679014</v>
      </c>
      <c r="O49" s="3284"/>
    </row>
    <row r="50" spans="1:16" s="2065" customFormat="1" ht="12" customHeight="1">
      <c r="A50" s="3265"/>
      <c r="B50" s="1608" t="s">
        <v>21</v>
      </c>
      <c r="C50" s="3140"/>
      <c r="D50" s="1926">
        <f>E50+F50+G50+H50+I50+J50+K50+L50</f>
        <v>1131689</v>
      </c>
      <c r="E50" s="1967">
        <f>+E52+E53</f>
        <v>69750</v>
      </c>
      <c r="F50" s="2685">
        <f t="shared" ref="F50:I50" si="40">+F52+F53</f>
        <v>382925</v>
      </c>
      <c r="G50" s="2685">
        <f t="shared" si="40"/>
        <v>226338</v>
      </c>
      <c r="H50" s="2685">
        <f t="shared" si="40"/>
        <v>226338</v>
      </c>
      <c r="I50" s="2685">
        <f t="shared" si="40"/>
        <v>226338</v>
      </c>
      <c r="J50" s="2686">
        <v>0</v>
      </c>
      <c r="K50" s="2685"/>
      <c r="L50" s="2685"/>
      <c r="M50" s="764">
        <f>SUM(F50:K50)</f>
        <v>1061939</v>
      </c>
      <c r="N50" s="764">
        <f>SUM(G50:L50)</f>
        <v>679014</v>
      </c>
      <c r="O50" s="3284"/>
    </row>
    <row r="51" spans="1:16" s="2065" customFormat="1" ht="12" hidden="1" customHeight="1">
      <c r="A51" s="3265"/>
      <c r="B51" s="2687" t="s">
        <v>150</v>
      </c>
      <c r="C51" s="2549"/>
      <c r="D51" s="176"/>
      <c r="E51" s="1483"/>
      <c r="F51" s="2688"/>
      <c r="G51" s="2688"/>
      <c r="H51" s="2688"/>
      <c r="I51" s="2688"/>
      <c r="J51" s="1554"/>
      <c r="K51" s="2688"/>
      <c r="L51" s="2688"/>
      <c r="M51" s="1969"/>
      <c r="N51" s="1969"/>
      <c r="O51" s="3284"/>
    </row>
    <row r="52" spans="1:16" s="2065" customFormat="1" ht="12" hidden="1" customHeight="1">
      <c r="A52" s="3265"/>
      <c r="B52" s="1702" t="s">
        <v>270</v>
      </c>
      <c r="C52" s="2549"/>
      <c r="D52" s="176">
        <f>+F52+G52+H52+I52+E52</f>
        <v>731081</v>
      </c>
      <c r="E52" s="2689">
        <f>61378+3683</f>
        <v>65061</v>
      </c>
      <c r="F52" s="1972">
        <f>157080+9425</f>
        <v>166505</v>
      </c>
      <c r="G52" s="1972">
        <f>157080+9425</f>
        <v>166505</v>
      </c>
      <c r="H52" s="1972">
        <f>157080+9425</f>
        <v>166505</v>
      </c>
      <c r="I52" s="1972">
        <f>157080+9425</f>
        <v>166505</v>
      </c>
      <c r="J52" s="1973">
        <v>0</v>
      </c>
      <c r="K52" s="1972"/>
      <c r="L52" s="1972"/>
      <c r="M52" s="764">
        <f>SUM(F52:K52)</f>
        <v>666020</v>
      </c>
      <c r="N52" s="764">
        <f>SUM(G52:L52)</f>
        <v>499515</v>
      </c>
      <c r="O52" s="3284"/>
    </row>
    <row r="53" spans="1:16" s="2065" customFormat="1" ht="12" hidden="1" customHeight="1">
      <c r="A53" s="3265"/>
      <c r="B53" s="2684" t="s">
        <v>110</v>
      </c>
      <c r="C53" s="2549"/>
      <c r="D53" s="1968">
        <f>+F53+G53+H53+I53</f>
        <v>395919</v>
      </c>
      <c r="E53" s="115">
        <v>4689</v>
      </c>
      <c r="F53" s="115">
        <f>229528-13108</f>
        <v>216420</v>
      </c>
      <c r="G53" s="115">
        <f>69258-9425</f>
        <v>59833</v>
      </c>
      <c r="H53" s="115">
        <f>69258-9425</f>
        <v>59833</v>
      </c>
      <c r="I53" s="115">
        <f>69258-9425</f>
        <v>59833</v>
      </c>
      <c r="J53" s="528">
        <v>0</v>
      </c>
      <c r="K53" s="115"/>
      <c r="L53" s="115"/>
      <c r="M53" s="764">
        <f>SUM(F53:K53)</f>
        <v>395919</v>
      </c>
      <c r="N53" s="764">
        <f>SUM(G53:L53)</f>
        <v>179499</v>
      </c>
      <c r="O53" s="3284"/>
    </row>
    <row r="54" spans="1:16" s="2065" customFormat="1" ht="12" customHeight="1">
      <c r="A54" s="3265"/>
      <c r="B54" s="728" t="s">
        <v>22</v>
      </c>
      <c r="C54" s="1974"/>
      <c r="D54" s="1975">
        <f>+D55+D57</f>
        <v>1264830</v>
      </c>
      <c r="E54" s="1975">
        <f>+E55+E57</f>
        <v>0</v>
      </c>
      <c r="F54" s="1975">
        <f>+F55+F57</f>
        <v>0</v>
      </c>
      <c r="G54" s="1975">
        <f t="shared" ref="G54:J54" si="41">+G55+G57</f>
        <v>632415</v>
      </c>
      <c r="H54" s="1975">
        <f t="shared" si="41"/>
        <v>252966</v>
      </c>
      <c r="I54" s="1975">
        <f t="shared" si="41"/>
        <v>252966</v>
      </c>
      <c r="J54" s="1975">
        <f t="shared" si="41"/>
        <v>126483</v>
      </c>
      <c r="K54" s="1975"/>
      <c r="L54" s="1975"/>
      <c r="M54" s="3176"/>
      <c r="N54" s="3176"/>
      <c r="O54" s="3284"/>
    </row>
    <row r="55" spans="1:16" s="2065" customFormat="1" ht="12" customHeight="1">
      <c r="A55" s="3265"/>
      <c r="B55" s="1976" t="s">
        <v>24</v>
      </c>
      <c r="C55" s="3277" t="s">
        <v>149</v>
      </c>
      <c r="D55" s="1964">
        <f>+D56</f>
        <v>133141</v>
      </c>
      <c r="E55" s="1964">
        <f>+E56</f>
        <v>0</v>
      </c>
      <c r="F55" s="1964">
        <f>+F56</f>
        <v>0</v>
      </c>
      <c r="G55" s="1964">
        <f t="shared" ref="G55:J55" si="42">+G56</f>
        <v>66571</v>
      </c>
      <c r="H55" s="1964">
        <f t="shared" si="42"/>
        <v>26628</v>
      </c>
      <c r="I55" s="1964">
        <f t="shared" si="42"/>
        <v>26628</v>
      </c>
      <c r="J55" s="1964">
        <f t="shared" si="42"/>
        <v>13314</v>
      </c>
      <c r="K55" s="1964"/>
      <c r="L55" s="1964"/>
      <c r="M55" s="3177"/>
      <c r="N55" s="3177"/>
      <c r="O55" s="3284"/>
    </row>
    <row r="56" spans="1:16" s="2065" customFormat="1" ht="12" customHeight="1">
      <c r="A56" s="3265"/>
      <c r="B56" s="179" t="s">
        <v>13</v>
      </c>
      <c r="C56" s="3287"/>
      <c r="D56" s="1926">
        <f>E56+F56+G56+H56+I56+J56+K56+L56</f>
        <v>133141</v>
      </c>
      <c r="E56" s="1967">
        <v>0</v>
      </c>
      <c r="F56" s="1977">
        <v>0</v>
      </c>
      <c r="G56" s="1977">
        <f>58798+7773</f>
        <v>66571</v>
      </c>
      <c r="H56" s="1977">
        <v>26628</v>
      </c>
      <c r="I56" s="1977">
        <v>26628</v>
      </c>
      <c r="J56" s="1977">
        <v>13314</v>
      </c>
      <c r="K56" s="1977"/>
      <c r="L56" s="1977"/>
      <c r="M56" s="3177"/>
      <c r="N56" s="3177"/>
      <c r="O56" s="3284"/>
    </row>
    <row r="57" spans="1:16" s="2065" customFormat="1" ht="12" customHeight="1">
      <c r="A57" s="3265"/>
      <c r="B57" s="1978" t="s">
        <v>18</v>
      </c>
      <c r="C57" s="3139"/>
      <c r="D57" s="1970">
        <f>+D58</f>
        <v>1131689</v>
      </c>
      <c r="E57" s="1970">
        <f>+E58</f>
        <v>0</v>
      </c>
      <c r="F57" s="1970">
        <f>+F58</f>
        <v>0</v>
      </c>
      <c r="G57" s="1970">
        <f t="shared" ref="G57:J57" si="43">+G58</f>
        <v>565844</v>
      </c>
      <c r="H57" s="1970">
        <f t="shared" si="43"/>
        <v>226338</v>
      </c>
      <c r="I57" s="1970">
        <f t="shared" si="43"/>
        <v>226338</v>
      </c>
      <c r="J57" s="1970">
        <f t="shared" si="43"/>
        <v>113169</v>
      </c>
      <c r="K57" s="1970"/>
      <c r="L57" s="1970"/>
      <c r="M57" s="3177"/>
      <c r="N57" s="3177"/>
      <c r="O57" s="3284"/>
    </row>
    <row r="58" spans="1:16" s="2065" customFormat="1" ht="12" customHeight="1" thickBot="1">
      <c r="A58" s="3266"/>
      <c r="B58" s="368" t="s">
        <v>21</v>
      </c>
      <c r="C58" s="3267"/>
      <c r="D58" s="1027">
        <f>E58+F58+G58+H58+I58+J58+K58+L58</f>
        <v>1131689</v>
      </c>
      <c r="E58" s="1979">
        <v>0</v>
      </c>
      <c r="F58" s="723">
        <f>66067-66067</f>
        <v>0</v>
      </c>
      <c r="G58" s="723">
        <f>499777+66067</f>
        <v>565844</v>
      </c>
      <c r="H58" s="723">
        <v>226338</v>
      </c>
      <c r="I58" s="723">
        <v>226338</v>
      </c>
      <c r="J58" s="723">
        <v>113169</v>
      </c>
      <c r="K58" s="723"/>
      <c r="L58" s="723"/>
      <c r="M58" s="3178"/>
      <c r="N58" s="3178"/>
      <c r="O58" s="3285"/>
    </row>
    <row r="59" spans="1:16" s="2065" customFormat="1" ht="27" customHeight="1">
      <c r="A59" s="3264" t="s">
        <v>65</v>
      </c>
      <c r="B59" s="172" t="s">
        <v>418</v>
      </c>
      <c r="C59" s="173" t="s">
        <v>81</v>
      </c>
      <c r="D59" s="189"/>
      <c r="E59" s="188"/>
      <c r="F59" s="188"/>
      <c r="G59" s="188"/>
      <c r="H59" s="188"/>
      <c r="I59" s="188"/>
      <c r="J59" s="188"/>
      <c r="K59" s="188"/>
      <c r="L59" s="263"/>
      <c r="M59" s="359"/>
      <c r="N59" s="359"/>
      <c r="O59" s="3283" t="s">
        <v>110</v>
      </c>
      <c r="P59" s="2065" t="s">
        <v>414</v>
      </c>
    </row>
    <row r="60" spans="1:16" s="2065" customFormat="1" ht="12" customHeight="1">
      <c r="A60" s="3265"/>
      <c r="B60" s="728" t="s">
        <v>10</v>
      </c>
      <c r="C60" s="1963"/>
      <c r="D60" s="1975">
        <f>+D61+D64</f>
        <v>12600</v>
      </c>
      <c r="E60" s="1975">
        <f t="shared" ref="E60" si="44">+E61+E64</f>
        <v>0</v>
      </c>
      <c r="F60" s="1975">
        <f t="shared" ref="F60:I60" si="45">+F61+F64</f>
        <v>12600</v>
      </c>
      <c r="G60" s="2138">
        <f t="shared" si="45"/>
        <v>0</v>
      </c>
      <c r="H60" s="2138">
        <f t="shared" si="45"/>
        <v>0</v>
      </c>
      <c r="I60" s="2138">
        <f t="shared" si="45"/>
        <v>0</v>
      </c>
      <c r="J60" s="1975"/>
      <c r="K60" s="1975"/>
      <c r="L60" s="1975"/>
      <c r="M60" s="2139">
        <f>M61+M64</f>
        <v>12600</v>
      </c>
      <c r="N60" s="2139">
        <f>N61+N64</f>
        <v>0</v>
      </c>
      <c r="O60" s="3284"/>
      <c r="P60" s="334"/>
    </row>
    <row r="61" spans="1:16" s="2065" customFormat="1" ht="12" customHeight="1">
      <c r="A61" s="3265"/>
      <c r="B61" s="694" t="s">
        <v>24</v>
      </c>
      <c r="C61" s="3286" t="s">
        <v>149</v>
      </c>
      <c r="D61" s="1964">
        <f>+D62+D63</f>
        <v>1890</v>
      </c>
      <c r="E61" s="1964">
        <f>+E62+E63</f>
        <v>0</v>
      </c>
      <c r="F61" s="1964">
        <f>+F62+F63</f>
        <v>1890</v>
      </c>
      <c r="G61" s="1965">
        <f t="shared" ref="G61:H61" si="46">+G63</f>
        <v>0</v>
      </c>
      <c r="H61" s="1965">
        <f t="shared" si="46"/>
        <v>0</v>
      </c>
      <c r="I61" s="1965">
        <f>+I63</f>
        <v>0</v>
      </c>
      <c r="J61" s="1964"/>
      <c r="K61" s="1964"/>
      <c r="L61" s="1964"/>
      <c r="M61" s="1966">
        <f>+M62+M63</f>
        <v>1890</v>
      </c>
      <c r="N61" s="1966">
        <f>+N62+N63</f>
        <v>0</v>
      </c>
      <c r="O61" s="3284"/>
    </row>
    <row r="62" spans="1:16" s="2065" customFormat="1" ht="12" customHeight="1">
      <c r="A62" s="3265"/>
      <c r="B62" s="175" t="s">
        <v>12</v>
      </c>
      <c r="C62" s="3287"/>
      <c r="D62" s="1034">
        <f>E62+F62+G62+H62+I62+J62+K62+L62</f>
        <v>630</v>
      </c>
      <c r="E62" s="1967">
        <v>0</v>
      </c>
      <c r="F62" s="1495">
        <v>630</v>
      </c>
      <c r="G62" s="1704">
        <v>0</v>
      </c>
      <c r="H62" s="1704">
        <v>0</v>
      </c>
      <c r="I62" s="1704">
        <v>0</v>
      </c>
      <c r="J62" s="462"/>
      <c r="K62" s="462"/>
      <c r="L62" s="462"/>
      <c r="M62" s="1969">
        <f>SUM(F62:K62)</f>
        <v>630</v>
      </c>
      <c r="N62" s="1969">
        <f>SUM(G62:L62)</f>
        <v>0</v>
      </c>
      <c r="O62" s="3284"/>
    </row>
    <row r="63" spans="1:16" s="2065" customFormat="1" ht="12" customHeight="1">
      <c r="A63" s="3265"/>
      <c r="B63" s="175" t="s">
        <v>13</v>
      </c>
      <c r="C63" s="3139"/>
      <c r="D63" s="1034">
        <f>E63+F63+G63+H63+I63+J63+K63+L63</f>
        <v>1260</v>
      </c>
      <c r="E63" s="1967">
        <v>0</v>
      </c>
      <c r="F63" s="176">
        <v>1260</v>
      </c>
      <c r="G63" s="1483">
        <v>0</v>
      </c>
      <c r="H63" s="1483">
        <v>0</v>
      </c>
      <c r="I63" s="1483">
        <v>0</v>
      </c>
      <c r="J63" s="176"/>
      <c r="K63" s="176"/>
      <c r="L63" s="176"/>
      <c r="M63" s="1969">
        <f>SUM(F63:K63)</f>
        <v>1260</v>
      </c>
      <c r="N63" s="1969">
        <f>SUM(G63:L63)</f>
        <v>0</v>
      </c>
      <c r="O63" s="3284"/>
    </row>
    <row r="64" spans="1:16" s="2065" customFormat="1" ht="12" customHeight="1">
      <c r="A64" s="3265"/>
      <c r="B64" s="754" t="s">
        <v>18</v>
      </c>
      <c r="C64" s="3139"/>
      <c r="D64" s="1970">
        <f t="shared" ref="D64:I64" si="47">D65</f>
        <v>10710</v>
      </c>
      <c r="E64" s="1970">
        <f t="shared" si="47"/>
        <v>0</v>
      </c>
      <c r="F64" s="1970">
        <f t="shared" si="47"/>
        <v>10710</v>
      </c>
      <c r="G64" s="1971">
        <f t="shared" si="47"/>
        <v>0</v>
      </c>
      <c r="H64" s="1971">
        <f t="shared" si="47"/>
        <v>0</v>
      </c>
      <c r="I64" s="1971">
        <f t="shared" si="47"/>
        <v>0</v>
      </c>
      <c r="J64" s="1970"/>
      <c r="K64" s="1970"/>
      <c r="L64" s="1970"/>
      <c r="M64" s="1706">
        <f>+M65</f>
        <v>10710</v>
      </c>
      <c r="N64" s="1706">
        <f>+N65</f>
        <v>0</v>
      </c>
      <c r="O64" s="3284"/>
    </row>
    <row r="65" spans="1:15" s="2065" customFormat="1">
      <c r="A65" s="3265"/>
      <c r="B65" s="755" t="s">
        <v>21</v>
      </c>
      <c r="C65" s="3140"/>
      <c r="D65" s="1034">
        <f>E65+F65+G65+H65+I65+J65+K65+L65</f>
        <v>10710</v>
      </c>
      <c r="E65" s="1967">
        <v>0</v>
      </c>
      <c r="F65" s="138">
        <v>10710</v>
      </c>
      <c r="G65" s="1484">
        <v>0</v>
      </c>
      <c r="H65" s="1484">
        <v>0</v>
      </c>
      <c r="I65" s="1484">
        <v>0</v>
      </c>
      <c r="J65" s="138"/>
      <c r="K65" s="138"/>
      <c r="L65" s="138"/>
      <c r="M65" s="1969">
        <f>SUM(F65:K65)</f>
        <v>10710</v>
      </c>
      <c r="N65" s="1969">
        <f>SUM(G65:L65)</f>
        <v>0</v>
      </c>
      <c r="O65" s="3284"/>
    </row>
    <row r="66" spans="1:15" s="2065" customFormat="1" ht="12" customHeight="1">
      <c r="A66" s="2933"/>
      <c r="B66" s="728" t="s">
        <v>22</v>
      </c>
      <c r="C66" s="2140"/>
      <c r="D66" s="1975">
        <f>+D67+D69</f>
        <v>11970</v>
      </c>
      <c r="E66" s="1975">
        <f t="shared" ref="E66" si="48">E67+E69</f>
        <v>0</v>
      </c>
      <c r="F66" s="2138">
        <f t="shared" ref="F66:I66" si="49">F67+F69</f>
        <v>0</v>
      </c>
      <c r="G66" s="1975">
        <f t="shared" si="49"/>
        <v>11970</v>
      </c>
      <c r="H66" s="2138">
        <f t="shared" si="49"/>
        <v>0</v>
      </c>
      <c r="I66" s="2138">
        <f t="shared" si="49"/>
        <v>0</v>
      </c>
      <c r="J66" s="1975"/>
      <c r="K66" s="1975"/>
      <c r="L66" s="1975"/>
      <c r="M66" s="3249" t="s">
        <v>61</v>
      </c>
      <c r="N66" s="3249" t="s">
        <v>61</v>
      </c>
      <c r="O66" s="3284"/>
    </row>
    <row r="67" spans="1:15" s="2065" customFormat="1" ht="12" customHeight="1">
      <c r="A67" s="2933"/>
      <c r="B67" s="2141" t="s">
        <v>24</v>
      </c>
      <c r="C67" s="3286" t="s">
        <v>149</v>
      </c>
      <c r="D67" s="1964">
        <f t="shared" ref="D67:I67" si="50">D68</f>
        <v>1260</v>
      </c>
      <c r="E67" s="1964">
        <f t="shared" si="50"/>
        <v>0</v>
      </c>
      <c r="F67" s="1965">
        <f t="shared" si="50"/>
        <v>0</v>
      </c>
      <c r="G67" s="1964">
        <f t="shared" si="50"/>
        <v>1260</v>
      </c>
      <c r="H67" s="1965">
        <f t="shared" si="50"/>
        <v>0</v>
      </c>
      <c r="I67" s="1965">
        <f t="shared" si="50"/>
        <v>0</v>
      </c>
      <c r="J67" s="1964"/>
      <c r="K67" s="1964"/>
      <c r="L67" s="1964"/>
      <c r="M67" s="3177"/>
      <c r="N67" s="3177"/>
      <c r="O67" s="3284"/>
    </row>
    <row r="68" spans="1:15" s="2065" customFormat="1" ht="10.5" customHeight="1">
      <c r="A68" s="2933"/>
      <c r="B68" s="179" t="s">
        <v>13</v>
      </c>
      <c r="C68" s="3139"/>
      <c r="D68" s="1034">
        <f>E68+F68+G68+H68+I68+J68+K68+L68</f>
        <v>1260</v>
      </c>
      <c r="E68" s="1967">
        <v>0</v>
      </c>
      <c r="F68" s="2142">
        <v>0</v>
      </c>
      <c r="G68" s="1977">
        <v>1260</v>
      </c>
      <c r="H68" s="2142">
        <v>0</v>
      </c>
      <c r="I68" s="2142">
        <v>0</v>
      </c>
      <c r="J68" s="1977"/>
      <c r="K68" s="1977"/>
      <c r="L68" s="1977"/>
      <c r="M68" s="3177"/>
      <c r="N68" s="3177"/>
      <c r="O68" s="3284"/>
    </row>
    <row r="69" spans="1:15" s="2065" customFormat="1" ht="12" customHeight="1">
      <c r="A69" s="2933"/>
      <c r="B69" s="2143" t="s">
        <v>18</v>
      </c>
      <c r="C69" s="3139"/>
      <c r="D69" s="1970">
        <f t="shared" ref="D69:I69" si="51">D70</f>
        <v>10710</v>
      </c>
      <c r="E69" s="1970">
        <f t="shared" si="51"/>
        <v>0</v>
      </c>
      <c r="F69" s="1971">
        <f t="shared" si="51"/>
        <v>0</v>
      </c>
      <c r="G69" s="1970">
        <f t="shared" si="51"/>
        <v>10710</v>
      </c>
      <c r="H69" s="1971">
        <f t="shared" si="51"/>
        <v>0</v>
      </c>
      <c r="I69" s="1971">
        <f t="shared" si="51"/>
        <v>0</v>
      </c>
      <c r="J69" s="1970"/>
      <c r="K69" s="1970"/>
      <c r="L69" s="1970"/>
      <c r="M69" s="3177"/>
      <c r="N69" s="3177"/>
      <c r="O69" s="3284"/>
    </row>
    <row r="70" spans="1:15" s="2065" customFormat="1" ht="12" customHeight="1" thickBot="1">
      <c r="A70" s="2934"/>
      <c r="B70" s="368" t="s">
        <v>21</v>
      </c>
      <c r="C70" s="3267"/>
      <c r="D70" s="1027">
        <f>E70+F70+G70+H70+I70+J70+K70+L70</f>
        <v>10710</v>
      </c>
      <c r="E70" s="1979">
        <v>0</v>
      </c>
      <c r="F70" s="2137">
        <v>0</v>
      </c>
      <c r="G70" s="723">
        <v>10710</v>
      </c>
      <c r="H70" s="2137">
        <v>0</v>
      </c>
      <c r="I70" s="2137">
        <v>0</v>
      </c>
      <c r="J70" s="723"/>
      <c r="K70" s="723"/>
      <c r="L70" s="723"/>
      <c r="M70" s="3178"/>
      <c r="N70" s="3178"/>
      <c r="O70" s="3285"/>
    </row>
    <row r="71" spans="1:15" s="2065" customFormat="1" ht="36.75" customHeight="1">
      <c r="A71" s="3264" t="s">
        <v>66</v>
      </c>
      <c r="B71" s="172" t="s">
        <v>243</v>
      </c>
      <c r="C71" s="173" t="s">
        <v>109</v>
      </c>
      <c r="D71" s="189"/>
      <c r="E71" s="188"/>
      <c r="F71" s="189"/>
      <c r="G71" s="188"/>
      <c r="H71" s="188"/>
      <c r="I71" s="188"/>
      <c r="J71" s="188"/>
      <c r="K71" s="188"/>
      <c r="L71" s="263"/>
      <c r="M71" s="359"/>
      <c r="N71" s="359"/>
      <c r="O71" s="3260" t="s">
        <v>301</v>
      </c>
    </row>
    <row r="72" spans="1:15" s="2065" customFormat="1" ht="14.25" customHeight="1">
      <c r="A72" s="3265"/>
      <c r="B72" s="728" t="s">
        <v>10</v>
      </c>
      <c r="C72" s="760"/>
      <c r="D72" s="1035">
        <f>+D73+D75</f>
        <v>9746842</v>
      </c>
      <c r="E72" s="1035">
        <f t="shared" ref="E72" si="52">+E73+E75</f>
        <v>2589029</v>
      </c>
      <c r="F72" s="1035">
        <f>+F73+F75</f>
        <v>2057813</v>
      </c>
      <c r="G72" s="1035">
        <f>+G73+G75</f>
        <v>2200000</v>
      </c>
      <c r="H72" s="1035">
        <f>+H73+H75</f>
        <v>1500000</v>
      </c>
      <c r="I72" s="1035">
        <f>+I73+I75</f>
        <v>1400000</v>
      </c>
      <c r="J72" s="1035"/>
      <c r="K72" s="1035"/>
      <c r="L72" s="1035"/>
      <c r="M72" s="1036">
        <f>M73+M75</f>
        <v>7157813</v>
      </c>
      <c r="N72" s="1036">
        <f>N73+N75</f>
        <v>5100000</v>
      </c>
      <c r="O72" s="3261"/>
    </row>
    <row r="73" spans="1:15" s="2065" customFormat="1">
      <c r="A73" s="3265"/>
      <c r="B73" s="694" t="s">
        <v>24</v>
      </c>
      <c r="C73" s="3286" t="s">
        <v>183</v>
      </c>
      <c r="D73" s="1037">
        <f>+D74</f>
        <v>1462026</v>
      </c>
      <c r="E73" s="1037">
        <f t="shared" ref="E73:I73" si="53">+E74</f>
        <v>388354</v>
      </c>
      <c r="F73" s="1037">
        <f t="shared" si="53"/>
        <v>308672</v>
      </c>
      <c r="G73" s="1037">
        <f t="shared" si="53"/>
        <v>330000</v>
      </c>
      <c r="H73" s="1037">
        <f t="shared" si="53"/>
        <v>225000</v>
      </c>
      <c r="I73" s="1037">
        <f t="shared" si="53"/>
        <v>210000</v>
      </c>
      <c r="J73" s="1037"/>
      <c r="K73" s="1037"/>
      <c r="L73" s="1037"/>
      <c r="M73" s="753">
        <f>+M74</f>
        <v>1073672</v>
      </c>
      <c r="N73" s="753">
        <f>+N74</f>
        <v>765000</v>
      </c>
      <c r="O73" s="3261"/>
    </row>
    <row r="74" spans="1:15" s="2065" customFormat="1">
      <c r="A74" s="3265"/>
      <c r="B74" s="175" t="s">
        <v>13</v>
      </c>
      <c r="C74" s="3139"/>
      <c r="D74" s="251">
        <f>E74+F74+G74+H74+I74+J74+K74+L74</f>
        <v>1462026</v>
      </c>
      <c r="E74" s="1607">
        <v>388354</v>
      </c>
      <c r="F74" s="176">
        <f>330000-21328</f>
        <v>308672</v>
      </c>
      <c r="G74" s="176">
        <v>330000</v>
      </c>
      <c r="H74" s="176">
        <v>225000</v>
      </c>
      <c r="I74" s="176">
        <v>210000</v>
      </c>
      <c r="J74" s="176"/>
      <c r="K74" s="176"/>
      <c r="L74" s="176"/>
      <c r="M74" s="764">
        <f>SUM(F74:K74)</f>
        <v>1073672</v>
      </c>
      <c r="N74" s="764">
        <f>SUM(G74:L74)</f>
        <v>765000</v>
      </c>
      <c r="O74" s="3261"/>
    </row>
    <row r="75" spans="1:15" s="2065" customFormat="1" ht="12" customHeight="1">
      <c r="A75" s="3265"/>
      <c r="B75" s="754" t="s">
        <v>18</v>
      </c>
      <c r="C75" s="3139"/>
      <c r="D75" s="1038">
        <f>+D76</f>
        <v>8284816</v>
      </c>
      <c r="E75" s="1038">
        <f t="shared" ref="E75:I75" si="54">E76</f>
        <v>2200675</v>
      </c>
      <c r="F75" s="1038">
        <f t="shared" si="54"/>
        <v>1749141</v>
      </c>
      <c r="G75" s="1038">
        <f t="shared" si="54"/>
        <v>1870000</v>
      </c>
      <c r="H75" s="1038">
        <f t="shared" si="54"/>
        <v>1275000</v>
      </c>
      <c r="I75" s="1038">
        <f t="shared" si="54"/>
        <v>1190000</v>
      </c>
      <c r="J75" s="1038"/>
      <c r="K75" s="1038"/>
      <c r="L75" s="1038"/>
      <c r="M75" s="753">
        <f>+M76</f>
        <v>6084141</v>
      </c>
      <c r="N75" s="753">
        <f>+N76</f>
        <v>4335000</v>
      </c>
      <c r="O75" s="3261"/>
    </row>
    <row r="76" spans="1:15" s="2065" customFormat="1" ht="12" customHeight="1">
      <c r="A76" s="3265"/>
      <c r="B76" s="755" t="s">
        <v>21</v>
      </c>
      <c r="C76" s="3140"/>
      <c r="D76" s="251">
        <f>E76+F76+G76+H76+I76+J76+K76+L76</f>
        <v>8284816</v>
      </c>
      <c r="E76" s="1607">
        <v>2200675</v>
      </c>
      <c r="F76" s="138">
        <f>1870000-120859</f>
        <v>1749141</v>
      </c>
      <c r="G76" s="138">
        <v>1870000</v>
      </c>
      <c r="H76" s="138">
        <v>1275000</v>
      </c>
      <c r="I76" s="138">
        <v>1190000</v>
      </c>
      <c r="J76" s="138"/>
      <c r="K76" s="138"/>
      <c r="L76" s="138"/>
      <c r="M76" s="764">
        <f>SUM(F76:K76)</f>
        <v>6084141</v>
      </c>
      <c r="N76" s="764">
        <f>SUM(G76:L76)</f>
        <v>4335000</v>
      </c>
      <c r="O76" s="3261"/>
    </row>
    <row r="77" spans="1:15" s="2065" customFormat="1" ht="14.25" customHeight="1">
      <c r="A77" s="2933"/>
      <c r="B77" s="728" t="s">
        <v>22</v>
      </c>
      <c r="C77" s="756"/>
      <c r="D77" s="1035">
        <f>+D78+D80</f>
        <v>9746842</v>
      </c>
      <c r="E77" s="1035">
        <f t="shared" ref="E77" si="55">E78+E80</f>
        <v>2589029</v>
      </c>
      <c r="F77" s="1035">
        <f>F78+F80</f>
        <v>2057813</v>
      </c>
      <c r="G77" s="1035">
        <f>G78+G80</f>
        <v>2200000</v>
      </c>
      <c r="H77" s="729">
        <f>H78+H80</f>
        <v>1500000</v>
      </c>
      <c r="I77" s="1035">
        <f>I78+I80</f>
        <v>1400000</v>
      </c>
      <c r="J77" s="1035"/>
      <c r="K77" s="1035"/>
      <c r="L77" s="1035"/>
      <c r="M77" s="3258" t="s">
        <v>61</v>
      </c>
      <c r="N77" s="3258" t="s">
        <v>61</v>
      </c>
      <c r="O77" s="3261"/>
    </row>
    <row r="78" spans="1:15" s="2065" customFormat="1" ht="13.5" customHeight="1">
      <c r="A78" s="2933"/>
      <c r="B78" s="757" t="s">
        <v>24</v>
      </c>
      <c r="C78" s="3286" t="s">
        <v>183</v>
      </c>
      <c r="D78" s="1037">
        <f>+D79</f>
        <v>1462026</v>
      </c>
      <c r="E78" s="1037">
        <f t="shared" ref="E78:I78" si="56">E79</f>
        <v>388354</v>
      </c>
      <c r="F78" s="1037">
        <f t="shared" si="56"/>
        <v>308672</v>
      </c>
      <c r="G78" s="1037">
        <f t="shared" si="56"/>
        <v>330000</v>
      </c>
      <c r="H78" s="758">
        <f t="shared" si="56"/>
        <v>225000</v>
      </c>
      <c r="I78" s="1037">
        <f t="shared" si="56"/>
        <v>210000</v>
      </c>
      <c r="J78" s="1037"/>
      <c r="K78" s="1037"/>
      <c r="L78" s="1037"/>
      <c r="M78" s="3177"/>
      <c r="N78" s="3177"/>
      <c r="O78" s="3261"/>
    </row>
    <row r="79" spans="1:15" s="2065" customFormat="1" ht="13.5" customHeight="1">
      <c r="A79" s="2933"/>
      <c r="B79" s="179" t="s">
        <v>13</v>
      </c>
      <c r="C79" s="3139"/>
      <c r="D79" s="251">
        <f>E79+F79+G79+H79+I79+J79+K79+L79</f>
        <v>1462026</v>
      </c>
      <c r="E79" s="1607">
        <v>388354</v>
      </c>
      <c r="F79" s="736">
        <f>330000-21328</f>
        <v>308672</v>
      </c>
      <c r="G79" s="736">
        <v>330000</v>
      </c>
      <c r="H79" s="736">
        <v>225000</v>
      </c>
      <c r="I79" s="736">
        <v>210000</v>
      </c>
      <c r="J79" s="736"/>
      <c r="K79" s="736"/>
      <c r="L79" s="736"/>
      <c r="M79" s="3177"/>
      <c r="N79" s="3177"/>
      <c r="O79" s="3261"/>
    </row>
    <row r="80" spans="1:15" s="2065" customFormat="1">
      <c r="A80" s="2933"/>
      <c r="B80" s="759" t="s">
        <v>18</v>
      </c>
      <c r="C80" s="3139"/>
      <c r="D80" s="1038">
        <f>+D81</f>
        <v>8284816</v>
      </c>
      <c r="E80" s="1038">
        <f t="shared" ref="E80:I80" si="57">E81</f>
        <v>2200675</v>
      </c>
      <c r="F80" s="1038">
        <f t="shared" si="57"/>
        <v>1749141</v>
      </c>
      <c r="G80" s="1038">
        <f t="shared" si="57"/>
        <v>1870000</v>
      </c>
      <c r="H80" s="739">
        <f t="shared" si="57"/>
        <v>1275000</v>
      </c>
      <c r="I80" s="1038">
        <f t="shared" si="57"/>
        <v>1190000</v>
      </c>
      <c r="J80" s="1038"/>
      <c r="K80" s="1038"/>
      <c r="L80" s="1038"/>
      <c r="M80" s="3177"/>
      <c r="N80" s="3177"/>
      <c r="O80" s="3261"/>
    </row>
    <row r="81" spans="1:18" s="2065" customFormat="1" ht="12" customHeight="1" thickBot="1">
      <c r="A81" s="2934"/>
      <c r="B81" s="368" t="s">
        <v>21</v>
      </c>
      <c r="C81" s="3267"/>
      <c r="D81" s="251">
        <f>E81+F81+G81+H81+I81+J81+K81+L81</f>
        <v>8284816</v>
      </c>
      <c r="E81" s="1607">
        <v>2200675</v>
      </c>
      <c r="F81" s="723">
        <f>1870000-120859</f>
        <v>1749141</v>
      </c>
      <c r="G81" s="723">
        <v>1870000</v>
      </c>
      <c r="H81" s="723">
        <v>1275000</v>
      </c>
      <c r="I81" s="723">
        <v>1190000</v>
      </c>
      <c r="J81" s="723"/>
      <c r="K81" s="723"/>
      <c r="L81" s="723"/>
      <c r="M81" s="3178"/>
      <c r="N81" s="3178"/>
      <c r="O81" s="3262"/>
    </row>
    <row r="82" spans="1:18" s="2065" customFormat="1" ht="43.5" customHeight="1">
      <c r="A82" s="3264" t="s">
        <v>67</v>
      </c>
      <c r="B82" s="172" t="s">
        <v>289</v>
      </c>
      <c r="C82" s="173" t="s">
        <v>81</v>
      </c>
      <c r="D82" s="189"/>
      <c r="E82" s="408"/>
      <c r="F82" s="188"/>
      <c r="G82" s="188"/>
      <c r="H82" s="188"/>
      <c r="I82" s="188"/>
      <c r="J82" s="188"/>
      <c r="K82" s="188"/>
      <c r="L82" s="263"/>
      <c r="M82" s="359"/>
      <c r="N82" s="359"/>
      <c r="O82" s="3260" t="s">
        <v>301</v>
      </c>
    </row>
    <row r="83" spans="1:18" s="2065" customFormat="1" ht="12" customHeight="1">
      <c r="A83" s="3265"/>
      <c r="B83" s="21" t="s">
        <v>10</v>
      </c>
      <c r="C83" s="1707"/>
      <c r="D83" s="441">
        <f>+D84+D86</f>
        <v>44438</v>
      </c>
      <c r="E83" s="441">
        <f t="shared" ref="E83" si="58">+E84+E86</f>
        <v>38038</v>
      </c>
      <c r="F83" s="441">
        <f>+F84+F86</f>
        <v>6400</v>
      </c>
      <c r="G83" s="441">
        <f>+G84+G86</f>
        <v>0</v>
      </c>
      <c r="H83" s="441">
        <f>+H84+H86</f>
        <v>0</v>
      </c>
      <c r="I83" s="441">
        <f>+I84+I86</f>
        <v>0</v>
      </c>
      <c r="J83" s="441"/>
      <c r="K83" s="441"/>
      <c r="L83" s="441"/>
      <c r="M83" s="1609">
        <f>M84+M86</f>
        <v>6400</v>
      </c>
      <c r="N83" s="1609">
        <f>N84+N86</f>
        <v>0</v>
      </c>
      <c r="O83" s="3261"/>
    </row>
    <row r="84" spans="1:18" s="2065" customFormat="1" ht="12" customHeight="1">
      <c r="A84" s="3265"/>
      <c r="B84" s="174" t="s">
        <v>24</v>
      </c>
      <c r="C84" s="3291" t="s">
        <v>183</v>
      </c>
      <c r="D84" s="442">
        <f>+D85</f>
        <v>6666</v>
      </c>
      <c r="E84" s="442">
        <f t="shared" ref="E84:I84" si="59">+E85</f>
        <v>5706</v>
      </c>
      <c r="F84" s="442">
        <f t="shared" si="59"/>
        <v>960</v>
      </c>
      <c r="G84" s="442">
        <f t="shared" si="59"/>
        <v>0</v>
      </c>
      <c r="H84" s="442">
        <f t="shared" si="59"/>
        <v>0</v>
      </c>
      <c r="I84" s="442">
        <f t="shared" si="59"/>
        <v>0</v>
      </c>
      <c r="J84" s="442"/>
      <c r="K84" s="442"/>
      <c r="L84" s="442"/>
      <c r="M84" s="1610">
        <f>+M85</f>
        <v>960</v>
      </c>
      <c r="N84" s="1610">
        <f>+N85</f>
        <v>0</v>
      </c>
      <c r="O84" s="3261"/>
    </row>
    <row r="85" spans="1:18" s="2065" customFormat="1" ht="12" customHeight="1">
      <c r="A85" s="3265"/>
      <c r="B85" s="175" t="s">
        <v>13</v>
      </c>
      <c r="C85" s="3139"/>
      <c r="D85" s="251">
        <f>E85+F85+G85+H85+I85+J85+K85+L85</f>
        <v>6666</v>
      </c>
      <c r="E85" s="1607">
        <v>5706</v>
      </c>
      <c r="F85" s="176">
        <v>960</v>
      </c>
      <c r="G85" s="176">
        <v>0</v>
      </c>
      <c r="H85" s="176">
        <v>0</v>
      </c>
      <c r="I85" s="176">
        <v>0</v>
      </c>
      <c r="J85" s="176"/>
      <c r="K85" s="176"/>
      <c r="L85" s="176"/>
      <c r="M85" s="764">
        <f>SUM(F85:K85)</f>
        <v>960</v>
      </c>
      <c r="N85" s="764">
        <f>SUM(G85:L85)</f>
        <v>0</v>
      </c>
      <c r="O85" s="3261"/>
    </row>
    <row r="86" spans="1:18" s="2065" customFormat="1" ht="12" customHeight="1">
      <c r="A86" s="3265"/>
      <c r="B86" s="84" t="s">
        <v>18</v>
      </c>
      <c r="C86" s="3139"/>
      <c r="D86" s="443">
        <f>D87</f>
        <v>37772</v>
      </c>
      <c r="E86" s="443">
        <f t="shared" ref="E86:I86" si="60">E87</f>
        <v>32332</v>
      </c>
      <c r="F86" s="443">
        <f t="shared" si="60"/>
        <v>5440</v>
      </c>
      <c r="G86" s="443">
        <f t="shared" si="60"/>
        <v>0</v>
      </c>
      <c r="H86" s="443">
        <f t="shared" si="60"/>
        <v>0</v>
      </c>
      <c r="I86" s="443">
        <f t="shared" si="60"/>
        <v>0</v>
      </c>
      <c r="J86" s="443"/>
      <c r="K86" s="443"/>
      <c r="L86" s="443"/>
      <c r="M86" s="1610">
        <f>+M87</f>
        <v>5440</v>
      </c>
      <c r="N86" s="1610">
        <f>+N87</f>
        <v>0</v>
      </c>
      <c r="O86" s="3261"/>
    </row>
    <row r="87" spans="1:18" s="2065" customFormat="1" ht="12" customHeight="1">
      <c r="A87" s="3265"/>
      <c r="B87" s="1708" t="s">
        <v>21</v>
      </c>
      <c r="C87" s="3140"/>
      <c r="D87" s="251">
        <f>E87+F87+G87+H87+I87+J87+K87+L87</f>
        <v>37772</v>
      </c>
      <c r="E87" s="1607">
        <v>32332</v>
      </c>
      <c r="F87" s="138">
        <v>5440</v>
      </c>
      <c r="G87" s="138">
        <v>0</v>
      </c>
      <c r="H87" s="138">
        <v>0</v>
      </c>
      <c r="I87" s="138">
        <v>0</v>
      </c>
      <c r="J87" s="138"/>
      <c r="K87" s="138"/>
      <c r="L87" s="138"/>
      <c r="M87" s="764">
        <f>SUM(F87:K87)</f>
        <v>5440</v>
      </c>
      <c r="N87" s="764">
        <f>SUM(G87:L87)</f>
        <v>0</v>
      </c>
      <c r="O87" s="3261"/>
    </row>
    <row r="88" spans="1:18" s="2065" customFormat="1" ht="12" customHeight="1">
      <c r="A88" s="2933"/>
      <c r="B88" s="21" t="s">
        <v>22</v>
      </c>
      <c r="C88" s="1709"/>
      <c r="D88" s="441">
        <f>D89+D91</f>
        <v>44438</v>
      </c>
      <c r="E88" s="441">
        <f t="shared" ref="E88" si="61">E89+E91</f>
        <v>38038</v>
      </c>
      <c r="F88" s="441">
        <f>F89+F91</f>
        <v>6400</v>
      </c>
      <c r="G88" s="441">
        <f>G89+G91</f>
        <v>0</v>
      </c>
      <c r="H88" s="441">
        <f>H89+H91</f>
        <v>0</v>
      </c>
      <c r="I88" s="441">
        <f>I89+I91</f>
        <v>0</v>
      </c>
      <c r="J88" s="441"/>
      <c r="K88" s="441"/>
      <c r="L88" s="441"/>
      <c r="M88" s="3259" t="s">
        <v>61</v>
      </c>
      <c r="N88" s="3259" t="s">
        <v>61</v>
      </c>
      <c r="O88" s="3261"/>
    </row>
    <row r="89" spans="1:18" s="2065" customFormat="1" ht="12" customHeight="1">
      <c r="A89" s="2933"/>
      <c r="B89" s="1710" t="s">
        <v>24</v>
      </c>
      <c r="C89" s="3291" t="s">
        <v>183</v>
      </c>
      <c r="D89" s="442">
        <f>D90</f>
        <v>6666</v>
      </c>
      <c r="E89" s="442">
        <f t="shared" ref="E89:I89" si="62">E90</f>
        <v>5706</v>
      </c>
      <c r="F89" s="442">
        <f t="shared" si="62"/>
        <v>960</v>
      </c>
      <c r="G89" s="442">
        <f t="shared" si="62"/>
        <v>0</v>
      </c>
      <c r="H89" s="442">
        <f t="shared" si="62"/>
        <v>0</v>
      </c>
      <c r="I89" s="442">
        <f t="shared" si="62"/>
        <v>0</v>
      </c>
      <c r="J89" s="442"/>
      <c r="K89" s="442"/>
      <c r="L89" s="442"/>
      <c r="M89" s="3177"/>
      <c r="N89" s="3177"/>
      <c r="O89" s="3261"/>
    </row>
    <row r="90" spans="1:18" s="2065" customFormat="1" ht="12" customHeight="1">
      <c r="A90" s="2933"/>
      <c r="B90" s="179" t="s">
        <v>13</v>
      </c>
      <c r="C90" s="3139"/>
      <c r="D90" s="251">
        <f>E90+F90+G90+H90+I90+J90+K90+L90</f>
        <v>6666</v>
      </c>
      <c r="E90" s="1607">
        <v>5706</v>
      </c>
      <c r="F90" s="423">
        <v>960</v>
      </c>
      <c r="G90" s="423">
        <v>0</v>
      </c>
      <c r="H90" s="233">
        <v>0</v>
      </c>
      <c r="I90" s="233">
        <v>0</v>
      </c>
      <c r="J90" s="233"/>
      <c r="K90" s="233"/>
      <c r="L90" s="233"/>
      <c r="M90" s="3177"/>
      <c r="N90" s="3177"/>
      <c r="O90" s="3261"/>
    </row>
    <row r="91" spans="1:18" s="2065" customFormat="1" ht="12" customHeight="1">
      <c r="A91" s="2933"/>
      <c r="B91" s="1711" t="s">
        <v>18</v>
      </c>
      <c r="C91" s="3139"/>
      <c r="D91" s="443">
        <f>D92</f>
        <v>37772</v>
      </c>
      <c r="E91" s="443">
        <f t="shared" ref="E91:I91" si="63">E92</f>
        <v>32332</v>
      </c>
      <c r="F91" s="443">
        <f t="shared" si="63"/>
        <v>5440</v>
      </c>
      <c r="G91" s="443">
        <f t="shared" si="63"/>
        <v>0</v>
      </c>
      <c r="H91" s="443">
        <f t="shared" si="63"/>
        <v>0</v>
      </c>
      <c r="I91" s="443">
        <f t="shared" si="63"/>
        <v>0</v>
      </c>
      <c r="J91" s="443"/>
      <c r="K91" s="443"/>
      <c r="L91" s="443"/>
      <c r="M91" s="3177"/>
      <c r="N91" s="3177"/>
      <c r="O91" s="3261"/>
    </row>
    <row r="92" spans="1:18" s="2065" customFormat="1" ht="12" customHeight="1" thickBot="1">
      <c r="A92" s="2934"/>
      <c r="B92" s="368" t="s">
        <v>21</v>
      </c>
      <c r="C92" s="3267"/>
      <c r="D92" s="251">
        <f>E92+F92+G92+H92+I92+J92+K92+L92</f>
        <v>37772</v>
      </c>
      <c r="E92" s="1607">
        <v>32332</v>
      </c>
      <c r="F92" s="180">
        <v>5440</v>
      </c>
      <c r="G92" s="180">
        <v>0</v>
      </c>
      <c r="H92" s="116">
        <v>0</v>
      </c>
      <c r="I92" s="116">
        <v>0</v>
      </c>
      <c r="J92" s="116"/>
      <c r="K92" s="116"/>
      <c r="L92" s="116"/>
      <c r="M92" s="3178"/>
      <c r="N92" s="3178"/>
      <c r="O92" s="3262"/>
    </row>
    <row r="93" spans="1:18" s="353" customFormat="1" ht="22.5">
      <c r="A93" s="3264" t="s">
        <v>115</v>
      </c>
      <c r="B93" s="172" t="s">
        <v>235</v>
      </c>
      <c r="C93" s="173" t="s">
        <v>109</v>
      </c>
      <c r="D93" s="408"/>
      <c r="E93" s="408"/>
      <c r="F93" s="408"/>
      <c r="G93" s="408"/>
      <c r="H93" s="408"/>
      <c r="I93" s="408"/>
      <c r="J93" s="408"/>
      <c r="K93" s="408"/>
      <c r="L93" s="408">
        <f>+L96+L105</f>
        <v>25291435</v>
      </c>
      <c r="M93" s="408"/>
      <c r="N93" s="408"/>
      <c r="O93" s="3255" t="s">
        <v>367</v>
      </c>
      <c r="P93" s="1556" t="s">
        <v>372</v>
      </c>
      <c r="Q93" s="1557" t="s">
        <v>373</v>
      </c>
      <c r="R93" s="358"/>
    </row>
    <row r="94" spans="1:18" s="353" customFormat="1" ht="15.75" customHeight="1">
      <c r="A94" s="3265"/>
      <c r="B94" s="728" t="s">
        <v>10</v>
      </c>
      <c r="C94" s="1980"/>
      <c r="D94" s="1981">
        <f>+D105+D95</f>
        <v>219191165</v>
      </c>
      <c r="E94" s="1981">
        <f t="shared" ref="E94" si="64">+E105+E95</f>
        <v>24338842</v>
      </c>
      <c r="F94" s="1981">
        <f t="shared" ref="F94:I94" si="65">+F105+F95</f>
        <v>29475497</v>
      </c>
      <c r="G94" s="1981">
        <f t="shared" si="65"/>
        <v>31713995</v>
      </c>
      <c r="H94" s="1981">
        <f t="shared" si="65"/>
        <v>28051487</v>
      </c>
      <c r="I94" s="1981">
        <f t="shared" si="65"/>
        <v>27658726</v>
      </c>
      <c r="J94" s="1981">
        <f>+J105+J95</f>
        <v>27051278</v>
      </c>
      <c r="K94" s="1981">
        <f>+K105+K95</f>
        <v>25545887</v>
      </c>
      <c r="L94" s="1981">
        <f>+L105+L95</f>
        <v>25355453</v>
      </c>
      <c r="M94" s="1982">
        <f>+M105+M95</f>
        <v>194093625</v>
      </c>
      <c r="N94" s="1982">
        <f>+N105+N95</f>
        <v>164926246</v>
      </c>
      <c r="O94" s="3256"/>
      <c r="P94" s="1559">
        <f>+P95+P105</f>
        <v>24456849</v>
      </c>
      <c r="Q94" s="1559"/>
    </row>
    <row r="95" spans="1:18" s="341" customFormat="1" ht="15.75" customHeight="1">
      <c r="A95" s="3265"/>
      <c r="B95" s="694" t="s">
        <v>24</v>
      </c>
      <c r="C95" s="3268" t="s">
        <v>365</v>
      </c>
      <c r="D95" s="1983">
        <f>D96+D102</f>
        <v>35856764</v>
      </c>
      <c r="E95" s="1983">
        <f t="shared" ref="E95" si="66">E96+E102</f>
        <v>4452085</v>
      </c>
      <c r="F95" s="1983">
        <f t="shared" ref="F95:I95" si="67">F96+F102</f>
        <v>5203921</v>
      </c>
      <c r="G95" s="1983">
        <f t="shared" si="67"/>
        <v>5252020</v>
      </c>
      <c r="H95" s="1983">
        <f t="shared" si="67"/>
        <v>4897375</v>
      </c>
      <c r="I95" s="1983">
        <f t="shared" si="67"/>
        <v>4986261</v>
      </c>
      <c r="J95" s="1983">
        <f>J96+J102</f>
        <v>4898600</v>
      </c>
      <c r="K95" s="1983">
        <f>K96+K102</f>
        <v>3052528</v>
      </c>
      <c r="L95" s="1983">
        <f>L96+L102</f>
        <v>3113974</v>
      </c>
      <c r="M95" s="1984">
        <f>M96+M102</f>
        <v>30645981</v>
      </c>
      <c r="N95" s="1984">
        <f>N96+N102</f>
        <v>25750178</v>
      </c>
      <c r="O95" s="3256"/>
      <c r="P95" s="1561">
        <f>+P96+P102</f>
        <v>2983757</v>
      </c>
      <c r="Q95" s="1561"/>
    </row>
    <row r="96" spans="1:18" s="353" customFormat="1" ht="12.75" customHeight="1">
      <c r="A96" s="3265"/>
      <c r="B96" s="175" t="s">
        <v>12</v>
      </c>
      <c r="C96" s="3139"/>
      <c r="D96" s="1926">
        <f t="shared" ref="D96:D104" si="68">E96+F96+G96+H96+I96+J96+K96+L96</f>
        <v>34742063</v>
      </c>
      <c r="E96" s="1985">
        <f t="shared" ref="E96:L96" si="69">+E98+E99+E100+E101</f>
        <v>4096082</v>
      </c>
      <c r="F96" s="1985">
        <f t="shared" si="69"/>
        <v>4895803</v>
      </c>
      <c r="G96" s="1985">
        <f t="shared" si="69"/>
        <v>5159196</v>
      </c>
      <c r="H96" s="1985">
        <f t="shared" si="69"/>
        <v>4809139</v>
      </c>
      <c r="I96" s="1985">
        <f t="shared" si="69"/>
        <v>4908796</v>
      </c>
      <c r="J96" s="1985">
        <f t="shared" si="69"/>
        <v>4834581</v>
      </c>
      <c r="K96" s="1985">
        <f t="shared" si="69"/>
        <v>2988510</v>
      </c>
      <c r="L96" s="1985">
        <f t="shared" si="69"/>
        <v>3049956</v>
      </c>
      <c r="M96" s="764">
        <f>SUM(F96:L96)</f>
        <v>30645981</v>
      </c>
      <c r="N96" s="764">
        <f>SUM(G96:L96)</f>
        <v>25750178</v>
      </c>
      <c r="O96" s="3256"/>
      <c r="P96" s="1558">
        <v>2627754</v>
      </c>
      <c r="Q96" s="1558"/>
    </row>
    <row r="97" spans="1:20" s="353" customFormat="1" ht="12.75" hidden="1" customHeight="1">
      <c r="A97" s="3265"/>
      <c r="B97" s="1608" t="s">
        <v>150</v>
      </c>
      <c r="C97" s="3139"/>
      <c r="D97" s="1926">
        <f t="shared" si="68"/>
        <v>0</v>
      </c>
      <c r="E97" s="1986"/>
      <c r="F97" s="1986"/>
      <c r="G97" s="1986"/>
      <c r="H97" s="1986"/>
      <c r="I97" s="1986"/>
      <c r="J97" s="1986"/>
      <c r="K97" s="1986"/>
      <c r="L97" s="1986"/>
      <c r="M97" s="1987"/>
      <c r="N97" s="1987"/>
      <c r="O97" s="3256"/>
      <c r="P97" s="1558"/>
      <c r="Q97" s="1558"/>
    </row>
    <row r="98" spans="1:20" s="353" customFormat="1" ht="12.75" hidden="1" customHeight="1">
      <c r="A98" s="3265"/>
      <c r="B98" s="457" t="s">
        <v>151</v>
      </c>
      <c r="C98" s="3139"/>
      <c r="D98" s="1926">
        <f t="shared" si="68"/>
        <v>5884865</v>
      </c>
      <c r="E98" s="1988">
        <v>2627754</v>
      </c>
      <c r="F98" s="1988">
        <f>9433+186725+10304+744248+897699+783429+5728+241266+25883+352396</f>
        <v>3257111</v>
      </c>
      <c r="G98" s="1988"/>
      <c r="H98" s="1988"/>
      <c r="I98" s="1988">
        <f>152659-152659</f>
        <v>0</v>
      </c>
      <c r="J98" s="1988"/>
      <c r="K98" s="1988"/>
      <c r="L98" s="1988"/>
      <c r="M98" s="1489">
        <f t="shared" ref="M98:N101" si="70">+F98+G98+H98+I98+J98+K98</f>
        <v>3257111</v>
      </c>
      <c r="N98" s="1489">
        <f t="shared" si="70"/>
        <v>0</v>
      </c>
      <c r="O98" s="3256"/>
      <c r="P98" s="1558"/>
      <c r="Q98" s="1558"/>
    </row>
    <row r="99" spans="1:20" s="353" customFormat="1" ht="12.75" hidden="1" customHeight="1">
      <c r="A99" s="3265"/>
      <c r="B99" s="1667" t="s">
        <v>152</v>
      </c>
      <c r="C99" s="3139"/>
      <c r="D99" s="1926">
        <f t="shared" si="68"/>
        <v>0</v>
      </c>
      <c r="E99" s="1989"/>
      <c r="F99" s="1989"/>
      <c r="G99" s="1989"/>
      <c r="H99" s="1989"/>
      <c r="I99" s="1989"/>
      <c r="J99" s="1989"/>
      <c r="K99" s="1989"/>
      <c r="L99" s="1989"/>
      <c r="M99" s="1489">
        <f t="shared" si="70"/>
        <v>0</v>
      </c>
      <c r="N99" s="1489">
        <f t="shared" si="70"/>
        <v>0</v>
      </c>
      <c r="O99" s="3256"/>
      <c r="P99" s="1558"/>
      <c r="Q99" s="1558"/>
    </row>
    <row r="100" spans="1:20" s="353" customFormat="1" ht="12.75" hidden="1" customHeight="1">
      <c r="A100" s="3265"/>
      <c r="B100" s="1670" t="s">
        <v>153</v>
      </c>
      <c r="C100" s="3139"/>
      <c r="D100" s="1926">
        <f t="shared" si="68"/>
        <v>28857198</v>
      </c>
      <c r="E100" s="1990">
        <f>12575+1455753</f>
        <v>1468328</v>
      </c>
      <c r="F100" s="2690">
        <f>868747+1301922+95728+2022114+18844+588448-9433-186725-10304-744248-897699-783429-5728-241266-25883-352396</f>
        <v>1638692</v>
      </c>
      <c r="G100" s="1485">
        <f>886122+1327960+97643+2062557+784914</f>
        <v>5159196</v>
      </c>
      <c r="H100" s="1485">
        <f>903845+1354520+99595+2103807+347372</f>
        <v>4809139</v>
      </c>
      <c r="I100" s="1485">
        <f>921922+1381610+101587+2145884+357793</f>
        <v>4908796</v>
      </c>
      <c r="J100" s="1485">
        <f>4642023+192558</f>
        <v>4834581</v>
      </c>
      <c r="K100" s="1485">
        <f>2551196+450141-14983+2156</f>
        <v>2988510</v>
      </c>
      <c r="L100" s="1485">
        <f>2645893+416877-14984+2157+13</f>
        <v>3049956</v>
      </c>
      <c r="M100" s="1489">
        <f t="shared" si="70"/>
        <v>24338914</v>
      </c>
      <c r="N100" s="1489">
        <f t="shared" si="70"/>
        <v>25750178</v>
      </c>
      <c r="O100" s="3256"/>
      <c r="P100" s="1558"/>
      <c r="Q100" s="1558"/>
    </row>
    <row r="101" spans="1:20" s="353" customFormat="1" ht="12.75" hidden="1" customHeight="1">
      <c r="A101" s="3265"/>
      <c r="B101" s="458" t="s">
        <v>154</v>
      </c>
      <c r="C101" s="3139"/>
      <c r="D101" s="1926">
        <f t="shared" si="68"/>
        <v>0</v>
      </c>
      <c r="E101" s="1991"/>
      <c r="F101" s="1991"/>
      <c r="G101" s="1991"/>
      <c r="H101" s="1991"/>
      <c r="I101" s="1991"/>
      <c r="J101" s="1991"/>
      <c r="K101" s="1991"/>
      <c r="L101" s="1991"/>
      <c r="M101" s="1489">
        <f t="shared" si="70"/>
        <v>0</v>
      </c>
      <c r="N101" s="1489">
        <f t="shared" si="70"/>
        <v>0</v>
      </c>
      <c r="O101" s="3256"/>
      <c r="P101" s="1558"/>
      <c r="Q101" s="1558"/>
    </row>
    <row r="102" spans="1:20" s="353" customFormat="1">
      <c r="A102" s="3265"/>
      <c r="B102" s="1992" t="s">
        <v>32</v>
      </c>
      <c r="C102" s="3139"/>
      <c r="D102" s="1926">
        <f t="shared" si="68"/>
        <v>1114701</v>
      </c>
      <c r="E102" s="1985">
        <f t="shared" ref="E102:L102" si="71">SUM(E103:E104)</f>
        <v>356003</v>
      </c>
      <c r="F102" s="1985">
        <f t="shared" si="71"/>
        <v>308118</v>
      </c>
      <c r="G102" s="1985">
        <f t="shared" si="71"/>
        <v>92824</v>
      </c>
      <c r="H102" s="1985">
        <f t="shared" si="71"/>
        <v>88236</v>
      </c>
      <c r="I102" s="1985">
        <f t="shared" si="71"/>
        <v>77465</v>
      </c>
      <c r="J102" s="1985">
        <f t="shared" si="71"/>
        <v>64019</v>
      </c>
      <c r="K102" s="1985">
        <f t="shared" si="71"/>
        <v>64018</v>
      </c>
      <c r="L102" s="1985">
        <f t="shared" si="71"/>
        <v>64018</v>
      </c>
      <c r="M102" s="1993">
        <f>M103+M104</f>
        <v>0</v>
      </c>
      <c r="N102" s="1993">
        <f>N103+N104</f>
        <v>0</v>
      </c>
      <c r="O102" s="3256"/>
      <c r="P102" s="1558">
        <v>356003</v>
      </c>
      <c r="Q102" s="1558"/>
    </row>
    <row r="103" spans="1:20" s="353" customFormat="1" ht="12.75" hidden="1" customHeight="1">
      <c r="A103" s="3265"/>
      <c r="B103" s="1669" t="s">
        <v>222</v>
      </c>
      <c r="C103" s="3139"/>
      <c r="D103" s="1926">
        <f t="shared" si="68"/>
        <v>576047</v>
      </c>
      <c r="E103" s="1994">
        <v>51728</v>
      </c>
      <c r="F103" s="1486">
        <f>70632+15201+19134+6435-3544-34119</f>
        <v>73739</v>
      </c>
      <c r="G103" s="1487">
        <f>70167+14504+8153</f>
        <v>92824</v>
      </c>
      <c r="H103" s="1487">
        <f>64019+3544+20673</f>
        <v>88236</v>
      </c>
      <c r="I103" s="1487">
        <f>64019+13446</f>
        <v>77465</v>
      </c>
      <c r="J103" s="1487">
        <v>64019</v>
      </c>
      <c r="K103" s="1487">
        <v>64018</v>
      </c>
      <c r="L103" s="1487">
        <v>64018</v>
      </c>
      <c r="M103" s="1995">
        <v>0</v>
      </c>
      <c r="N103" s="1995">
        <v>0</v>
      </c>
      <c r="O103" s="3256"/>
      <c r="P103" s="1558"/>
      <c r="Q103" s="1558"/>
    </row>
    <row r="104" spans="1:20" s="353" customFormat="1" ht="12.75" hidden="1" customHeight="1">
      <c r="A104" s="3265"/>
      <c r="B104" s="1669" t="s">
        <v>223</v>
      </c>
      <c r="C104" s="3139"/>
      <c r="D104" s="1926">
        <f t="shared" si="68"/>
        <v>538654</v>
      </c>
      <c r="E104" s="1994">
        <v>304275</v>
      </c>
      <c r="F104" s="1486">
        <f>390656-525+1+195845-377239+29967-4313-13</f>
        <v>234379</v>
      </c>
      <c r="G104" s="1487">
        <f>441506+300-2-441804</f>
        <v>0</v>
      </c>
      <c r="H104" s="1487">
        <f>406479-406479</f>
        <v>0</v>
      </c>
      <c r="I104" s="1487">
        <f>406478-406478</f>
        <v>0</v>
      </c>
      <c r="J104" s="1487">
        <f>406478-406478</f>
        <v>0</v>
      </c>
      <c r="K104" s="1487">
        <f>406479-406479</f>
        <v>0</v>
      </c>
      <c r="L104" s="1487">
        <f>406479-406479</f>
        <v>0</v>
      </c>
      <c r="M104" s="1995">
        <v>0</v>
      </c>
      <c r="N104" s="1995">
        <v>0</v>
      </c>
      <c r="O104" s="3256"/>
      <c r="P104" s="1558"/>
      <c r="Q104" s="1558"/>
    </row>
    <row r="105" spans="1:20" s="353" customFormat="1" ht="12.75" customHeight="1">
      <c r="A105" s="3265"/>
      <c r="B105" s="754" t="s">
        <v>18</v>
      </c>
      <c r="C105" s="3139"/>
      <c r="D105" s="1970">
        <f>+D106</f>
        <v>183334401</v>
      </c>
      <c r="E105" s="1970">
        <f>+E106</f>
        <v>19886757</v>
      </c>
      <c r="F105" s="1970">
        <f>+F106</f>
        <v>24271576</v>
      </c>
      <c r="G105" s="1996">
        <f t="shared" ref="G105:N105" si="72">+G106</f>
        <v>26461975</v>
      </c>
      <c r="H105" s="1996">
        <f t="shared" si="72"/>
        <v>23154112</v>
      </c>
      <c r="I105" s="1996">
        <f t="shared" si="72"/>
        <v>22672465</v>
      </c>
      <c r="J105" s="1996">
        <f t="shared" si="72"/>
        <v>22152678</v>
      </c>
      <c r="K105" s="1996">
        <f t="shared" si="72"/>
        <v>22493359</v>
      </c>
      <c r="L105" s="1996">
        <f t="shared" si="72"/>
        <v>22241479</v>
      </c>
      <c r="M105" s="1987">
        <f t="shared" si="72"/>
        <v>163447644</v>
      </c>
      <c r="N105" s="1987">
        <f t="shared" si="72"/>
        <v>139176068</v>
      </c>
      <c r="O105" s="3256"/>
      <c r="P105" s="1561">
        <f>+P106</f>
        <v>21473092</v>
      </c>
      <c r="Q105" s="1561"/>
    </row>
    <row r="106" spans="1:20" s="2065" customFormat="1" ht="13.5" thickBot="1">
      <c r="A106" s="3265"/>
      <c r="B106" s="1608" t="s">
        <v>21</v>
      </c>
      <c r="C106" s="3140"/>
      <c r="D106" s="1997">
        <f>E106+F106+G106+H106+I106+J106+K106+L106</f>
        <v>183334401</v>
      </c>
      <c r="E106" s="1985">
        <f>+E108+E109+E110+E111+E112+E113+E114</f>
        <v>19886757</v>
      </c>
      <c r="F106" s="1985">
        <f t="shared" ref="F106:L106" si="73">+F108+F109+F110+F111+F112+F113+F114</f>
        <v>24271576</v>
      </c>
      <c r="G106" s="1985">
        <f t="shared" si="73"/>
        <v>26461975</v>
      </c>
      <c r="H106" s="1985">
        <f t="shared" si="73"/>
        <v>23154112</v>
      </c>
      <c r="I106" s="1985">
        <f t="shared" si="73"/>
        <v>22672465</v>
      </c>
      <c r="J106" s="1985">
        <f t="shared" si="73"/>
        <v>22152678</v>
      </c>
      <c r="K106" s="1985">
        <f t="shared" si="73"/>
        <v>22493359</v>
      </c>
      <c r="L106" s="1985">
        <f t="shared" si="73"/>
        <v>22241479</v>
      </c>
      <c r="M106" s="764">
        <f>SUM(F106:L106)</f>
        <v>163447644</v>
      </c>
      <c r="N106" s="764">
        <f>SUM(G106:L106)</f>
        <v>139176068</v>
      </c>
      <c r="O106" s="3256"/>
      <c r="P106" s="1558">
        <v>21473092</v>
      </c>
      <c r="Q106" s="1558"/>
      <c r="T106" s="373"/>
    </row>
    <row r="107" spans="1:20" s="2065" customFormat="1" ht="15.75" hidden="1" customHeight="1">
      <c r="A107" s="3265"/>
      <c r="B107" s="1608" t="s">
        <v>150</v>
      </c>
      <c r="C107" s="1998"/>
      <c r="D107" s="1977"/>
      <c r="E107" s="1968"/>
      <c r="F107" s="1972"/>
      <c r="G107" s="1972"/>
      <c r="H107" s="1972"/>
      <c r="I107" s="1972"/>
      <c r="J107" s="1972"/>
      <c r="K107" s="1972"/>
      <c r="L107" s="1972"/>
      <c r="M107" s="1999"/>
      <c r="N107" s="1999"/>
      <c r="O107" s="3256"/>
      <c r="P107" s="1558"/>
      <c r="Q107" s="1560"/>
      <c r="T107" s="183"/>
    </row>
    <row r="108" spans="1:20" s="2065" customFormat="1" ht="12.75" hidden="1" customHeight="1">
      <c r="A108" s="3265"/>
      <c r="B108" s="457" t="s">
        <v>151</v>
      </c>
      <c r="C108" s="378"/>
      <c r="D108" s="1926">
        <f t="shared" ref="D108:D114" si="74">E108+F108+G108+H108+I108+J108+K108+L108</f>
        <v>33727170</v>
      </c>
      <c r="E108" s="1488">
        <f>6418+10696707</f>
        <v>10703125</v>
      </c>
      <c r="F108" s="1475">
        <f>2407721+10000000-9866168-241553+53444+1058102+58380+2400014-50000+1938307+1976201-349079+32463+337289+146679+936304</f>
        <v>10838104</v>
      </c>
      <c r="G108" s="1475">
        <f>2407721-107721+610000</f>
        <v>2910000</v>
      </c>
      <c r="H108" s="1475">
        <f>1820395+620000-140395+15000</f>
        <v>2315000</v>
      </c>
      <c r="I108" s="1475">
        <f>1820395+865067-985462+326000</f>
        <v>2026000</v>
      </c>
      <c r="J108" s="1475">
        <f>1820395-120395</f>
        <v>1700000</v>
      </c>
      <c r="K108" s="1475">
        <f>1820395-120395</f>
        <v>1700000</v>
      </c>
      <c r="L108" s="1475">
        <f>1820391-285524+74</f>
        <v>1534941</v>
      </c>
      <c r="M108" s="1489">
        <f t="shared" ref="M108:N114" si="75">+F108+G108+H108+I108+J108+K108</f>
        <v>21489104</v>
      </c>
      <c r="N108" s="1489">
        <f t="shared" si="75"/>
        <v>12185941</v>
      </c>
      <c r="O108" s="3256"/>
      <c r="P108" s="1558"/>
      <c r="Q108" s="1562"/>
      <c r="T108" s="183"/>
    </row>
    <row r="109" spans="1:20" s="2065" customFormat="1" ht="12.75" hidden="1" customHeight="1">
      <c r="A109" s="3265"/>
      <c r="B109" s="1667" t="s">
        <v>152</v>
      </c>
      <c r="C109" s="2000"/>
      <c r="D109" s="1926">
        <f t="shared" si="74"/>
        <v>17375040</v>
      </c>
      <c r="E109" s="1989">
        <f>5406+2022679</f>
        <v>2028085</v>
      </c>
      <c r="F109" s="1989">
        <f>2618000+177406-295406+300000-133900</f>
        <v>2666100</v>
      </c>
      <c r="G109" s="1989">
        <f>2618000-118000+599987</f>
        <v>3099987</v>
      </c>
      <c r="H109" s="1989">
        <f>1813339+841315-154654</f>
        <v>2500000</v>
      </c>
      <c r="I109" s="1989">
        <f>1813339-113339+446000</f>
        <v>2146000</v>
      </c>
      <c r="J109" s="1989">
        <f>1813339-113339</f>
        <v>1700000</v>
      </c>
      <c r="K109" s="1989">
        <f>1813339-113339</f>
        <v>1700000</v>
      </c>
      <c r="L109" s="1989">
        <f>1813335-278467</f>
        <v>1534868</v>
      </c>
      <c r="M109" s="1489">
        <f t="shared" si="75"/>
        <v>13812087</v>
      </c>
      <c r="N109" s="1489">
        <f t="shared" si="75"/>
        <v>12680855</v>
      </c>
      <c r="O109" s="3256"/>
      <c r="P109" s="1558"/>
      <c r="Q109" s="1555"/>
      <c r="T109" s="183"/>
    </row>
    <row r="110" spans="1:20" s="374" customFormat="1" ht="12.75" hidden="1" customHeight="1">
      <c r="A110" s="3265"/>
      <c r="B110" s="1670" t="s">
        <v>153</v>
      </c>
      <c r="C110" s="2001"/>
      <c r="D110" s="1926">
        <f t="shared" si="74"/>
        <v>107691425</v>
      </c>
      <c r="E110" s="2002">
        <f>71254+3533980</f>
        <v>3605234</v>
      </c>
      <c r="F110" s="1490">
        <f>4922901+7377557+542459+106789+2990770-53444-1058102-58380-2500014-1938307-1976201-32463-337289-146679-936304</f>
        <v>6903293</v>
      </c>
      <c r="G110" s="1490">
        <f>5021358+7525108+553309+4097213</f>
        <v>17196988</v>
      </c>
      <c r="H110" s="1490">
        <f>5121786+7675610+564375+1968441</f>
        <v>15330212</v>
      </c>
      <c r="I110" s="1490">
        <f>5224221+7829122+575662+2027494</f>
        <v>15656499</v>
      </c>
      <c r="J110" s="1490">
        <f>13901587+2088319</f>
        <v>15989906</v>
      </c>
      <c r="K110" s="1490">
        <f>14179618+2150968</f>
        <v>16330586</v>
      </c>
      <c r="L110" s="1490">
        <f>14463209+2215498</f>
        <v>16678707</v>
      </c>
      <c r="M110" s="1489">
        <f t="shared" si="75"/>
        <v>87407484</v>
      </c>
      <c r="N110" s="1489">
        <f t="shared" si="75"/>
        <v>97182898</v>
      </c>
      <c r="O110" s="3256"/>
      <c r="P110" s="1558"/>
      <c r="Q110" s="1555"/>
      <c r="T110" s="375"/>
    </row>
    <row r="111" spans="1:20" s="374" customFormat="1" ht="12.75" hidden="1" customHeight="1">
      <c r="A111" s="3265"/>
      <c r="B111" s="2691" t="s">
        <v>154</v>
      </c>
      <c r="C111" s="2003"/>
      <c r="D111" s="1926">
        <f t="shared" si="74"/>
        <v>15040137</v>
      </c>
      <c r="E111" s="1991">
        <v>1532968</v>
      </c>
      <c r="F111" s="1991">
        <f>2190000-99000-10000-304021</f>
        <v>1776979</v>
      </c>
      <c r="G111" s="1991">
        <f>2190000-190000</f>
        <v>2000000</v>
      </c>
      <c r="H111" s="1991">
        <f>2048339-48339</f>
        <v>2000000</v>
      </c>
      <c r="I111" s="1991">
        <f>2048339-48339</f>
        <v>2000000</v>
      </c>
      <c r="J111" s="1991">
        <f>2048339-48339</f>
        <v>2000000</v>
      </c>
      <c r="K111" s="1991">
        <f>2048339-48339</f>
        <v>2000000</v>
      </c>
      <c r="L111" s="1991">
        <f>2048336-148336-169810</f>
        <v>1730190</v>
      </c>
      <c r="M111" s="1489">
        <f t="shared" si="75"/>
        <v>11776979</v>
      </c>
      <c r="N111" s="1489">
        <f t="shared" si="75"/>
        <v>11730190</v>
      </c>
      <c r="O111" s="3256"/>
      <c r="P111" s="1558"/>
      <c r="Q111" s="1555"/>
      <c r="T111" s="375"/>
    </row>
    <row r="112" spans="1:20" s="374" customFormat="1" ht="12.75" hidden="1" customHeight="1">
      <c r="A112" s="3265"/>
      <c r="B112" s="2691" t="s">
        <v>353</v>
      </c>
      <c r="C112" s="2004"/>
      <c r="D112" s="1926">
        <f t="shared" si="74"/>
        <v>3184000</v>
      </c>
      <c r="E112" s="1991"/>
      <c r="F112" s="1491">
        <f>330000+100000-88900</f>
        <v>341100</v>
      </c>
      <c r="G112" s="1491">
        <f>420000+309000</f>
        <v>729000</v>
      </c>
      <c r="H112" s="1491">
        <f>420000+88900</f>
        <v>508900</v>
      </c>
      <c r="I112" s="1491">
        <v>405000</v>
      </c>
      <c r="J112" s="1491">
        <v>400000</v>
      </c>
      <c r="K112" s="1491">
        <v>400000</v>
      </c>
      <c r="L112" s="1491">
        <v>400000</v>
      </c>
      <c r="M112" s="1489">
        <f t="shared" si="75"/>
        <v>2784000</v>
      </c>
      <c r="N112" s="1489">
        <f t="shared" si="75"/>
        <v>2842900</v>
      </c>
      <c r="O112" s="3256"/>
      <c r="P112" s="1558"/>
      <c r="Q112" s="1555"/>
      <c r="T112" s="375"/>
    </row>
    <row r="113" spans="1:20" s="374" customFormat="1" ht="12.75" hidden="1" customHeight="1">
      <c r="A113" s="3265"/>
      <c r="B113" s="1669" t="s">
        <v>241</v>
      </c>
      <c r="C113" s="2005"/>
      <c r="D113" s="1926">
        <f t="shared" si="74"/>
        <v>3264265</v>
      </c>
      <c r="E113" s="1994">
        <v>293127</v>
      </c>
      <c r="F113" s="1492">
        <f>400248+86140-1+108427+36462-20083-193339</f>
        <v>417854</v>
      </c>
      <c r="G113" s="1493">
        <f>397613+82194+46193</f>
        <v>526000</v>
      </c>
      <c r="H113" s="1493">
        <f>362772+20083+117145</f>
        <v>500000</v>
      </c>
      <c r="I113" s="1493">
        <f>362772+76194</f>
        <v>438966</v>
      </c>
      <c r="J113" s="1493">
        <v>362772</v>
      </c>
      <c r="K113" s="1493">
        <v>362773</v>
      </c>
      <c r="L113" s="1493">
        <v>362773</v>
      </c>
      <c r="M113" s="1489">
        <f t="shared" si="75"/>
        <v>2608365</v>
      </c>
      <c r="N113" s="1489">
        <f t="shared" si="75"/>
        <v>2553284</v>
      </c>
      <c r="O113" s="3256"/>
      <c r="P113" s="1558"/>
      <c r="Q113" s="1555"/>
      <c r="T113" s="375"/>
    </row>
    <row r="114" spans="1:20" s="374" customFormat="1" ht="12.75" hidden="1" customHeight="1">
      <c r="A114" s="3265"/>
      <c r="B114" s="1669" t="s">
        <v>242</v>
      </c>
      <c r="C114" s="2006"/>
      <c r="D114" s="1926">
        <f t="shared" si="74"/>
        <v>3052364</v>
      </c>
      <c r="E114" s="1994">
        <v>1724218</v>
      </c>
      <c r="F114" s="1492">
        <f>2213719-2975+1109794-2137692+169810-24436-74</f>
        <v>1328146</v>
      </c>
      <c r="G114" s="1493">
        <f>2501869+1700-1-2503568</f>
        <v>0</v>
      </c>
      <c r="H114" s="1493">
        <f>2303378-2303378</f>
        <v>0</v>
      </c>
      <c r="I114" s="1493">
        <f>2303378-2303378</f>
        <v>0</v>
      </c>
      <c r="J114" s="1493">
        <f>2303378-2303378</f>
        <v>0</v>
      </c>
      <c r="K114" s="1493">
        <f>2303377-2303377</f>
        <v>0</v>
      </c>
      <c r="L114" s="1493">
        <f>2303377-2303377</f>
        <v>0</v>
      </c>
      <c r="M114" s="1489">
        <f t="shared" si="75"/>
        <v>1328146</v>
      </c>
      <c r="N114" s="1489">
        <f t="shared" si="75"/>
        <v>0</v>
      </c>
      <c r="O114" s="3256"/>
      <c r="P114" s="1558"/>
      <c r="Q114" s="1555"/>
      <c r="T114" s="375"/>
    </row>
    <row r="115" spans="1:20" s="2065" customFormat="1" ht="16.5" customHeight="1">
      <c r="A115" s="2933"/>
      <c r="B115" s="83" t="s">
        <v>22</v>
      </c>
      <c r="C115" s="181"/>
      <c r="D115" s="379">
        <f>+D116</f>
        <v>183334401</v>
      </c>
      <c r="E115" s="379">
        <f t="shared" ref="E115:L115" si="76">+E116</f>
        <v>14581335</v>
      </c>
      <c r="F115" s="379">
        <f t="shared" si="76"/>
        <v>24548844</v>
      </c>
      <c r="G115" s="379">
        <f t="shared" si="76"/>
        <v>26461975</v>
      </c>
      <c r="H115" s="2007">
        <f t="shared" si="76"/>
        <v>23154112</v>
      </c>
      <c r="I115" s="2007">
        <f t="shared" si="76"/>
        <v>22672465</v>
      </c>
      <c r="J115" s="2007">
        <f t="shared" si="76"/>
        <v>22152678</v>
      </c>
      <c r="K115" s="2007">
        <f t="shared" si="76"/>
        <v>22493359</v>
      </c>
      <c r="L115" s="2007">
        <f t="shared" si="76"/>
        <v>22241479</v>
      </c>
      <c r="M115" s="3176" t="s">
        <v>61</v>
      </c>
      <c r="N115" s="3176" t="s">
        <v>61</v>
      </c>
      <c r="O115" s="3256"/>
      <c r="P115" s="3250" t="s">
        <v>516</v>
      </c>
      <c r="Q115" s="3251"/>
      <c r="R115" s="3251"/>
      <c r="S115" s="3251"/>
    </row>
    <row r="116" spans="1:20" s="2065" customFormat="1">
      <c r="A116" s="2933"/>
      <c r="B116" s="2008" t="s">
        <v>18</v>
      </c>
      <c r="C116" s="3268" t="s">
        <v>221</v>
      </c>
      <c r="D116" s="1970">
        <f t="shared" ref="D116:L116" si="77">+D117</f>
        <v>183334401</v>
      </c>
      <c r="E116" s="1970">
        <f t="shared" si="77"/>
        <v>14581335</v>
      </c>
      <c r="F116" s="1996">
        <f t="shared" si="77"/>
        <v>24548844</v>
      </c>
      <c r="G116" s="1996">
        <f t="shared" si="77"/>
        <v>26461975</v>
      </c>
      <c r="H116" s="1996">
        <f t="shared" si="77"/>
        <v>23154112</v>
      </c>
      <c r="I116" s="1996">
        <f t="shared" si="77"/>
        <v>22672465</v>
      </c>
      <c r="J116" s="1996">
        <f t="shared" si="77"/>
        <v>22152678</v>
      </c>
      <c r="K116" s="1996">
        <f t="shared" si="77"/>
        <v>22493359</v>
      </c>
      <c r="L116" s="1996">
        <f t="shared" si="77"/>
        <v>22241479</v>
      </c>
      <c r="M116" s="3177"/>
      <c r="N116" s="3177"/>
      <c r="O116" s="3256"/>
      <c r="P116" s="3250"/>
      <c r="Q116" s="3251"/>
      <c r="R116" s="3251"/>
      <c r="S116" s="3251"/>
    </row>
    <row r="117" spans="1:20" s="2065" customFormat="1" ht="13.5" thickBot="1">
      <c r="A117" s="2934"/>
      <c r="B117" s="368" t="s">
        <v>430</v>
      </c>
      <c r="C117" s="3267"/>
      <c r="D117" s="1027">
        <f>E117+F117+G117+H117+I117+J117+K117+L117+2029435+2998719</f>
        <v>183334401</v>
      </c>
      <c r="E117" s="1979">
        <v>14581335</v>
      </c>
      <c r="F117" s="723">
        <f>51433208-8318334-17866393+1853416+1574979-50000-10000-74-4067958</f>
        <v>24548844</v>
      </c>
      <c r="G117" s="723">
        <f>30885930-8318334+1316270-584995-2464989+5628093</f>
        <v>26461975</v>
      </c>
      <c r="H117" s="723">
        <f>29939078-8229084+354097+1107218+5454925-5693167+221045</f>
        <v>23154112</v>
      </c>
      <c r="I117" s="723">
        <f>30223312-8246084-386089+82192+1168964-1018024+848194</f>
        <v>22672465</v>
      </c>
      <c r="J117" s="723">
        <f>30407494-8157684-97132</f>
        <v>22152678</v>
      </c>
      <c r="K117" s="723">
        <f>30073524-7545683-34482</f>
        <v>22493359</v>
      </c>
      <c r="L117" s="723">
        <f>30175721-7364300-400206-169810+74</f>
        <v>22241479</v>
      </c>
      <c r="M117" s="3178"/>
      <c r="N117" s="3178"/>
      <c r="O117" s="3257"/>
      <c r="P117" s="3250"/>
      <c r="Q117" s="3251"/>
      <c r="R117" s="3251"/>
      <c r="S117" s="3251"/>
    </row>
    <row r="118" spans="1:20" s="2065" customFormat="1" ht="26.25" customHeight="1">
      <c r="A118" s="3264" t="s">
        <v>87</v>
      </c>
      <c r="B118" s="172" t="s">
        <v>236</v>
      </c>
      <c r="C118" s="173" t="s">
        <v>81</v>
      </c>
      <c r="D118" s="407"/>
      <c r="E118" s="404"/>
      <c r="F118" s="405"/>
      <c r="G118" s="405"/>
      <c r="H118" s="405"/>
      <c r="I118" s="405"/>
      <c r="J118" s="405"/>
      <c r="K118" s="405"/>
      <c r="L118" s="406"/>
      <c r="M118" s="372"/>
      <c r="N118" s="372"/>
      <c r="O118" s="3252" t="s">
        <v>375</v>
      </c>
      <c r="P118" s="3250"/>
      <c r="Q118" s="3251"/>
      <c r="R118" s="3251"/>
      <c r="S118" s="3251"/>
    </row>
    <row r="119" spans="1:20" s="2065" customFormat="1" ht="14.25" customHeight="1">
      <c r="A119" s="3265"/>
      <c r="B119" s="728" t="s">
        <v>10</v>
      </c>
      <c r="C119" s="1963"/>
      <c r="D119" s="1981">
        <f t="shared" ref="D119:I119" si="78">+D124+D120</f>
        <v>2097414</v>
      </c>
      <c r="E119" s="1981">
        <f t="shared" ref="E119" si="79">+E124+E120</f>
        <v>392617</v>
      </c>
      <c r="F119" s="1981">
        <f t="shared" si="78"/>
        <v>471603</v>
      </c>
      <c r="G119" s="1981">
        <f t="shared" si="78"/>
        <v>369922</v>
      </c>
      <c r="H119" s="1981">
        <f t="shared" si="78"/>
        <v>217272</v>
      </c>
      <c r="I119" s="1981">
        <f t="shared" si="78"/>
        <v>161500</v>
      </c>
      <c r="J119" s="1981">
        <f>+J124+J120</f>
        <v>161500</v>
      </c>
      <c r="K119" s="1981">
        <f>+K124+K120</f>
        <v>161500</v>
      </c>
      <c r="L119" s="1981">
        <f>+L124+L120</f>
        <v>161500</v>
      </c>
      <c r="M119" s="1982">
        <f>+M124</f>
        <v>1703387</v>
      </c>
      <c r="N119" s="1982">
        <f>+N124</f>
        <v>1232329</v>
      </c>
      <c r="O119" s="3253"/>
      <c r="P119" s="3250"/>
      <c r="Q119" s="3251"/>
      <c r="R119" s="3251"/>
      <c r="S119" s="3251"/>
    </row>
    <row r="120" spans="1:20" s="2065" customFormat="1" ht="13.5" customHeight="1">
      <c r="A120" s="3265"/>
      <c r="B120" s="694" t="s">
        <v>24</v>
      </c>
      <c r="C120" s="2898" t="s">
        <v>365</v>
      </c>
      <c r="D120" s="1983">
        <f>+D121</f>
        <v>36523</v>
      </c>
      <c r="E120" s="1983">
        <f t="shared" ref="E120:L120" si="80">+E121</f>
        <v>35113</v>
      </c>
      <c r="F120" s="1983">
        <f t="shared" si="80"/>
        <v>545</v>
      </c>
      <c r="G120" s="1983">
        <f t="shared" si="80"/>
        <v>0</v>
      </c>
      <c r="H120" s="1983">
        <f t="shared" si="80"/>
        <v>865</v>
      </c>
      <c r="I120" s="1983">
        <f t="shared" si="80"/>
        <v>0</v>
      </c>
      <c r="J120" s="1983">
        <f t="shared" si="80"/>
        <v>0</v>
      </c>
      <c r="K120" s="1983">
        <f t="shared" si="80"/>
        <v>0</v>
      </c>
      <c r="L120" s="1983">
        <f t="shared" si="80"/>
        <v>0</v>
      </c>
      <c r="M120" s="2144">
        <f>+M121</f>
        <v>0</v>
      </c>
      <c r="N120" s="2144">
        <f>+N121</f>
        <v>0</v>
      </c>
      <c r="O120" s="3253"/>
      <c r="P120" s="3250"/>
      <c r="Q120" s="3251"/>
      <c r="R120" s="3251"/>
      <c r="S120" s="3251"/>
    </row>
    <row r="121" spans="1:20" s="2065" customFormat="1" ht="13.5" customHeight="1">
      <c r="A121" s="3265"/>
      <c r="B121" s="2145" t="s">
        <v>32</v>
      </c>
      <c r="C121" s="3139"/>
      <c r="D121" s="1985">
        <f>E121+F121+G121+H121+I121+J121+K121+L121</f>
        <v>36523</v>
      </c>
      <c r="E121" s="1985">
        <f t="shared" ref="E121:L121" si="81">SUM(E122:E123)</f>
        <v>35113</v>
      </c>
      <c r="F121" s="1985">
        <f t="shared" si="81"/>
        <v>545</v>
      </c>
      <c r="G121" s="1985">
        <f t="shared" si="81"/>
        <v>0</v>
      </c>
      <c r="H121" s="1985">
        <f t="shared" si="81"/>
        <v>865</v>
      </c>
      <c r="I121" s="1985">
        <f t="shared" si="81"/>
        <v>0</v>
      </c>
      <c r="J121" s="1985">
        <f t="shared" si="81"/>
        <v>0</v>
      </c>
      <c r="K121" s="1985">
        <f t="shared" si="81"/>
        <v>0</v>
      </c>
      <c r="L121" s="1985">
        <f t="shared" si="81"/>
        <v>0</v>
      </c>
      <c r="M121" s="2146">
        <v>0</v>
      </c>
      <c r="N121" s="2146">
        <v>0</v>
      </c>
      <c r="O121" s="3253"/>
      <c r="P121" s="3250"/>
      <c r="Q121" s="3251"/>
      <c r="R121" s="3251"/>
      <c r="S121" s="3251"/>
    </row>
    <row r="122" spans="1:20" s="2065" customFormat="1" ht="13.5" hidden="1" customHeight="1">
      <c r="A122" s="3265"/>
      <c r="B122" s="1669" t="s">
        <v>222</v>
      </c>
      <c r="C122" s="3139"/>
      <c r="D122" s="1994">
        <f>E122+F122+G122+H122+I122+J122+K122+L122</f>
        <v>8046</v>
      </c>
      <c r="E122" s="1994">
        <v>6636</v>
      </c>
      <c r="F122" s="1486">
        <f>1410-865</f>
        <v>545</v>
      </c>
      <c r="G122" s="1487">
        <f>865-865</f>
        <v>0</v>
      </c>
      <c r="H122" s="1487">
        <f>865</f>
        <v>865</v>
      </c>
      <c r="I122" s="1487"/>
      <c r="J122" s="1487"/>
      <c r="K122" s="1487"/>
      <c r="L122" s="1487"/>
      <c r="M122" s="1995">
        <v>0</v>
      </c>
      <c r="N122" s="1995">
        <v>0</v>
      </c>
      <c r="O122" s="3253"/>
      <c r="P122" s="3250"/>
      <c r="Q122" s="3251"/>
      <c r="R122" s="3251"/>
      <c r="S122" s="3251"/>
    </row>
    <row r="123" spans="1:20" s="2065" customFormat="1" ht="13.5" hidden="1" customHeight="1">
      <c r="A123" s="3265"/>
      <c r="B123" s="1669" t="s">
        <v>223</v>
      </c>
      <c r="C123" s="3139"/>
      <c r="D123" s="1994">
        <f>E123+F123+G123+H123+I123+J123+K123+L123</f>
        <v>28477</v>
      </c>
      <c r="E123" s="1994">
        <v>28477</v>
      </c>
      <c r="F123" s="1486">
        <f>975+525+5215-6715</f>
        <v>0</v>
      </c>
      <c r="G123" s="1487">
        <f>1800-300-1500</f>
        <v>0</v>
      </c>
      <c r="H123" s="1487">
        <f>975-975</f>
        <v>0</v>
      </c>
      <c r="I123" s="1487">
        <f>975-975</f>
        <v>0</v>
      </c>
      <c r="J123" s="1487">
        <f>975-975</f>
        <v>0</v>
      </c>
      <c r="K123" s="1487">
        <f>975-975</f>
        <v>0</v>
      </c>
      <c r="L123" s="1487">
        <f>975-975</f>
        <v>0</v>
      </c>
      <c r="M123" s="1995">
        <v>0</v>
      </c>
      <c r="N123" s="1995">
        <v>0</v>
      </c>
      <c r="O123" s="3253"/>
      <c r="P123" s="3250"/>
      <c r="Q123" s="3251"/>
      <c r="R123" s="3251"/>
      <c r="S123" s="3251"/>
    </row>
    <row r="124" spans="1:20" s="2065" customFormat="1" ht="13.5" customHeight="1">
      <c r="A124" s="3265"/>
      <c r="B124" s="754" t="s">
        <v>18</v>
      </c>
      <c r="C124" s="3139"/>
      <c r="D124" s="1970">
        <f>+D125</f>
        <v>2060891</v>
      </c>
      <c r="E124" s="1970">
        <f>+E125</f>
        <v>357504</v>
      </c>
      <c r="F124" s="1970">
        <f>+F125</f>
        <v>471058</v>
      </c>
      <c r="G124" s="1996">
        <f t="shared" ref="G124:N124" si="82">+G125</f>
        <v>369922</v>
      </c>
      <c r="H124" s="1996">
        <f t="shared" si="82"/>
        <v>216407</v>
      </c>
      <c r="I124" s="1996">
        <f t="shared" si="82"/>
        <v>161500</v>
      </c>
      <c r="J124" s="1996">
        <f t="shared" si="82"/>
        <v>161500</v>
      </c>
      <c r="K124" s="1996">
        <f t="shared" si="82"/>
        <v>161500</v>
      </c>
      <c r="L124" s="1996">
        <f t="shared" si="82"/>
        <v>161500</v>
      </c>
      <c r="M124" s="1987">
        <f t="shared" si="82"/>
        <v>1703387</v>
      </c>
      <c r="N124" s="1987">
        <f t="shared" si="82"/>
        <v>1232329</v>
      </c>
      <c r="O124" s="3253"/>
      <c r="P124" s="3250"/>
      <c r="Q124" s="3251"/>
      <c r="R124" s="3251"/>
      <c r="S124" s="3251"/>
    </row>
    <row r="125" spans="1:20" s="2065" customFormat="1">
      <c r="A125" s="3265"/>
      <c r="B125" s="1608" t="s">
        <v>21</v>
      </c>
      <c r="C125" s="3140"/>
      <c r="D125" s="1985">
        <f>E125+F125+G125+H125+I125+J125+K125+L125</f>
        <v>2060891</v>
      </c>
      <c r="E125" s="1985">
        <f>+E127+E128+E129+E130+E131+E132+E133</f>
        <v>357504</v>
      </c>
      <c r="F125" s="1985">
        <f t="shared" ref="F125:L125" si="83">+F127+F128+F129+F130+F131+F132+F133</f>
        <v>471058</v>
      </c>
      <c r="G125" s="1985">
        <f t="shared" si="83"/>
        <v>369922</v>
      </c>
      <c r="H125" s="1985">
        <f t="shared" si="83"/>
        <v>216407</v>
      </c>
      <c r="I125" s="1985">
        <f t="shared" si="83"/>
        <v>161500</v>
      </c>
      <c r="J125" s="1985">
        <f t="shared" si="83"/>
        <v>161500</v>
      </c>
      <c r="K125" s="1985">
        <f t="shared" si="83"/>
        <v>161500</v>
      </c>
      <c r="L125" s="1985">
        <f t="shared" si="83"/>
        <v>161500</v>
      </c>
      <c r="M125" s="1969">
        <f>SUM(F125:L125)</f>
        <v>1703387</v>
      </c>
      <c r="N125" s="1969">
        <f>SUM(G125:L125)</f>
        <v>1232329</v>
      </c>
      <c r="O125" s="3253"/>
      <c r="P125" s="3250"/>
      <c r="Q125" s="3251"/>
      <c r="R125" s="3251"/>
      <c r="S125" s="3251"/>
    </row>
    <row r="126" spans="1:20" s="2065" customFormat="1" ht="12.75" hidden="1" customHeight="1">
      <c r="A126" s="3265"/>
      <c r="B126" s="1608" t="s">
        <v>150</v>
      </c>
      <c r="C126" s="2147"/>
      <c r="D126" s="1968"/>
      <c r="E126" s="1968"/>
      <c r="F126" s="1972"/>
      <c r="G126" s="1972"/>
      <c r="H126" s="1972"/>
      <c r="I126" s="1972"/>
      <c r="J126" s="1972"/>
      <c r="K126" s="1972"/>
      <c r="L126" s="1972"/>
      <c r="M126" s="1999"/>
      <c r="N126" s="1999"/>
      <c r="O126" s="3253"/>
      <c r="P126" s="3250"/>
      <c r="Q126" s="3251"/>
      <c r="R126" s="3251"/>
      <c r="S126" s="3251"/>
    </row>
    <row r="127" spans="1:20" s="2065" customFormat="1" ht="12.75" hidden="1" customHeight="1">
      <c r="A127" s="3265"/>
      <c r="B127" s="457" t="s">
        <v>151</v>
      </c>
      <c r="C127" s="378"/>
      <c r="D127" s="1488">
        <f t="shared" ref="D127:D133" si="84">E127+F127+G127+H127+I127+J127+K127+L127</f>
        <v>1660924</v>
      </c>
      <c r="E127" s="1488">
        <v>144449</v>
      </c>
      <c r="F127" s="1475">
        <f>144500+224475+25000+50000-50000</f>
        <v>393975</v>
      </c>
      <c r="G127" s="1475">
        <f>144500+51+205449</f>
        <v>350000</v>
      </c>
      <c r="H127" s="1475">
        <f>144500+50000</f>
        <v>194500</v>
      </c>
      <c r="I127" s="1475">
        <v>144500</v>
      </c>
      <c r="J127" s="1475">
        <v>144500</v>
      </c>
      <c r="K127" s="1475">
        <v>144500</v>
      </c>
      <c r="L127" s="1475">
        <v>144500</v>
      </c>
      <c r="M127" s="1969">
        <f>SUM(F127:L127)</f>
        <v>1516475</v>
      </c>
      <c r="N127" s="1969">
        <f t="shared" ref="M127:N133" si="85">SUM(G127:L127)</f>
        <v>1122500</v>
      </c>
      <c r="O127" s="3253"/>
      <c r="P127" s="3250"/>
      <c r="Q127" s="3251"/>
      <c r="R127" s="3251"/>
      <c r="S127" s="3251"/>
    </row>
    <row r="128" spans="1:20" s="2065" customFormat="1" ht="12.75" hidden="1" customHeight="1">
      <c r="A128" s="3265"/>
      <c r="B128" s="1667" t="s">
        <v>152</v>
      </c>
      <c r="C128" s="2148"/>
      <c r="D128" s="1989">
        <f t="shared" si="84"/>
        <v>168000</v>
      </c>
      <c r="E128" s="1989">
        <v>14078</v>
      </c>
      <c r="F128" s="1989">
        <f>17000+32000</f>
        <v>49000</v>
      </c>
      <c r="G128" s="1989">
        <f>17000+2922</f>
        <v>19922</v>
      </c>
      <c r="H128" s="1989">
        <v>17000</v>
      </c>
      <c r="I128" s="1989">
        <v>17000</v>
      </c>
      <c r="J128" s="1989">
        <v>17000</v>
      </c>
      <c r="K128" s="1989">
        <v>17000</v>
      </c>
      <c r="L128" s="1989">
        <v>17000</v>
      </c>
      <c r="M128" s="1969">
        <f>SUM(F128:L128)</f>
        <v>153922</v>
      </c>
      <c r="N128" s="1969">
        <f t="shared" si="85"/>
        <v>104922</v>
      </c>
      <c r="O128" s="3253"/>
      <c r="P128" s="3250"/>
      <c r="Q128" s="3251"/>
      <c r="R128" s="3251"/>
      <c r="S128" s="3251"/>
    </row>
    <row r="129" spans="1:19" s="2065" customFormat="1" ht="12.75" hidden="1" customHeight="1">
      <c r="A129" s="3265"/>
      <c r="B129" s="1670" t="s">
        <v>153</v>
      </c>
      <c r="C129" s="2149"/>
      <c r="D129" s="2002">
        <f t="shared" si="84"/>
        <v>0</v>
      </c>
      <c r="E129" s="2002"/>
      <c r="F129" s="1490"/>
      <c r="G129" s="1490"/>
      <c r="H129" s="1490"/>
      <c r="I129" s="1490"/>
      <c r="J129" s="1490"/>
      <c r="K129" s="1490"/>
      <c r="L129" s="1490"/>
      <c r="M129" s="1969">
        <f t="shared" si="85"/>
        <v>0</v>
      </c>
      <c r="N129" s="1969">
        <f t="shared" si="85"/>
        <v>0</v>
      </c>
      <c r="O129" s="3253"/>
      <c r="P129" s="3250"/>
      <c r="Q129" s="3251"/>
      <c r="R129" s="3251"/>
      <c r="S129" s="3251"/>
    </row>
    <row r="130" spans="1:19" s="2065" customFormat="1" ht="12.75" hidden="1" customHeight="1">
      <c r="A130" s="3265"/>
      <c r="B130" s="2150" t="s">
        <v>154</v>
      </c>
      <c r="C130" s="2151"/>
      <c r="D130" s="1991">
        <f t="shared" si="84"/>
        <v>25000</v>
      </c>
      <c r="E130" s="1991">
        <v>0</v>
      </c>
      <c r="F130" s="1991">
        <f>6000+9000+10000</f>
        <v>25000</v>
      </c>
      <c r="G130" s="1991"/>
      <c r="H130" s="1991"/>
      <c r="I130" s="1991"/>
      <c r="J130" s="1991"/>
      <c r="K130" s="1991"/>
      <c r="L130" s="1991"/>
      <c r="M130" s="1969">
        <f>SUM(F130:L130)</f>
        <v>25000</v>
      </c>
      <c r="N130" s="1969">
        <f t="shared" si="85"/>
        <v>0</v>
      </c>
      <c r="O130" s="3253"/>
      <c r="P130" s="3250"/>
      <c r="Q130" s="3251"/>
      <c r="R130" s="3251"/>
      <c r="S130" s="3251"/>
    </row>
    <row r="131" spans="1:19" s="2065" customFormat="1" ht="12.75" hidden="1" customHeight="1">
      <c r="A131" s="3265"/>
      <c r="B131" s="2150" t="s">
        <v>354</v>
      </c>
      <c r="C131" s="1474"/>
      <c r="D131" s="1991">
        <f t="shared" si="84"/>
        <v>0</v>
      </c>
      <c r="E131" s="1991"/>
      <c r="F131" s="1991">
        <f>25000-25000</f>
        <v>0</v>
      </c>
      <c r="G131" s="1991"/>
      <c r="H131" s="1991"/>
      <c r="I131" s="1991"/>
      <c r="J131" s="1991"/>
      <c r="K131" s="1991"/>
      <c r="L131" s="1991"/>
      <c r="M131" s="1969">
        <f t="shared" si="85"/>
        <v>0</v>
      </c>
      <c r="N131" s="1969">
        <f t="shared" si="85"/>
        <v>0</v>
      </c>
      <c r="O131" s="3253"/>
      <c r="P131" s="3250"/>
      <c r="Q131" s="3251"/>
      <c r="R131" s="3251"/>
      <c r="S131" s="3251"/>
    </row>
    <row r="132" spans="1:19" s="2065" customFormat="1" ht="12.75" hidden="1" customHeight="1">
      <c r="A132" s="3265"/>
      <c r="B132" s="1669" t="s">
        <v>335</v>
      </c>
      <c r="C132" s="2152"/>
      <c r="D132" s="1994">
        <f t="shared" si="84"/>
        <v>45597</v>
      </c>
      <c r="E132" s="1994">
        <v>37607</v>
      </c>
      <c r="F132" s="1994">
        <f>7990-4907</f>
        <v>3083</v>
      </c>
      <c r="G132" s="1994">
        <f>4907-4907</f>
        <v>0</v>
      </c>
      <c r="H132" s="1994">
        <v>4907</v>
      </c>
      <c r="I132" s="1994"/>
      <c r="J132" s="1994"/>
      <c r="K132" s="1994"/>
      <c r="L132" s="1994"/>
      <c r="M132" s="1969">
        <f>SUM(F132:L132)</f>
        <v>7990</v>
      </c>
      <c r="N132" s="1969">
        <f t="shared" si="85"/>
        <v>4907</v>
      </c>
      <c r="O132" s="3253"/>
      <c r="P132" s="3250"/>
      <c r="Q132" s="3251"/>
      <c r="R132" s="3251"/>
      <c r="S132" s="3251"/>
    </row>
    <row r="133" spans="1:19" s="2065" customFormat="1" ht="12.75" hidden="1" customHeight="1">
      <c r="A133" s="3265"/>
      <c r="B133" s="1669" t="s">
        <v>242</v>
      </c>
      <c r="C133" s="2153"/>
      <c r="D133" s="1994">
        <f t="shared" si="84"/>
        <v>161370</v>
      </c>
      <c r="E133" s="1994">
        <v>161370</v>
      </c>
      <c r="F133" s="1994">
        <f>5525+2975+29556-38056</f>
        <v>0</v>
      </c>
      <c r="G133" s="1994">
        <f>10200-1700-8500</f>
        <v>0</v>
      </c>
      <c r="H133" s="1994">
        <f>5525-5525</f>
        <v>0</v>
      </c>
      <c r="I133" s="1994">
        <f>5525-5525</f>
        <v>0</v>
      </c>
      <c r="J133" s="1994">
        <f>5525-5525</f>
        <v>0</v>
      </c>
      <c r="K133" s="1994">
        <f>5525-5525</f>
        <v>0</v>
      </c>
      <c r="L133" s="1994">
        <f>5525-5525</f>
        <v>0</v>
      </c>
      <c r="M133" s="1969">
        <f t="shared" si="85"/>
        <v>0</v>
      </c>
      <c r="N133" s="1969">
        <f t="shared" si="85"/>
        <v>0</v>
      </c>
      <c r="O133" s="3253"/>
      <c r="P133" s="3250"/>
      <c r="Q133" s="3251"/>
      <c r="R133" s="3251"/>
      <c r="S133" s="3251"/>
    </row>
    <row r="134" spans="1:19" s="2065" customFormat="1" ht="14.25" customHeight="1">
      <c r="A134" s="3265"/>
      <c r="B134" s="83" t="s">
        <v>22</v>
      </c>
      <c r="C134" s="181"/>
      <c r="D134" s="379">
        <f>+D135</f>
        <v>2060891</v>
      </c>
      <c r="E134" s="379">
        <f t="shared" ref="E134:L134" si="86">+E135</f>
        <v>236568</v>
      </c>
      <c r="F134" s="379">
        <f t="shared" si="86"/>
        <v>580404</v>
      </c>
      <c r="G134" s="379">
        <f t="shared" si="86"/>
        <v>369922</v>
      </c>
      <c r="H134" s="379">
        <f t="shared" si="86"/>
        <v>216407</v>
      </c>
      <c r="I134" s="379">
        <f t="shared" si="86"/>
        <v>161500</v>
      </c>
      <c r="J134" s="379">
        <f t="shared" si="86"/>
        <v>161500</v>
      </c>
      <c r="K134" s="379">
        <f t="shared" si="86"/>
        <v>161500</v>
      </c>
      <c r="L134" s="379">
        <f t="shared" si="86"/>
        <v>161500</v>
      </c>
      <c r="M134" s="3249" t="s">
        <v>61</v>
      </c>
      <c r="N134" s="3249" t="s">
        <v>61</v>
      </c>
      <c r="O134" s="3253"/>
      <c r="P134" s="3250"/>
      <c r="Q134" s="3251"/>
      <c r="R134" s="3251"/>
      <c r="S134" s="3251"/>
    </row>
    <row r="135" spans="1:19" s="2065" customFormat="1" ht="15.75" customHeight="1">
      <c r="A135" s="3265"/>
      <c r="B135" s="2077" t="s">
        <v>18</v>
      </c>
      <c r="C135" s="2898" t="s">
        <v>221</v>
      </c>
      <c r="D135" s="2154">
        <f t="shared" ref="D135:L135" si="87">+D136</f>
        <v>2060891</v>
      </c>
      <c r="E135" s="2154">
        <f t="shared" si="87"/>
        <v>236568</v>
      </c>
      <c r="F135" s="2154">
        <f t="shared" si="87"/>
        <v>580404</v>
      </c>
      <c r="G135" s="2154">
        <f t="shared" si="87"/>
        <v>369922</v>
      </c>
      <c r="H135" s="2154">
        <f t="shared" si="87"/>
        <v>216407</v>
      </c>
      <c r="I135" s="2154">
        <f t="shared" si="87"/>
        <v>161500</v>
      </c>
      <c r="J135" s="2154">
        <f t="shared" si="87"/>
        <v>161500</v>
      </c>
      <c r="K135" s="2154">
        <f t="shared" si="87"/>
        <v>161500</v>
      </c>
      <c r="L135" s="2154">
        <f t="shared" si="87"/>
        <v>161500</v>
      </c>
      <c r="M135" s="3177"/>
      <c r="N135" s="3177"/>
      <c r="O135" s="3253"/>
      <c r="P135" s="3250"/>
      <c r="Q135" s="3251"/>
      <c r="R135" s="3251"/>
      <c r="S135" s="3251"/>
    </row>
    <row r="136" spans="1:19" s="2065" customFormat="1" ht="13.5" customHeight="1" thickBot="1">
      <c r="A136" s="3266"/>
      <c r="B136" s="368" t="s">
        <v>501</v>
      </c>
      <c r="C136" s="3267"/>
      <c r="D136" s="1027">
        <f>E136+F136+G136+H136+I136+J136+K136+L136+11590</f>
        <v>2060891</v>
      </c>
      <c r="E136" s="1979">
        <v>236568</v>
      </c>
      <c r="F136" s="1494">
        <f>192515-22515+300021+111973+50000+10000-61590</f>
        <v>580404</v>
      </c>
      <c r="G136" s="1494">
        <f>171700-1700-620+200542</f>
        <v>369922</v>
      </c>
      <c r="H136" s="1494">
        <f>167025-5525+4907+50000</f>
        <v>216407</v>
      </c>
      <c r="I136" s="1494">
        <f>167025-5525</f>
        <v>161500</v>
      </c>
      <c r="J136" s="1494">
        <f>167025-5525</f>
        <v>161500</v>
      </c>
      <c r="K136" s="1494">
        <f>167025-5525</f>
        <v>161500</v>
      </c>
      <c r="L136" s="1494">
        <f>167025-5525</f>
        <v>161500</v>
      </c>
      <c r="M136" s="3178"/>
      <c r="N136" s="3178"/>
      <c r="O136" s="3254"/>
      <c r="P136" s="3250"/>
      <c r="Q136" s="3251"/>
      <c r="R136" s="3251"/>
      <c r="S136" s="3251"/>
    </row>
    <row r="137" spans="1:19" s="2065" customFormat="1" ht="29.25" customHeight="1">
      <c r="A137" s="3264" t="s">
        <v>88</v>
      </c>
      <c r="B137" s="1712" t="s">
        <v>282</v>
      </c>
      <c r="C137" s="2692" t="s">
        <v>81</v>
      </c>
      <c r="D137" s="189"/>
      <c r="E137" s="408"/>
      <c r="F137" s="188"/>
      <c r="G137" s="188"/>
      <c r="H137" s="188"/>
      <c r="I137" s="188"/>
      <c r="J137" s="188"/>
      <c r="K137" s="188"/>
      <c r="L137" s="263"/>
      <c r="M137" s="2693"/>
      <c r="N137" s="2693"/>
      <c r="O137" s="3252" t="s">
        <v>302</v>
      </c>
      <c r="P137" s="334"/>
    </row>
    <row r="138" spans="1:19" s="2065" customFormat="1" ht="13.5" customHeight="1">
      <c r="A138" s="3265"/>
      <c r="B138" s="538" t="s">
        <v>10</v>
      </c>
      <c r="C138" s="2694"/>
      <c r="D138" s="2695">
        <f>+D139+D142</f>
        <v>98152110</v>
      </c>
      <c r="E138" s="2696">
        <f>+E139+E142</f>
        <v>360377</v>
      </c>
      <c r="F138" s="2696">
        <f t="shared" ref="F138:L138" si="88">+F139+F142</f>
        <v>1086751</v>
      </c>
      <c r="G138" s="2696">
        <f t="shared" si="88"/>
        <v>14006344</v>
      </c>
      <c r="H138" s="2696">
        <f t="shared" si="88"/>
        <v>49539954</v>
      </c>
      <c r="I138" s="2696">
        <f t="shared" si="88"/>
        <v>33158684</v>
      </c>
      <c r="J138" s="2696">
        <f t="shared" si="88"/>
        <v>0</v>
      </c>
      <c r="K138" s="2696">
        <f t="shared" si="88"/>
        <v>0</v>
      </c>
      <c r="L138" s="2696">
        <f t="shared" si="88"/>
        <v>0</v>
      </c>
      <c r="M138" s="2697">
        <f>+M139+M142</f>
        <v>97791733</v>
      </c>
      <c r="N138" s="2697">
        <f>+N139+N142</f>
        <v>96704982</v>
      </c>
      <c r="O138" s="3253"/>
      <c r="P138" s="334"/>
    </row>
    <row r="139" spans="1:19" s="2065" customFormat="1" ht="13.5" customHeight="1">
      <c r="A139" s="3265"/>
      <c r="B139" s="734" t="s">
        <v>24</v>
      </c>
      <c r="C139" s="3270" t="s">
        <v>248</v>
      </c>
      <c r="D139" s="2698">
        <f>+D140+D141</f>
        <v>28902110</v>
      </c>
      <c r="E139" s="2699">
        <f t="shared" ref="E139" si="89">+E140+E141</f>
        <v>0</v>
      </c>
      <c r="F139" s="2699">
        <f t="shared" ref="F139:L139" si="90">+F140+F141</f>
        <v>3321</v>
      </c>
      <c r="G139" s="2699">
        <f t="shared" si="90"/>
        <v>4494195</v>
      </c>
      <c r="H139" s="2699">
        <f t="shared" si="90"/>
        <v>12080850</v>
      </c>
      <c r="I139" s="2699">
        <f t="shared" si="90"/>
        <v>12323744</v>
      </c>
      <c r="J139" s="2699">
        <f t="shared" si="90"/>
        <v>0</v>
      </c>
      <c r="K139" s="2699">
        <f t="shared" si="90"/>
        <v>0</v>
      </c>
      <c r="L139" s="2699">
        <f t="shared" si="90"/>
        <v>0</v>
      </c>
      <c r="M139" s="2700">
        <f>+M140</f>
        <v>28902110</v>
      </c>
      <c r="N139" s="2700">
        <f>+N140</f>
        <v>28898789</v>
      </c>
      <c r="O139" s="3253"/>
      <c r="P139" s="334"/>
    </row>
    <row r="140" spans="1:19" s="2065" customFormat="1" ht="13.5" customHeight="1">
      <c r="A140" s="3265"/>
      <c r="B140" s="2701" t="s">
        <v>12</v>
      </c>
      <c r="C140" s="3270"/>
      <c r="D140" s="2702">
        <f>E140+F140+G140+H140+I140+J140+K140+L140</f>
        <v>28902110</v>
      </c>
      <c r="E140" s="1607">
        <v>0</v>
      </c>
      <c r="F140" s="1713">
        <f t="shared" ref="F140:L140" si="91">+F158+F172+F188+F199</f>
        <v>3321</v>
      </c>
      <c r="G140" s="1713">
        <f t="shared" si="91"/>
        <v>4494195</v>
      </c>
      <c r="H140" s="1713">
        <f t="shared" si="91"/>
        <v>12080850</v>
      </c>
      <c r="I140" s="1713">
        <f t="shared" si="91"/>
        <v>12323744</v>
      </c>
      <c r="J140" s="1713">
        <f t="shared" si="91"/>
        <v>0</v>
      </c>
      <c r="K140" s="1713">
        <f t="shared" si="91"/>
        <v>0</v>
      </c>
      <c r="L140" s="1713">
        <f t="shared" si="91"/>
        <v>0</v>
      </c>
      <c r="M140" s="764">
        <f>SUM(F140:L140)</f>
        <v>28902110</v>
      </c>
      <c r="N140" s="764">
        <f>SUM(G140:L140)</f>
        <v>28898789</v>
      </c>
      <c r="O140" s="3253"/>
      <c r="P140" s="334"/>
    </row>
    <row r="141" spans="1:19" s="2065" customFormat="1" ht="13.5" hidden="1" customHeight="1">
      <c r="A141" s="3265"/>
      <c r="B141" s="2701" t="s">
        <v>16</v>
      </c>
      <c r="C141" s="3270"/>
      <c r="D141" s="2702">
        <f>E141+F141+G141+H141+I141+J141+K141+L141</f>
        <v>0</v>
      </c>
      <c r="E141" s="2703">
        <v>0</v>
      </c>
      <c r="F141" s="1713">
        <f t="shared" ref="F141:L141" si="92">+F159+F173+F200</f>
        <v>0</v>
      </c>
      <c r="G141" s="1713">
        <f t="shared" si="92"/>
        <v>0</v>
      </c>
      <c r="H141" s="1713">
        <f t="shared" si="92"/>
        <v>0</v>
      </c>
      <c r="I141" s="1713">
        <f t="shared" si="92"/>
        <v>0</v>
      </c>
      <c r="J141" s="1713">
        <f t="shared" si="92"/>
        <v>0</v>
      </c>
      <c r="K141" s="1713">
        <f t="shared" si="92"/>
        <v>0</v>
      </c>
      <c r="L141" s="1713">
        <f t="shared" si="92"/>
        <v>0</v>
      </c>
      <c r="M141" s="764">
        <f>SUM(F141:K141)</f>
        <v>0</v>
      </c>
      <c r="N141" s="764">
        <f>SUM(G141:L141)</f>
        <v>0</v>
      </c>
      <c r="O141" s="3253"/>
      <c r="P141" s="334"/>
    </row>
    <row r="142" spans="1:19" s="2065" customFormat="1" ht="13.5" customHeight="1">
      <c r="A142" s="3265"/>
      <c r="B142" s="2704" t="s">
        <v>18</v>
      </c>
      <c r="C142" s="3270"/>
      <c r="D142" s="2705">
        <f>+D143</f>
        <v>69250000</v>
      </c>
      <c r="E142" s="2705">
        <f t="shared" ref="E142" si="93">+E143</f>
        <v>360377</v>
      </c>
      <c r="F142" s="2706">
        <f t="shared" ref="F142:L142" si="94">+F143</f>
        <v>1083430</v>
      </c>
      <c r="G142" s="2706">
        <f t="shared" si="94"/>
        <v>9512149</v>
      </c>
      <c r="H142" s="2706">
        <f t="shared" si="94"/>
        <v>37459104</v>
      </c>
      <c r="I142" s="2706">
        <f t="shared" si="94"/>
        <v>20834940</v>
      </c>
      <c r="J142" s="2706">
        <f t="shared" si="94"/>
        <v>0</v>
      </c>
      <c r="K142" s="2706">
        <f t="shared" si="94"/>
        <v>0</v>
      </c>
      <c r="L142" s="2706">
        <f t="shared" si="94"/>
        <v>0</v>
      </c>
      <c r="M142" s="2700">
        <f>+M143</f>
        <v>68889623</v>
      </c>
      <c r="N142" s="2700">
        <f>+N143</f>
        <v>67806193</v>
      </c>
      <c r="O142" s="3253"/>
      <c r="P142" s="334"/>
    </row>
    <row r="143" spans="1:19" s="2065" customFormat="1" ht="12.75" customHeight="1">
      <c r="A143" s="3265"/>
      <c r="B143" s="786" t="s">
        <v>21</v>
      </c>
      <c r="C143" s="3270"/>
      <c r="D143" s="2702">
        <f>E143+F143+G143+H143+I143+J143+K143+L143</f>
        <v>69250000</v>
      </c>
      <c r="E143" s="2707">
        <f>+E144+E145+E146</f>
        <v>360377</v>
      </c>
      <c r="F143" s="1713">
        <f>+F144+F145+F146</f>
        <v>1083430</v>
      </c>
      <c r="G143" s="1713">
        <f t="shared" ref="G143:L143" si="95">+G144+G145+G146</f>
        <v>9512149</v>
      </c>
      <c r="H143" s="1713">
        <f t="shared" si="95"/>
        <v>37459104</v>
      </c>
      <c r="I143" s="1713">
        <f t="shared" si="95"/>
        <v>20834940</v>
      </c>
      <c r="J143" s="1713">
        <f t="shared" si="95"/>
        <v>0</v>
      </c>
      <c r="K143" s="1713">
        <f t="shared" si="95"/>
        <v>0</v>
      </c>
      <c r="L143" s="1713">
        <f t="shared" si="95"/>
        <v>0</v>
      </c>
      <c r="M143" s="764">
        <f>SUM(F143:L143)</f>
        <v>68889623</v>
      </c>
      <c r="N143" s="764">
        <f t="shared" ref="M143:N146" si="96">SUM(G143:L143)</f>
        <v>67806193</v>
      </c>
      <c r="O143" s="3253"/>
      <c r="P143" s="334"/>
    </row>
    <row r="144" spans="1:19" s="2065" customFormat="1" ht="23.25" hidden="1" customHeight="1">
      <c r="A144" s="3265"/>
      <c r="B144" s="2701" t="s">
        <v>249</v>
      </c>
      <c r="C144" s="3270"/>
      <c r="D144" s="2707">
        <f>+D176</f>
        <v>18000000</v>
      </c>
      <c r="E144" s="2707">
        <f t="shared" ref="E144:L144" si="97">+E162+E176+E191+E203</f>
        <v>360377</v>
      </c>
      <c r="F144" s="1713">
        <f t="shared" si="97"/>
        <v>1083430</v>
      </c>
      <c r="G144" s="1713">
        <f t="shared" si="97"/>
        <v>5294849</v>
      </c>
      <c r="H144" s="1713">
        <f t="shared" si="97"/>
        <v>11261344</v>
      </c>
      <c r="I144" s="1713">
        <f t="shared" si="97"/>
        <v>0</v>
      </c>
      <c r="J144" s="1713">
        <f t="shared" si="97"/>
        <v>0</v>
      </c>
      <c r="K144" s="1713">
        <f t="shared" si="97"/>
        <v>0</v>
      </c>
      <c r="L144" s="1713">
        <f t="shared" si="97"/>
        <v>0</v>
      </c>
      <c r="M144" s="2683">
        <f t="shared" si="96"/>
        <v>17639623</v>
      </c>
      <c r="N144" s="2683">
        <f t="shared" si="96"/>
        <v>16556193</v>
      </c>
      <c r="O144" s="3253"/>
      <c r="P144" s="334"/>
    </row>
    <row r="145" spans="1:16" s="2065" customFormat="1" ht="20.25" hidden="1" customHeight="1">
      <c r="A145" s="3265"/>
      <c r="B145" s="2701" t="s">
        <v>250</v>
      </c>
      <c r="C145" s="3270"/>
      <c r="D145" s="2707">
        <f>+D177</f>
        <v>10250000</v>
      </c>
      <c r="E145" s="1713">
        <v>0</v>
      </c>
      <c r="F145" s="1713">
        <f t="shared" ref="F145:L145" si="98">+F177</f>
        <v>0</v>
      </c>
      <c r="G145" s="1713">
        <f t="shared" si="98"/>
        <v>4217300</v>
      </c>
      <c r="H145" s="1713">
        <f t="shared" si="98"/>
        <v>5985496</v>
      </c>
      <c r="I145" s="1713">
        <f t="shared" si="98"/>
        <v>47204</v>
      </c>
      <c r="J145" s="1713">
        <f t="shared" si="98"/>
        <v>0</v>
      </c>
      <c r="K145" s="1713">
        <f t="shared" si="98"/>
        <v>0</v>
      </c>
      <c r="L145" s="1713">
        <f t="shared" si="98"/>
        <v>0</v>
      </c>
      <c r="M145" s="2683">
        <f t="shared" si="96"/>
        <v>10250000</v>
      </c>
      <c r="N145" s="2683">
        <f t="shared" si="96"/>
        <v>10250000</v>
      </c>
      <c r="O145" s="3253"/>
      <c r="P145" s="334"/>
    </row>
    <row r="146" spans="1:16" s="2065" customFormat="1" ht="27" hidden="1" customHeight="1">
      <c r="A146" s="3265"/>
      <c r="B146" s="2701" t="s">
        <v>251</v>
      </c>
      <c r="C146" s="3270"/>
      <c r="D146" s="2707">
        <f>+D178</f>
        <v>28250000</v>
      </c>
      <c r="E146" s="2708">
        <v>0</v>
      </c>
      <c r="F146" s="2708">
        <f t="shared" ref="F146:L146" si="99">+F204</f>
        <v>0</v>
      </c>
      <c r="G146" s="2708">
        <f t="shared" si="99"/>
        <v>0</v>
      </c>
      <c r="H146" s="2708">
        <f t="shared" si="99"/>
        <v>20212264</v>
      </c>
      <c r="I146" s="2708">
        <f t="shared" si="99"/>
        <v>20787736</v>
      </c>
      <c r="J146" s="2708">
        <f t="shared" si="99"/>
        <v>0</v>
      </c>
      <c r="K146" s="2708">
        <f t="shared" si="99"/>
        <v>0</v>
      </c>
      <c r="L146" s="2708">
        <f t="shared" si="99"/>
        <v>0</v>
      </c>
      <c r="M146" s="2683">
        <f t="shared" si="96"/>
        <v>41000000</v>
      </c>
      <c r="N146" s="2683">
        <f t="shared" si="96"/>
        <v>41000000</v>
      </c>
      <c r="O146" s="3253"/>
      <c r="P146" s="334"/>
    </row>
    <row r="147" spans="1:16" s="2065" customFormat="1" ht="15">
      <c r="A147" s="3265"/>
      <c r="B147" s="190" t="s">
        <v>252</v>
      </c>
      <c r="C147" s="2694"/>
      <c r="D147" s="2695">
        <f t="shared" ref="D147:L147" si="100">+D148+D150</f>
        <v>69250000</v>
      </c>
      <c r="E147" s="2696">
        <f t="shared" si="100"/>
        <v>226180</v>
      </c>
      <c r="F147" s="2696">
        <f t="shared" si="100"/>
        <v>1085079</v>
      </c>
      <c r="G147" s="2696">
        <f t="shared" si="100"/>
        <v>9512149</v>
      </c>
      <c r="H147" s="2696">
        <f t="shared" si="100"/>
        <v>37591652</v>
      </c>
      <c r="I147" s="2696">
        <f t="shared" si="100"/>
        <v>20834940</v>
      </c>
      <c r="J147" s="2696">
        <f t="shared" si="100"/>
        <v>0</v>
      </c>
      <c r="K147" s="2696">
        <f t="shared" si="100"/>
        <v>0</v>
      </c>
      <c r="L147" s="2696">
        <f t="shared" si="100"/>
        <v>0</v>
      </c>
      <c r="M147" s="3263" t="s">
        <v>61</v>
      </c>
      <c r="N147" s="3263" t="s">
        <v>61</v>
      </c>
      <c r="O147" s="3253"/>
      <c r="P147" s="334"/>
    </row>
    <row r="148" spans="1:16" s="2065" customFormat="1" ht="13.5" hidden="1" customHeight="1">
      <c r="A148" s="3265"/>
      <c r="B148" s="734" t="s">
        <v>24</v>
      </c>
      <c r="C148" s="3269" t="s">
        <v>253</v>
      </c>
      <c r="D148" s="2698">
        <f>+D149</f>
        <v>0</v>
      </c>
      <c r="E148" s="2699">
        <f t="shared" ref="E148:L148" si="101">+E149</f>
        <v>0</v>
      </c>
      <c r="F148" s="2699">
        <f t="shared" si="101"/>
        <v>0</v>
      </c>
      <c r="G148" s="2699">
        <f t="shared" si="101"/>
        <v>0</v>
      </c>
      <c r="H148" s="2699">
        <f t="shared" si="101"/>
        <v>0</v>
      </c>
      <c r="I148" s="2699">
        <f t="shared" si="101"/>
        <v>0</v>
      </c>
      <c r="J148" s="2699">
        <f t="shared" si="101"/>
        <v>0</v>
      </c>
      <c r="K148" s="2699">
        <f t="shared" si="101"/>
        <v>0</v>
      </c>
      <c r="L148" s="2699">
        <f t="shared" si="101"/>
        <v>0</v>
      </c>
      <c r="M148" s="3174"/>
      <c r="N148" s="3174"/>
      <c r="O148" s="3253"/>
      <c r="P148" s="334"/>
    </row>
    <row r="149" spans="1:16" s="2065" customFormat="1" ht="13.5" hidden="1" customHeight="1">
      <c r="A149" s="3265"/>
      <c r="B149" s="2701" t="s">
        <v>16</v>
      </c>
      <c r="C149" s="3270"/>
      <c r="D149" s="2702">
        <f>E149+F149+G149+H149+I149+J149+K149+L149</f>
        <v>0</v>
      </c>
      <c r="E149" s="1607">
        <v>0</v>
      </c>
      <c r="F149" s="2709">
        <f t="shared" ref="F149:L149" si="102">+F180+F207</f>
        <v>0</v>
      </c>
      <c r="G149" s="2709">
        <f t="shared" si="102"/>
        <v>0</v>
      </c>
      <c r="H149" s="2709">
        <f t="shared" si="102"/>
        <v>0</v>
      </c>
      <c r="I149" s="2709">
        <f t="shared" si="102"/>
        <v>0</v>
      </c>
      <c r="J149" s="2709">
        <f t="shared" si="102"/>
        <v>0</v>
      </c>
      <c r="K149" s="2709">
        <f t="shared" si="102"/>
        <v>0</v>
      </c>
      <c r="L149" s="2709">
        <f t="shared" si="102"/>
        <v>0</v>
      </c>
      <c r="M149" s="3174"/>
      <c r="N149" s="3174"/>
      <c r="O149" s="3253"/>
      <c r="P149" s="334"/>
    </row>
    <row r="150" spans="1:16" s="2065" customFormat="1" ht="13.5" customHeight="1">
      <c r="A150" s="3265"/>
      <c r="B150" s="2704" t="s">
        <v>18</v>
      </c>
      <c r="C150" s="3270"/>
      <c r="D150" s="2698">
        <f>+D151</f>
        <v>69250000</v>
      </c>
      <c r="E150" s="2699">
        <f>+E151</f>
        <v>226180</v>
      </c>
      <c r="F150" s="2699">
        <f>+F151</f>
        <v>1085079</v>
      </c>
      <c r="G150" s="2699">
        <f t="shared" ref="G150:L150" si="103">+G151</f>
        <v>9512149</v>
      </c>
      <c r="H150" s="2699">
        <f t="shared" si="103"/>
        <v>37591652</v>
      </c>
      <c r="I150" s="2699">
        <f t="shared" si="103"/>
        <v>20834940</v>
      </c>
      <c r="J150" s="2699">
        <f t="shared" si="103"/>
        <v>0</v>
      </c>
      <c r="K150" s="2699">
        <f t="shared" si="103"/>
        <v>0</v>
      </c>
      <c r="L150" s="2699">
        <f t="shared" si="103"/>
        <v>0</v>
      </c>
      <c r="M150" s="3174"/>
      <c r="N150" s="3174"/>
      <c r="O150" s="3253"/>
      <c r="P150" s="334"/>
    </row>
    <row r="151" spans="1:16" s="2065" customFormat="1" ht="14.25" customHeight="1" thickBot="1">
      <c r="A151" s="3266"/>
      <c r="B151" s="82" t="s">
        <v>21</v>
      </c>
      <c r="C151" s="3271"/>
      <c r="D151" s="1026">
        <f>E151+F151+G151+H151+I151+J151+K151+L151</f>
        <v>69250000</v>
      </c>
      <c r="E151" s="1714">
        <f t="shared" ref="E151:L151" si="104">+E167+E182+E209+E194</f>
        <v>226180</v>
      </c>
      <c r="F151" s="1714">
        <f t="shared" si="104"/>
        <v>1085079</v>
      </c>
      <c r="G151" s="1714">
        <f t="shared" si="104"/>
        <v>9512149</v>
      </c>
      <c r="H151" s="1714">
        <f t="shared" si="104"/>
        <v>37591652</v>
      </c>
      <c r="I151" s="1714">
        <f t="shared" si="104"/>
        <v>20834940</v>
      </c>
      <c r="J151" s="1714">
        <f t="shared" si="104"/>
        <v>0</v>
      </c>
      <c r="K151" s="1714">
        <f t="shared" si="104"/>
        <v>0</v>
      </c>
      <c r="L151" s="1714">
        <f t="shared" si="104"/>
        <v>0</v>
      </c>
      <c r="M151" s="3175"/>
      <c r="N151" s="3175"/>
      <c r="O151" s="3254"/>
      <c r="P151" s="334"/>
    </row>
    <row r="152" spans="1:16" s="2065" customFormat="1" ht="24" hidden="1" customHeight="1">
      <c r="A152" s="2553"/>
      <c r="B152" s="1715" t="s">
        <v>249</v>
      </c>
      <c r="C152" s="1716"/>
      <c r="D152" s="1717">
        <f t="shared" ref="D152:L152" si="105">+D168+D183+D195+D210</f>
        <v>18000000</v>
      </c>
      <c r="E152" s="1717">
        <f t="shared" si="105"/>
        <v>226180</v>
      </c>
      <c r="F152" s="1717">
        <f t="shared" si="105"/>
        <v>1085079</v>
      </c>
      <c r="G152" s="1717">
        <f t="shared" si="105"/>
        <v>5294849</v>
      </c>
      <c r="H152" s="1717">
        <f t="shared" si="105"/>
        <v>11393892</v>
      </c>
      <c r="I152" s="1717">
        <f t="shared" si="105"/>
        <v>0</v>
      </c>
      <c r="J152" s="1717">
        <f t="shared" si="105"/>
        <v>0</v>
      </c>
      <c r="K152" s="1717">
        <f t="shared" si="105"/>
        <v>0</v>
      </c>
      <c r="L152" s="1717">
        <f t="shared" si="105"/>
        <v>0</v>
      </c>
      <c r="M152" s="1718"/>
      <c r="N152" s="1718"/>
      <c r="O152" s="1719"/>
      <c r="P152" s="334"/>
    </row>
    <row r="153" spans="1:16" s="2065" customFormat="1" ht="24" hidden="1" customHeight="1">
      <c r="A153" s="2553"/>
      <c r="B153" s="737" t="s">
        <v>250</v>
      </c>
      <c r="C153" s="1716"/>
      <c r="D153" s="1713">
        <f>+D184</f>
        <v>10250000</v>
      </c>
      <c r="E153" s="1713">
        <v>0</v>
      </c>
      <c r="F153" s="1713">
        <f t="shared" ref="F153:L153" si="106">+F184</f>
        <v>0</v>
      </c>
      <c r="G153" s="1713">
        <f t="shared" si="106"/>
        <v>4217300</v>
      </c>
      <c r="H153" s="1713">
        <f t="shared" si="106"/>
        <v>5985496</v>
      </c>
      <c r="I153" s="1713">
        <f t="shared" si="106"/>
        <v>47204</v>
      </c>
      <c r="J153" s="1713">
        <f t="shared" si="106"/>
        <v>0</v>
      </c>
      <c r="K153" s="1713">
        <f t="shared" si="106"/>
        <v>0</v>
      </c>
      <c r="L153" s="1713">
        <f t="shared" si="106"/>
        <v>0</v>
      </c>
      <c r="M153" s="1718"/>
      <c r="N153" s="1718"/>
      <c r="O153" s="1719"/>
      <c r="P153" s="334"/>
    </row>
    <row r="154" spans="1:16" s="2065" customFormat="1" ht="24" hidden="1" customHeight="1" thickBot="1">
      <c r="A154" s="2554"/>
      <c r="B154" s="1720" t="s">
        <v>251</v>
      </c>
      <c r="C154" s="1721"/>
      <c r="D154" s="1714">
        <f>+D211</f>
        <v>41000000</v>
      </c>
      <c r="E154" s="1714">
        <v>0</v>
      </c>
      <c r="F154" s="1714">
        <f t="shared" ref="F154:L154" si="107">+F211</f>
        <v>0</v>
      </c>
      <c r="G154" s="1714">
        <f t="shared" si="107"/>
        <v>0</v>
      </c>
      <c r="H154" s="1714">
        <f t="shared" si="107"/>
        <v>20212264</v>
      </c>
      <c r="I154" s="1714">
        <f t="shared" si="107"/>
        <v>20787736</v>
      </c>
      <c r="J154" s="1714">
        <f t="shared" si="107"/>
        <v>0</v>
      </c>
      <c r="K154" s="1714">
        <f t="shared" si="107"/>
        <v>0</v>
      </c>
      <c r="L154" s="1714">
        <f t="shared" si="107"/>
        <v>0</v>
      </c>
      <c r="M154" s="1722"/>
      <c r="N154" s="1722"/>
      <c r="O154" s="1723"/>
      <c r="P154" s="334"/>
    </row>
    <row r="155" spans="1:16" s="2065" customFormat="1" ht="18.75" hidden="1" customHeight="1">
      <c r="A155" s="3264" t="s">
        <v>435</v>
      </c>
      <c r="B155" s="1724" t="s">
        <v>254</v>
      </c>
      <c r="C155" s="1725" t="s">
        <v>109</v>
      </c>
      <c r="D155" s="1726"/>
      <c r="E155" s="1728"/>
      <c r="F155" s="1727"/>
      <c r="G155" s="1727"/>
      <c r="H155" s="1727"/>
      <c r="I155" s="1727"/>
      <c r="J155" s="1727"/>
      <c r="K155" s="1727"/>
      <c r="L155" s="1729"/>
      <c r="M155" s="1730"/>
      <c r="N155" s="1730"/>
      <c r="O155" s="1719"/>
      <c r="P155" s="334"/>
    </row>
    <row r="156" spans="1:16" s="2065" customFormat="1" ht="13.5" hidden="1" customHeight="1">
      <c r="A156" s="3265"/>
      <c r="B156" s="83" t="s">
        <v>10</v>
      </c>
      <c r="C156" s="1731"/>
      <c r="D156" s="1732">
        <f t="shared" ref="D156:D168" si="108">SUM(E156:L156)</f>
        <v>0</v>
      </c>
      <c r="E156" s="379">
        <v>0</v>
      </c>
      <c r="F156" s="379">
        <f t="shared" ref="F156:L156" si="109">+F157+F160</f>
        <v>0</v>
      </c>
      <c r="G156" s="379">
        <f t="shared" si="109"/>
        <v>0</v>
      </c>
      <c r="H156" s="379">
        <f t="shared" si="109"/>
        <v>0</v>
      </c>
      <c r="I156" s="379">
        <f t="shared" si="109"/>
        <v>0</v>
      </c>
      <c r="J156" s="379">
        <f t="shared" si="109"/>
        <v>0</v>
      </c>
      <c r="K156" s="379">
        <f t="shared" si="109"/>
        <v>0</v>
      </c>
      <c r="L156" s="379">
        <f t="shared" si="109"/>
        <v>0</v>
      </c>
      <c r="M156" s="382">
        <f t="shared" ref="M156:N162" si="110">SUM(D156:K156)</f>
        <v>0</v>
      </c>
      <c r="N156" s="382">
        <f t="shared" si="110"/>
        <v>0</v>
      </c>
      <c r="O156" s="1719"/>
      <c r="P156" s="334"/>
    </row>
    <row r="157" spans="1:16" s="2065" customFormat="1" ht="13.5" hidden="1" customHeight="1">
      <c r="A157" s="3265"/>
      <c r="B157" s="174" t="s">
        <v>24</v>
      </c>
      <c r="C157" s="3272" t="s">
        <v>261</v>
      </c>
      <c r="D157" s="1733">
        <f t="shared" si="108"/>
        <v>0</v>
      </c>
      <c r="E157" s="364">
        <v>0</v>
      </c>
      <c r="F157" s="364">
        <f t="shared" ref="F157:L157" si="111">+F158+F159</f>
        <v>0</v>
      </c>
      <c r="G157" s="364">
        <f t="shared" si="111"/>
        <v>0</v>
      </c>
      <c r="H157" s="364">
        <f t="shared" si="111"/>
        <v>0</v>
      </c>
      <c r="I157" s="364">
        <f t="shared" si="111"/>
        <v>0</v>
      </c>
      <c r="J157" s="364">
        <f t="shared" si="111"/>
        <v>0</v>
      </c>
      <c r="K157" s="364">
        <f t="shared" si="111"/>
        <v>0</v>
      </c>
      <c r="L157" s="364">
        <f t="shared" si="111"/>
        <v>0</v>
      </c>
      <c r="M157" s="382">
        <f t="shared" si="110"/>
        <v>0</v>
      </c>
      <c r="N157" s="382">
        <f t="shared" si="110"/>
        <v>0</v>
      </c>
      <c r="O157" s="1719"/>
      <c r="P157" s="334"/>
    </row>
    <row r="158" spans="1:16" s="2065" customFormat="1" ht="13.5" hidden="1" customHeight="1">
      <c r="A158" s="3265"/>
      <c r="B158" s="1734" t="s">
        <v>12</v>
      </c>
      <c r="C158" s="3295"/>
      <c r="D158" s="1735">
        <f t="shared" si="108"/>
        <v>0</v>
      </c>
      <c r="E158" s="363"/>
      <c r="F158" s="1735">
        <f>1524390-1524390</f>
        <v>0</v>
      </c>
      <c r="G158" s="1735">
        <f>1840690-1840690</f>
        <v>0</v>
      </c>
      <c r="H158" s="1735"/>
      <c r="I158" s="1735"/>
      <c r="J158" s="1736"/>
      <c r="K158" s="1736"/>
      <c r="L158" s="1736"/>
      <c r="M158" s="1737">
        <f t="shared" si="110"/>
        <v>0</v>
      </c>
      <c r="N158" s="1737">
        <f t="shared" si="110"/>
        <v>0</v>
      </c>
      <c r="O158" s="1719"/>
      <c r="P158" s="334"/>
    </row>
    <row r="159" spans="1:16" s="2065" customFormat="1" ht="13.5" hidden="1" customHeight="1">
      <c r="A159" s="3265"/>
      <c r="B159" s="1734" t="s">
        <v>62</v>
      </c>
      <c r="C159" s="3295"/>
      <c r="D159" s="1738">
        <f t="shared" si="108"/>
        <v>0</v>
      </c>
      <c r="E159" s="1739"/>
      <c r="F159" s="1738"/>
      <c r="G159" s="1738"/>
      <c r="H159" s="1738"/>
      <c r="I159" s="1738"/>
      <c r="J159" s="1740"/>
      <c r="K159" s="1740"/>
      <c r="L159" s="1740"/>
      <c r="M159" s="1741">
        <f t="shared" si="110"/>
        <v>0</v>
      </c>
      <c r="N159" s="1741">
        <f t="shared" si="110"/>
        <v>0</v>
      </c>
      <c r="O159" s="1719"/>
      <c r="P159" s="334"/>
    </row>
    <row r="160" spans="1:16" s="2065" customFormat="1" ht="13.5" hidden="1" customHeight="1">
      <c r="A160" s="3265"/>
      <c r="B160" s="84" t="s">
        <v>18</v>
      </c>
      <c r="C160" s="3295"/>
      <c r="D160" s="1733">
        <f t="shared" si="108"/>
        <v>0</v>
      </c>
      <c r="E160" s="364">
        <v>0</v>
      </c>
      <c r="F160" s="364">
        <f t="shared" ref="F160:L160" si="112">+F161</f>
        <v>0</v>
      </c>
      <c r="G160" s="364">
        <f t="shared" si="112"/>
        <v>0</v>
      </c>
      <c r="H160" s="364">
        <f t="shared" si="112"/>
        <v>0</v>
      </c>
      <c r="I160" s="364">
        <f t="shared" si="112"/>
        <v>0</v>
      </c>
      <c r="J160" s="364">
        <f t="shared" si="112"/>
        <v>0</v>
      </c>
      <c r="K160" s="364">
        <f t="shared" si="112"/>
        <v>0</v>
      </c>
      <c r="L160" s="364">
        <f t="shared" si="112"/>
        <v>0</v>
      </c>
      <c r="M160" s="1742">
        <f t="shared" si="110"/>
        <v>0</v>
      </c>
      <c r="N160" s="1742">
        <f t="shared" si="110"/>
        <v>0</v>
      </c>
      <c r="O160" s="1719"/>
      <c r="P160" s="334"/>
    </row>
    <row r="161" spans="1:16" s="2065" customFormat="1" ht="13.5" hidden="1" customHeight="1">
      <c r="A161" s="3265"/>
      <c r="B161" s="1743" t="s">
        <v>21</v>
      </c>
      <c r="C161" s="3295"/>
      <c r="D161" s="1735">
        <f t="shared" si="108"/>
        <v>0</v>
      </c>
      <c r="E161" s="363">
        <v>0</v>
      </c>
      <c r="F161" s="363">
        <f t="shared" ref="F161:L161" si="113">+F162</f>
        <v>0</v>
      </c>
      <c r="G161" s="363">
        <f t="shared" si="113"/>
        <v>0</v>
      </c>
      <c r="H161" s="363">
        <f t="shared" si="113"/>
        <v>0</v>
      </c>
      <c r="I161" s="363">
        <f t="shared" si="113"/>
        <v>0</v>
      </c>
      <c r="J161" s="363">
        <f t="shared" si="113"/>
        <v>0</v>
      </c>
      <c r="K161" s="363">
        <f t="shared" si="113"/>
        <v>0</v>
      </c>
      <c r="L161" s="363">
        <f t="shared" si="113"/>
        <v>0</v>
      </c>
      <c r="M161" s="1737">
        <f t="shared" si="110"/>
        <v>0</v>
      </c>
      <c r="N161" s="1737">
        <f t="shared" si="110"/>
        <v>0</v>
      </c>
      <c r="O161" s="1719"/>
      <c r="P161" s="334"/>
    </row>
    <row r="162" spans="1:16" s="2065" customFormat="1" ht="24.75" hidden="1" customHeight="1">
      <c r="A162" s="3265"/>
      <c r="B162" s="1744" t="s">
        <v>255</v>
      </c>
      <c r="C162" s="3273"/>
      <c r="D162" s="1738">
        <f t="shared" si="108"/>
        <v>0</v>
      </c>
      <c r="E162" s="1739"/>
      <c r="F162" s="1738">
        <f>624800-624800</f>
        <v>0</v>
      </c>
      <c r="G162" s="1738">
        <f>312400-312400</f>
        <v>0</v>
      </c>
      <c r="H162" s="1738"/>
      <c r="I162" s="1738"/>
      <c r="J162" s="1740"/>
      <c r="K162" s="1740"/>
      <c r="L162" s="1738"/>
      <c r="M162" s="1741">
        <f t="shared" si="110"/>
        <v>0</v>
      </c>
      <c r="N162" s="1741">
        <f t="shared" si="110"/>
        <v>0</v>
      </c>
      <c r="O162" s="1719"/>
      <c r="P162" s="334"/>
    </row>
    <row r="163" spans="1:16" s="2065" customFormat="1" ht="13.5" hidden="1" customHeight="1">
      <c r="A163" s="3265"/>
      <c r="B163" s="21" t="s">
        <v>252</v>
      </c>
      <c r="C163" s="177"/>
      <c r="D163" s="1745">
        <f t="shared" si="108"/>
        <v>0</v>
      </c>
      <c r="E163" s="1745">
        <v>0</v>
      </c>
      <c r="F163" s="1745">
        <f t="shared" ref="F163:L163" si="114">+F164+F166</f>
        <v>0</v>
      </c>
      <c r="G163" s="1745">
        <f t="shared" si="114"/>
        <v>0</v>
      </c>
      <c r="H163" s="1745">
        <f t="shared" si="114"/>
        <v>0</v>
      </c>
      <c r="I163" s="1745">
        <f t="shared" si="114"/>
        <v>0</v>
      </c>
      <c r="J163" s="1745">
        <f t="shared" si="114"/>
        <v>0</v>
      </c>
      <c r="K163" s="1745">
        <f t="shared" si="114"/>
        <v>0</v>
      </c>
      <c r="L163" s="1745">
        <f t="shared" si="114"/>
        <v>0</v>
      </c>
      <c r="M163" s="3176" t="s">
        <v>61</v>
      </c>
      <c r="N163" s="3176" t="s">
        <v>61</v>
      </c>
      <c r="O163" s="1719"/>
      <c r="P163" s="334"/>
    </row>
    <row r="164" spans="1:16" s="2065" customFormat="1" ht="13.5" hidden="1" customHeight="1">
      <c r="A164" s="3265"/>
      <c r="B164" s="174" t="s">
        <v>24</v>
      </c>
      <c r="C164" s="3272" t="s">
        <v>261</v>
      </c>
      <c r="D164" s="1746">
        <f t="shared" si="108"/>
        <v>0</v>
      </c>
      <c r="E164" s="1747">
        <v>0</v>
      </c>
      <c r="F164" s="1747">
        <f t="shared" ref="F164:L164" si="115">+F165</f>
        <v>0</v>
      </c>
      <c r="G164" s="1747">
        <f t="shared" si="115"/>
        <v>0</v>
      </c>
      <c r="H164" s="1747">
        <f t="shared" si="115"/>
        <v>0</v>
      </c>
      <c r="I164" s="1747">
        <f t="shared" si="115"/>
        <v>0</v>
      </c>
      <c r="J164" s="1747">
        <f t="shared" si="115"/>
        <v>0</v>
      </c>
      <c r="K164" s="1747">
        <f t="shared" si="115"/>
        <v>0</v>
      </c>
      <c r="L164" s="1747">
        <f t="shared" si="115"/>
        <v>0</v>
      </c>
      <c r="M164" s="3177"/>
      <c r="N164" s="3177"/>
      <c r="O164" s="1719"/>
      <c r="P164" s="334"/>
    </row>
    <row r="165" spans="1:16" s="2065" customFormat="1" ht="13.5" hidden="1" customHeight="1">
      <c r="A165" s="3265"/>
      <c r="B165" s="1734" t="s">
        <v>62</v>
      </c>
      <c r="C165" s="3273"/>
      <c r="D165" s="1748">
        <f t="shared" si="108"/>
        <v>0</v>
      </c>
      <c r="E165" s="423"/>
      <c r="F165" s="1749"/>
      <c r="G165" s="1749"/>
      <c r="H165" s="1749"/>
      <c r="I165" s="1749"/>
      <c r="J165" s="1749"/>
      <c r="K165" s="1749"/>
      <c r="L165" s="1749"/>
      <c r="M165" s="3177"/>
      <c r="N165" s="3177"/>
      <c r="O165" s="1719"/>
      <c r="P165" s="334"/>
    </row>
    <row r="166" spans="1:16" s="2065" customFormat="1" ht="12" hidden="1" customHeight="1">
      <c r="A166" s="3265"/>
      <c r="B166" s="84" t="s">
        <v>18</v>
      </c>
      <c r="C166" s="3292" t="s">
        <v>221</v>
      </c>
      <c r="D166" s="1750">
        <f t="shared" si="108"/>
        <v>0</v>
      </c>
      <c r="E166" s="1751">
        <v>0</v>
      </c>
      <c r="F166" s="1751">
        <f t="shared" ref="F166:L166" si="116">+F167</f>
        <v>0</v>
      </c>
      <c r="G166" s="1751">
        <f t="shared" si="116"/>
        <v>0</v>
      </c>
      <c r="H166" s="1751">
        <f t="shared" si="116"/>
        <v>0</v>
      </c>
      <c r="I166" s="1751">
        <f t="shared" si="116"/>
        <v>0</v>
      </c>
      <c r="J166" s="1751">
        <f t="shared" si="116"/>
        <v>0</v>
      </c>
      <c r="K166" s="1751">
        <f t="shared" si="116"/>
        <v>0</v>
      </c>
      <c r="L166" s="1751">
        <f t="shared" si="116"/>
        <v>0</v>
      </c>
      <c r="M166" s="3177"/>
      <c r="N166" s="3177"/>
      <c r="O166" s="1719"/>
      <c r="P166" s="334"/>
    </row>
    <row r="167" spans="1:16" s="2065" customFormat="1" ht="15" hidden="1" customHeight="1">
      <c r="A167" s="3265"/>
      <c r="B167" s="1743" t="s">
        <v>21</v>
      </c>
      <c r="C167" s="3293"/>
      <c r="D167" s="1748">
        <f t="shared" si="108"/>
        <v>0</v>
      </c>
      <c r="E167" s="423">
        <v>0</v>
      </c>
      <c r="F167" s="423">
        <f t="shared" ref="F167:L167" si="117">+F168</f>
        <v>0</v>
      </c>
      <c r="G167" s="423">
        <f t="shared" si="117"/>
        <v>0</v>
      </c>
      <c r="H167" s="423">
        <f t="shared" si="117"/>
        <v>0</v>
      </c>
      <c r="I167" s="423">
        <f t="shared" si="117"/>
        <v>0</v>
      </c>
      <c r="J167" s="423">
        <f t="shared" si="117"/>
        <v>0</v>
      </c>
      <c r="K167" s="423">
        <f t="shared" si="117"/>
        <v>0</v>
      </c>
      <c r="L167" s="423">
        <f t="shared" si="117"/>
        <v>0</v>
      </c>
      <c r="M167" s="3177"/>
      <c r="N167" s="3177"/>
      <c r="O167" s="1719"/>
      <c r="P167" s="334"/>
    </row>
    <row r="168" spans="1:16" s="2065" customFormat="1" ht="24" hidden="1" customHeight="1">
      <c r="A168" s="2066"/>
      <c r="B168" s="1752" t="s">
        <v>249</v>
      </c>
      <c r="C168" s="3294"/>
      <c r="D168" s="1753">
        <f t="shared" si="108"/>
        <v>0</v>
      </c>
      <c r="E168" s="1754"/>
      <c r="F168" s="1753">
        <f>624800-624800</f>
        <v>0</v>
      </c>
      <c r="G168" s="1753">
        <f>312400-312400</f>
        <v>0</v>
      </c>
      <c r="H168" s="1753"/>
      <c r="I168" s="1753"/>
      <c r="J168" s="1753"/>
      <c r="K168" s="1753"/>
      <c r="L168" s="1753"/>
      <c r="M168" s="3276"/>
      <c r="N168" s="3276"/>
      <c r="O168" s="1719"/>
      <c r="P168" s="334"/>
    </row>
    <row r="169" spans="1:16" s="2065" customFormat="1" ht="15.75" hidden="1" customHeight="1">
      <c r="A169" s="3278" t="s">
        <v>436</v>
      </c>
      <c r="B169" s="2710" t="s">
        <v>254</v>
      </c>
      <c r="C169" s="2711" t="s">
        <v>81</v>
      </c>
      <c r="D169" s="2712"/>
      <c r="E169" s="2713"/>
      <c r="F169" s="2714"/>
      <c r="G169" s="2714"/>
      <c r="H169" s="2714"/>
      <c r="I169" s="2714"/>
      <c r="J169" s="2714"/>
      <c r="K169" s="2714"/>
      <c r="L169" s="2715"/>
      <c r="M169" s="2716"/>
      <c r="N169" s="2716"/>
      <c r="O169" s="1719"/>
      <c r="P169" s="334"/>
    </row>
    <row r="170" spans="1:16" s="2065" customFormat="1" ht="13.5" hidden="1" customHeight="1">
      <c r="A170" s="3265"/>
      <c r="B170" s="190" t="s">
        <v>10</v>
      </c>
      <c r="C170" s="2717"/>
      <c r="D170" s="426">
        <f t="shared" ref="D170:D177" si="118">SUM(E170:L170)</f>
        <v>32593801</v>
      </c>
      <c r="E170" s="2718">
        <f t="shared" ref="E170" si="119">+E171+E174</f>
        <v>360377</v>
      </c>
      <c r="F170" s="2718">
        <f t="shared" ref="F170:L170" si="120">+F171+F174</f>
        <v>1086751</v>
      </c>
      <c r="G170" s="2718">
        <f t="shared" si="120"/>
        <v>13852629</v>
      </c>
      <c r="H170" s="2718">
        <f t="shared" si="120"/>
        <v>17246840</v>
      </c>
      <c r="I170" s="2718">
        <f t="shared" si="120"/>
        <v>47204</v>
      </c>
      <c r="J170" s="2718">
        <f t="shared" si="120"/>
        <v>0</v>
      </c>
      <c r="K170" s="2718">
        <f t="shared" si="120"/>
        <v>0</v>
      </c>
      <c r="L170" s="2718">
        <f t="shared" si="120"/>
        <v>0</v>
      </c>
      <c r="M170" s="2697">
        <f>+M171+M174</f>
        <v>32233424</v>
      </c>
      <c r="N170" s="2697">
        <f>+N171+N174</f>
        <v>31146673</v>
      </c>
      <c r="O170" s="1719"/>
      <c r="P170" s="334"/>
    </row>
    <row r="171" spans="1:16" s="2065" customFormat="1" ht="14.25" hidden="1" customHeight="1">
      <c r="A171" s="3265"/>
      <c r="B171" s="231" t="s">
        <v>24</v>
      </c>
      <c r="C171" s="3280" t="s">
        <v>261</v>
      </c>
      <c r="D171" s="2719">
        <f t="shared" si="118"/>
        <v>4343801</v>
      </c>
      <c r="E171" s="2720">
        <f t="shared" ref="E171" si="121">+E172+E173</f>
        <v>0</v>
      </c>
      <c r="F171" s="2720">
        <f t="shared" ref="F171:L171" si="122">+F172+F173</f>
        <v>3321</v>
      </c>
      <c r="G171" s="2720">
        <f t="shared" si="122"/>
        <v>4340480</v>
      </c>
      <c r="H171" s="2720">
        <f t="shared" si="122"/>
        <v>0</v>
      </c>
      <c r="I171" s="2720">
        <f t="shared" si="122"/>
        <v>0</v>
      </c>
      <c r="J171" s="2720">
        <f t="shared" si="122"/>
        <v>0</v>
      </c>
      <c r="K171" s="2720">
        <f t="shared" si="122"/>
        <v>0</v>
      </c>
      <c r="L171" s="2720">
        <f t="shared" si="122"/>
        <v>0</v>
      </c>
      <c r="M171" s="2721">
        <f>+M172+M173</f>
        <v>4343801</v>
      </c>
      <c r="N171" s="2721">
        <f>+N172+N173</f>
        <v>4340480</v>
      </c>
      <c r="O171" s="1719"/>
      <c r="P171" s="334"/>
    </row>
    <row r="172" spans="1:16" s="2065" customFormat="1" ht="15" hidden="1" customHeight="1">
      <c r="A172" s="3265"/>
      <c r="B172" s="1734" t="s">
        <v>12</v>
      </c>
      <c r="C172" s="3295"/>
      <c r="D172" s="2722">
        <f t="shared" si="118"/>
        <v>4343801</v>
      </c>
      <c r="E172" s="2723">
        <v>0</v>
      </c>
      <c r="F172" s="2722">
        <f>2771900+1650960-4222860-196679</f>
        <v>3321</v>
      </c>
      <c r="G172" s="2722">
        <f>1331570+1528290+1746993-424083+157710</f>
        <v>4340480</v>
      </c>
      <c r="H172" s="2722">
        <f>504177+3517230-4021407</f>
        <v>0</v>
      </c>
      <c r="I172" s="2722"/>
      <c r="J172" s="2722"/>
      <c r="K172" s="2722"/>
      <c r="L172" s="2722"/>
      <c r="M172" s="2724">
        <f>SUM(F172:K172)</f>
        <v>4343801</v>
      </c>
      <c r="N172" s="2724">
        <f>SUM(G172:L172)</f>
        <v>4340480</v>
      </c>
      <c r="O172" s="1719"/>
      <c r="P172" s="334"/>
    </row>
    <row r="173" spans="1:16" s="2065" customFormat="1" ht="17.25" hidden="1" customHeight="1">
      <c r="A173" s="3265"/>
      <c r="B173" s="1734" t="s">
        <v>62</v>
      </c>
      <c r="C173" s="3295"/>
      <c r="D173" s="2725">
        <f t="shared" si="118"/>
        <v>0</v>
      </c>
      <c r="E173" s="2726"/>
      <c r="F173" s="2725"/>
      <c r="G173" s="2725"/>
      <c r="H173" s="2725"/>
      <c r="I173" s="2725"/>
      <c r="J173" s="2725"/>
      <c r="K173" s="2725"/>
      <c r="L173" s="2725"/>
      <c r="M173" s="2724">
        <f>SUM(F173:K173)</f>
        <v>0</v>
      </c>
      <c r="N173" s="2724">
        <f>SUM(G173:L173)</f>
        <v>0</v>
      </c>
      <c r="O173" s="1719"/>
      <c r="P173" s="334"/>
    </row>
    <row r="174" spans="1:16" s="285" customFormat="1" ht="15.75" hidden="1" customHeight="1">
      <c r="A174" s="3265"/>
      <c r="B174" s="948" t="s">
        <v>18</v>
      </c>
      <c r="C174" s="3295"/>
      <c r="D174" s="2719">
        <f t="shared" si="118"/>
        <v>28250000</v>
      </c>
      <c r="E174" s="2719">
        <f>+E175</f>
        <v>360377</v>
      </c>
      <c r="F174" s="2719">
        <f>+F175</f>
        <v>1083430</v>
      </c>
      <c r="G174" s="2719">
        <f t="shared" ref="G174:L174" si="123">+G175</f>
        <v>9512149</v>
      </c>
      <c r="H174" s="2719">
        <f t="shared" si="123"/>
        <v>17246840</v>
      </c>
      <c r="I174" s="2719">
        <f t="shared" si="123"/>
        <v>47204</v>
      </c>
      <c r="J174" s="2719">
        <f t="shared" si="123"/>
        <v>0</v>
      </c>
      <c r="K174" s="2719">
        <f t="shared" si="123"/>
        <v>0</v>
      </c>
      <c r="L174" s="2719">
        <f t="shared" si="123"/>
        <v>0</v>
      </c>
      <c r="M174" s="2721">
        <f>+M175</f>
        <v>27889623</v>
      </c>
      <c r="N174" s="2721">
        <f>+N175</f>
        <v>26806193</v>
      </c>
      <c r="O174" s="1719"/>
      <c r="P174" s="377"/>
    </row>
    <row r="175" spans="1:16" s="2065" customFormat="1" ht="13.5" hidden="1" customHeight="1">
      <c r="A175" s="3265"/>
      <c r="B175" s="1743" t="s">
        <v>21</v>
      </c>
      <c r="C175" s="3295"/>
      <c r="D175" s="2722">
        <f t="shared" si="118"/>
        <v>28250000</v>
      </c>
      <c r="E175" s="2723">
        <f>+E176+E177</f>
        <v>360377</v>
      </c>
      <c r="F175" s="2723">
        <f>+F176+F177</f>
        <v>1083430</v>
      </c>
      <c r="G175" s="2723">
        <f t="shared" ref="G175:L175" si="124">+G176+G177</f>
        <v>9512149</v>
      </c>
      <c r="H175" s="2723">
        <f t="shared" si="124"/>
        <v>17246840</v>
      </c>
      <c r="I175" s="2723">
        <f t="shared" si="124"/>
        <v>47204</v>
      </c>
      <c r="J175" s="2723">
        <f t="shared" si="124"/>
        <v>0</v>
      </c>
      <c r="K175" s="2723">
        <f t="shared" si="124"/>
        <v>0</v>
      </c>
      <c r="L175" s="2723">
        <f t="shared" si="124"/>
        <v>0</v>
      </c>
      <c r="M175" s="2724">
        <f>+M176+M177</f>
        <v>27889623</v>
      </c>
      <c r="N175" s="2724">
        <f>+N176+N177</f>
        <v>26806193</v>
      </c>
      <c r="O175" s="1719"/>
      <c r="P175" s="334"/>
    </row>
    <row r="176" spans="1:16" s="2065" customFormat="1" ht="27" hidden="1" customHeight="1">
      <c r="A176" s="3265"/>
      <c r="B176" s="1744" t="s">
        <v>249</v>
      </c>
      <c r="C176" s="3295"/>
      <c r="D176" s="2725">
        <f t="shared" si="118"/>
        <v>18000000</v>
      </c>
      <c r="E176" s="2726">
        <v>360377</v>
      </c>
      <c r="F176" s="2725">
        <f>6627800+624800-3893137-346286-1929747</f>
        <v>1083430</v>
      </c>
      <c r="G176" s="2725">
        <f>8003000+624800+1372200+2609637-7314788</f>
        <v>5294849</v>
      </c>
      <c r="H176" s="2725">
        <f>3584737+432072+5314788+1929747</f>
        <v>11261344</v>
      </c>
      <c r="I176" s="2725">
        <v>0</v>
      </c>
      <c r="J176" s="2725">
        <v>0</v>
      </c>
      <c r="K176" s="2725">
        <v>0</v>
      </c>
      <c r="L176" s="2725">
        <v>0</v>
      </c>
      <c r="M176" s="2724">
        <f>SUM(F176:K176)</f>
        <v>17639623</v>
      </c>
      <c r="N176" s="2724">
        <f>SUM(G176:L176)</f>
        <v>16556193</v>
      </c>
      <c r="O176" s="1719"/>
      <c r="P176" s="334"/>
    </row>
    <row r="177" spans="1:16" s="2065" customFormat="1" ht="21.75" hidden="1" customHeight="1">
      <c r="A177" s="3265"/>
      <c r="B177" s="1744" t="s">
        <v>250</v>
      </c>
      <c r="C177" s="3273"/>
      <c r="D177" s="2725">
        <f t="shared" si="118"/>
        <v>10250000</v>
      </c>
      <c r="E177" s="2726">
        <v>0</v>
      </c>
      <c r="F177" s="2725">
        <f>3000000-3000000</f>
        <v>0</v>
      </c>
      <c r="G177" s="2725">
        <f>7000000+143000-583000-2342700</f>
        <v>4217300</v>
      </c>
      <c r="H177" s="2725">
        <f>2857000+833000+2295496</f>
        <v>5985496</v>
      </c>
      <c r="I177" s="2725">
        <v>47204</v>
      </c>
      <c r="J177" s="2725">
        <v>0</v>
      </c>
      <c r="K177" s="2725">
        <v>0</v>
      </c>
      <c r="L177" s="2725">
        <v>0</v>
      </c>
      <c r="M177" s="2724">
        <f>SUM(F177:K177)</f>
        <v>10250000</v>
      </c>
      <c r="N177" s="2724">
        <f>SUM(G177:L177)</f>
        <v>10250000</v>
      </c>
      <c r="O177" s="1719"/>
      <c r="P177" s="334"/>
    </row>
    <row r="178" spans="1:16" s="2065" customFormat="1" ht="17.25" hidden="1" customHeight="1">
      <c r="A178" s="3265"/>
      <c r="B178" s="190" t="s">
        <v>252</v>
      </c>
      <c r="C178" s="177"/>
      <c r="D178" s="2718">
        <f t="shared" ref="D178:L178" si="125">+D179+D181</f>
        <v>28250000</v>
      </c>
      <c r="E178" s="2718">
        <f t="shared" ref="E178" si="126">+E179+E181</f>
        <v>226180</v>
      </c>
      <c r="F178" s="2718">
        <f t="shared" si="125"/>
        <v>1085079</v>
      </c>
      <c r="G178" s="2718">
        <f t="shared" si="125"/>
        <v>9512149</v>
      </c>
      <c r="H178" s="2718">
        <f t="shared" si="125"/>
        <v>17379388</v>
      </c>
      <c r="I178" s="2718">
        <f t="shared" si="125"/>
        <v>47204</v>
      </c>
      <c r="J178" s="2718">
        <f t="shared" si="125"/>
        <v>0</v>
      </c>
      <c r="K178" s="2718">
        <f t="shared" si="125"/>
        <v>0</v>
      </c>
      <c r="L178" s="2718">
        <f t="shared" si="125"/>
        <v>0</v>
      </c>
      <c r="M178" s="3274" t="s">
        <v>61</v>
      </c>
      <c r="N178" s="3274" t="s">
        <v>61</v>
      </c>
      <c r="O178" s="1719"/>
      <c r="P178" s="334"/>
    </row>
    <row r="179" spans="1:16" s="2065" customFormat="1" ht="13.5" hidden="1" customHeight="1">
      <c r="A179" s="3265"/>
      <c r="B179" s="231" t="s">
        <v>24</v>
      </c>
      <c r="C179" s="3280" t="s">
        <v>261</v>
      </c>
      <c r="D179" s="2719">
        <f t="shared" ref="D179:D184" si="127">SUM(E179:L179)</f>
        <v>0</v>
      </c>
      <c r="E179" s="2720">
        <f t="shared" ref="E179:L179" si="128">+E180</f>
        <v>0</v>
      </c>
      <c r="F179" s="2720">
        <f t="shared" si="128"/>
        <v>0</v>
      </c>
      <c r="G179" s="2720">
        <f t="shared" si="128"/>
        <v>0</v>
      </c>
      <c r="H179" s="2720">
        <f t="shared" si="128"/>
        <v>0</v>
      </c>
      <c r="I179" s="2720">
        <f t="shared" si="128"/>
        <v>0</v>
      </c>
      <c r="J179" s="2720">
        <f t="shared" si="128"/>
        <v>0</v>
      </c>
      <c r="K179" s="2720">
        <f t="shared" si="128"/>
        <v>0</v>
      </c>
      <c r="L179" s="2720">
        <f t="shared" si="128"/>
        <v>0</v>
      </c>
      <c r="M179" s="3174"/>
      <c r="N179" s="3174"/>
      <c r="O179" s="1719"/>
      <c r="P179" s="334"/>
    </row>
    <row r="180" spans="1:16" s="2065" customFormat="1" ht="15" hidden="1" customHeight="1">
      <c r="A180" s="3265"/>
      <c r="B180" s="1734" t="s">
        <v>62</v>
      </c>
      <c r="C180" s="3273"/>
      <c r="D180" s="2725">
        <f t="shared" si="127"/>
        <v>0</v>
      </c>
      <c r="E180" s="2725"/>
      <c r="F180" s="2725"/>
      <c r="G180" s="2725"/>
      <c r="H180" s="2725"/>
      <c r="I180" s="2725"/>
      <c r="J180" s="2725"/>
      <c r="K180" s="2725"/>
      <c r="L180" s="2725"/>
      <c r="M180" s="3174"/>
      <c r="N180" s="3174"/>
      <c r="O180" s="1719"/>
      <c r="P180" s="334"/>
    </row>
    <row r="181" spans="1:16" s="2065" customFormat="1" ht="18.75" hidden="1" customHeight="1">
      <c r="A181" s="3265"/>
      <c r="B181" s="948" t="s">
        <v>18</v>
      </c>
      <c r="C181" s="3280" t="s">
        <v>267</v>
      </c>
      <c r="D181" s="2719">
        <f t="shared" si="127"/>
        <v>28250000</v>
      </c>
      <c r="E181" s="2720">
        <f t="shared" ref="E181:L181" si="129">+E182</f>
        <v>226180</v>
      </c>
      <c r="F181" s="2720">
        <f t="shared" si="129"/>
        <v>1085079</v>
      </c>
      <c r="G181" s="2720">
        <f t="shared" si="129"/>
        <v>9512149</v>
      </c>
      <c r="H181" s="2720">
        <f t="shared" si="129"/>
        <v>17379388</v>
      </c>
      <c r="I181" s="2720">
        <f t="shared" si="129"/>
        <v>47204</v>
      </c>
      <c r="J181" s="2720">
        <f t="shared" si="129"/>
        <v>0</v>
      </c>
      <c r="K181" s="2720">
        <f t="shared" si="129"/>
        <v>0</v>
      </c>
      <c r="L181" s="2720">
        <f t="shared" si="129"/>
        <v>0</v>
      </c>
      <c r="M181" s="3174"/>
      <c r="N181" s="3174"/>
      <c r="O181" s="1719"/>
      <c r="P181" s="334"/>
    </row>
    <row r="182" spans="1:16" s="2065" customFormat="1" ht="18" hidden="1" customHeight="1">
      <c r="A182" s="3279"/>
      <c r="B182" s="465" t="s">
        <v>21</v>
      </c>
      <c r="C182" s="3322"/>
      <c r="D182" s="2722">
        <f t="shared" si="127"/>
        <v>28250000</v>
      </c>
      <c r="E182" s="2722">
        <f t="shared" ref="E182:L182" si="130">+E183+E184</f>
        <v>226180</v>
      </c>
      <c r="F182" s="2722">
        <f t="shared" si="130"/>
        <v>1085079</v>
      </c>
      <c r="G182" s="2722">
        <f t="shared" si="130"/>
        <v>9512149</v>
      </c>
      <c r="H182" s="2722">
        <f t="shared" si="130"/>
        <v>17379388</v>
      </c>
      <c r="I182" s="2722">
        <f t="shared" si="130"/>
        <v>47204</v>
      </c>
      <c r="J182" s="2722">
        <f t="shared" si="130"/>
        <v>0</v>
      </c>
      <c r="K182" s="2722">
        <f t="shared" si="130"/>
        <v>0</v>
      </c>
      <c r="L182" s="2722">
        <f t="shared" si="130"/>
        <v>0</v>
      </c>
      <c r="M182" s="3174"/>
      <c r="N182" s="3174"/>
      <c r="O182" s="1719"/>
      <c r="P182" s="334"/>
    </row>
    <row r="183" spans="1:16" s="2065" customFormat="1" ht="22.5" hidden="1" customHeight="1">
      <c r="A183" s="2727"/>
      <c r="B183" s="1715" t="s">
        <v>256</v>
      </c>
      <c r="C183" s="2728" t="s">
        <v>221</v>
      </c>
      <c r="D183" s="2725">
        <f t="shared" si="127"/>
        <v>18000000</v>
      </c>
      <c r="E183" s="2726">
        <v>226180</v>
      </c>
      <c r="F183" s="2725">
        <f>6627800+624800-3893137-212089-2062295</f>
        <v>1085079</v>
      </c>
      <c r="G183" s="2725">
        <f>8003000+624800+1372200+2609637-7314788</f>
        <v>5294849</v>
      </c>
      <c r="H183" s="2725">
        <f>3584737+432072+5314788+2062295</f>
        <v>11393892</v>
      </c>
      <c r="I183" s="2725"/>
      <c r="J183" s="2725"/>
      <c r="K183" s="2725"/>
      <c r="L183" s="2725"/>
      <c r="M183" s="3174"/>
      <c r="N183" s="3174"/>
      <c r="O183" s="1719"/>
      <c r="P183" s="334"/>
    </row>
    <row r="184" spans="1:16" s="2065" customFormat="1" ht="24" hidden="1" customHeight="1">
      <c r="A184" s="2727"/>
      <c r="B184" s="1744" t="s">
        <v>257</v>
      </c>
      <c r="C184" s="2728" t="s">
        <v>196</v>
      </c>
      <c r="D184" s="2722">
        <f t="shared" si="127"/>
        <v>10250000</v>
      </c>
      <c r="E184" s="2723"/>
      <c r="F184" s="2722">
        <f>3000000-3000000</f>
        <v>0</v>
      </c>
      <c r="G184" s="2722">
        <f>7000000+143000-583000-2342700</f>
        <v>4217300</v>
      </c>
      <c r="H184" s="2722">
        <f>2857000+833000+2295496</f>
        <v>5985496</v>
      </c>
      <c r="I184" s="2722">
        <v>47204</v>
      </c>
      <c r="J184" s="2722"/>
      <c r="K184" s="2722"/>
      <c r="L184" s="2722"/>
      <c r="M184" s="3275"/>
      <c r="N184" s="3275"/>
      <c r="O184" s="1719"/>
      <c r="P184" s="334"/>
    </row>
    <row r="185" spans="1:16" s="2065" customFormat="1" ht="15" hidden="1" customHeight="1">
      <c r="A185" s="3265" t="s">
        <v>274</v>
      </c>
      <c r="B185" s="1724" t="s">
        <v>258</v>
      </c>
      <c r="C185" s="1725" t="s">
        <v>109</v>
      </c>
      <c r="D185" s="2729"/>
      <c r="E185" s="2730"/>
      <c r="F185" s="2731"/>
      <c r="G185" s="2731"/>
      <c r="H185" s="2731"/>
      <c r="I185" s="2731"/>
      <c r="J185" s="2731"/>
      <c r="K185" s="2731"/>
      <c r="L185" s="2732"/>
      <c r="M185" s="2733"/>
      <c r="N185" s="2733"/>
      <c r="O185" s="1719"/>
      <c r="P185" s="334"/>
    </row>
    <row r="186" spans="1:16" s="2065" customFormat="1" ht="13.5" hidden="1" customHeight="1">
      <c r="A186" s="3265"/>
      <c r="B186" s="83" t="s">
        <v>10</v>
      </c>
      <c r="C186" s="2734"/>
      <c r="D186" s="1732">
        <f>+D187+D189</f>
        <v>0</v>
      </c>
      <c r="E186" s="1732">
        <v>0</v>
      </c>
      <c r="F186" s="1732">
        <f t="shared" ref="F186:L186" si="131">+F187+F189</f>
        <v>0</v>
      </c>
      <c r="G186" s="1732">
        <f t="shared" si="131"/>
        <v>0</v>
      </c>
      <c r="H186" s="1732">
        <f t="shared" si="131"/>
        <v>0</v>
      </c>
      <c r="I186" s="1732">
        <f t="shared" si="131"/>
        <v>0</v>
      </c>
      <c r="J186" s="1732">
        <f t="shared" si="131"/>
        <v>0</v>
      </c>
      <c r="K186" s="1732">
        <f t="shared" si="131"/>
        <v>0</v>
      </c>
      <c r="L186" s="1732">
        <f t="shared" si="131"/>
        <v>0</v>
      </c>
      <c r="M186" s="2735">
        <f>+M187+M189</f>
        <v>0</v>
      </c>
      <c r="N186" s="2735">
        <f>+N187+N189</f>
        <v>0</v>
      </c>
      <c r="O186" s="1719"/>
      <c r="P186" s="334"/>
    </row>
    <row r="187" spans="1:16" s="2065" customFormat="1" ht="13.5" hidden="1" customHeight="1">
      <c r="A187" s="3265"/>
      <c r="B187" s="2736" t="s">
        <v>24</v>
      </c>
      <c r="C187" s="3281" t="s">
        <v>261</v>
      </c>
      <c r="D187" s="1746">
        <f>SUM(E187:L187)</f>
        <v>0</v>
      </c>
      <c r="E187" s="1747">
        <v>0</v>
      </c>
      <c r="F187" s="1747">
        <f t="shared" ref="F187:L187" si="132">+F188</f>
        <v>0</v>
      </c>
      <c r="G187" s="1747">
        <f t="shared" si="132"/>
        <v>0</v>
      </c>
      <c r="H187" s="1747">
        <f t="shared" si="132"/>
        <v>0</v>
      </c>
      <c r="I187" s="1747">
        <f t="shared" si="132"/>
        <v>0</v>
      </c>
      <c r="J187" s="1747">
        <f t="shared" si="132"/>
        <v>0</v>
      </c>
      <c r="K187" s="1747">
        <f t="shared" si="132"/>
        <v>0</v>
      </c>
      <c r="L187" s="1747">
        <f t="shared" si="132"/>
        <v>0</v>
      </c>
      <c r="M187" s="2737">
        <f t="shared" ref="M187:N191" si="133">SUM(D187:K187)</f>
        <v>0</v>
      </c>
      <c r="N187" s="2737">
        <f t="shared" si="133"/>
        <v>0</v>
      </c>
      <c r="O187" s="1719"/>
      <c r="P187" s="334"/>
    </row>
    <row r="188" spans="1:16" s="2065" customFormat="1" ht="13.5" hidden="1" customHeight="1">
      <c r="A188" s="3265"/>
      <c r="B188" s="2738" t="s">
        <v>12</v>
      </c>
      <c r="C188" s="3282"/>
      <c r="D188" s="1749">
        <f>SUM(E188:L188)</f>
        <v>0</v>
      </c>
      <c r="E188" s="2739">
        <v>0</v>
      </c>
      <c r="F188" s="1749">
        <v>0</v>
      </c>
      <c r="G188" s="1749">
        <v>0</v>
      </c>
      <c r="H188" s="1749">
        <v>0</v>
      </c>
      <c r="I188" s="1749">
        <v>0</v>
      </c>
      <c r="J188" s="1749">
        <v>0</v>
      </c>
      <c r="K188" s="1749">
        <v>0</v>
      </c>
      <c r="L188" s="1749"/>
      <c r="M188" s="2740">
        <f t="shared" si="133"/>
        <v>0</v>
      </c>
      <c r="N188" s="2740">
        <f t="shared" si="133"/>
        <v>0</v>
      </c>
      <c r="O188" s="1719"/>
      <c r="P188" s="334"/>
    </row>
    <row r="189" spans="1:16" s="2065" customFormat="1" ht="13.5" hidden="1" customHeight="1">
      <c r="A189" s="3265"/>
      <c r="B189" s="84" t="s">
        <v>18</v>
      </c>
      <c r="C189" s="3318" t="s">
        <v>149</v>
      </c>
      <c r="D189" s="1746">
        <f>SUM(E189:L189)</f>
        <v>0</v>
      </c>
      <c r="E189" s="1747">
        <v>0</v>
      </c>
      <c r="F189" s="1747">
        <f t="shared" ref="F189:L189" si="134">+F190</f>
        <v>0</v>
      </c>
      <c r="G189" s="1747">
        <f t="shared" si="134"/>
        <v>0</v>
      </c>
      <c r="H189" s="1747">
        <f t="shared" si="134"/>
        <v>0</v>
      </c>
      <c r="I189" s="1747">
        <f t="shared" si="134"/>
        <v>0</v>
      </c>
      <c r="J189" s="1747">
        <f t="shared" si="134"/>
        <v>0</v>
      </c>
      <c r="K189" s="1747">
        <f t="shared" si="134"/>
        <v>0</v>
      </c>
      <c r="L189" s="1747">
        <f t="shared" si="134"/>
        <v>0</v>
      </c>
      <c r="M189" s="2737">
        <f t="shared" si="133"/>
        <v>0</v>
      </c>
      <c r="N189" s="2737">
        <f t="shared" si="133"/>
        <v>0</v>
      </c>
      <c r="O189" s="1719"/>
      <c r="P189" s="334"/>
    </row>
    <row r="190" spans="1:16" s="2065" customFormat="1" ht="13.5" hidden="1" customHeight="1">
      <c r="A190" s="3265"/>
      <c r="B190" s="1743" t="s">
        <v>21</v>
      </c>
      <c r="C190" s="3320"/>
      <c r="D190" s="1748">
        <f>SUM(E190:L190)</f>
        <v>0</v>
      </c>
      <c r="E190" s="423">
        <v>0</v>
      </c>
      <c r="F190" s="423">
        <f t="shared" ref="F190:L190" si="135">+F191</f>
        <v>0</v>
      </c>
      <c r="G190" s="423">
        <f t="shared" si="135"/>
        <v>0</v>
      </c>
      <c r="H190" s="423">
        <f t="shared" si="135"/>
        <v>0</v>
      </c>
      <c r="I190" s="423">
        <f t="shared" si="135"/>
        <v>0</v>
      </c>
      <c r="J190" s="423">
        <f t="shared" si="135"/>
        <v>0</v>
      </c>
      <c r="K190" s="423">
        <f t="shared" si="135"/>
        <v>0</v>
      </c>
      <c r="L190" s="423">
        <f t="shared" si="135"/>
        <v>0</v>
      </c>
      <c r="M190" s="2741">
        <f t="shared" si="133"/>
        <v>0</v>
      </c>
      <c r="N190" s="2741">
        <f t="shared" si="133"/>
        <v>0</v>
      </c>
      <c r="O190" s="1719"/>
      <c r="P190" s="334"/>
    </row>
    <row r="191" spans="1:16" s="2065" customFormat="1" ht="22.5" hidden="1" customHeight="1">
      <c r="A191" s="3265"/>
      <c r="B191" s="2742" t="s">
        <v>255</v>
      </c>
      <c r="C191" s="3321"/>
      <c r="D191" s="1749">
        <f>SUM(E191:L191)</f>
        <v>0</v>
      </c>
      <c r="E191" s="2739">
        <v>0</v>
      </c>
      <c r="F191" s="1749">
        <v>0</v>
      </c>
      <c r="G191" s="1749">
        <f>312400-312400</f>
        <v>0</v>
      </c>
      <c r="H191" s="1749">
        <f>624800-624800</f>
        <v>0</v>
      </c>
      <c r="I191" s="1749">
        <f>625000-625000</f>
        <v>0</v>
      </c>
      <c r="J191" s="1749">
        <v>0</v>
      </c>
      <c r="K191" s="1749">
        <v>0</v>
      </c>
      <c r="L191" s="1749">
        <v>0</v>
      </c>
      <c r="M191" s="2740">
        <f t="shared" si="133"/>
        <v>0</v>
      </c>
      <c r="N191" s="2740">
        <f t="shared" si="133"/>
        <v>0</v>
      </c>
      <c r="O191" s="1719"/>
      <c r="P191" s="334"/>
    </row>
    <row r="192" spans="1:16" s="2065" customFormat="1" ht="13.5" hidden="1" customHeight="1">
      <c r="A192" s="3265"/>
      <c r="B192" s="83" t="s">
        <v>252</v>
      </c>
      <c r="C192" s="181"/>
      <c r="D192" s="379">
        <f>+D193</f>
        <v>0</v>
      </c>
      <c r="E192" s="379">
        <v>0</v>
      </c>
      <c r="F192" s="379">
        <f t="shared" ref="F192:L192" si="136">+F193</f>
        <v>0</v>
      </c>
      <c r="G192" s="379">
        <f t="shared" si="136"/>
        <v>0</v>
      </c>
      <c r="H192" s="379">
        <f t="shared" si="136"/>
        <v>0</v>
      </c>
      <c r="I192" s="379">
        <f t="shared" si="136"/>
        <v>0</v>
      </c>
      <c r="J192" s="379">
        <f t="shared" si="136"/>
        <v>0</v>
      </c>
      <c r="K192" s="379">
        <f t="shared" si="136"/>
        <v>0</v>
      </c>
      <c r="L192" s="379">
        <f t="shared" si="136"/>
        <v>0</v>
      </c>
      <c r="M192" s="3259" t="s">
        <v>61</v>
      </c>
      <c r="N192" s="3259" t="s">
        <v>61</v>
      </c>
      <c r="O192" s="1719"/>
      <c r="P192" s="334"/>
    </row>
    <row r="193" spans="1:16" s="2065" customFormat="1" ht="13.5" hidden="1" customHeight="1">
      <c r="A193" s="3265"/>
      <c r="B193" s="84" t="s">
        <v>18</v>
      </c>
      <c r="C193" s="3318" t="s">
        <v>221</v>
      </c>
      <c r="D193" s="1746">
        <f>SUM(E193:L193)</f>
        <v>0</v>
      </c>
      <c r="E193" s="443">
        <v>0</v>
      </c>
      <c r="F193" s="443">
        <f t="shared" ref="F193:L194" si="137">+F194</f>
        <v>0</v>
      </c>
      <c r="G193" s="443">
        <f t="shared" si="137"/>
        <v>0</v>
      </c>
      <c r="H193" s="443">
        <f t="shared" si="137"/>
        <v>0</v>
      </c>
      <c r="I193" s="443">
        <f t="shared" si="137"/>
        <v>0</v>
      </c>
      <c r="J193" s="443">
        <f t="shared" si="137"/>
        <v>0</v>
      </c>
      <c r="K193" s="443">
        <f t="shared" si="137"/>
        <v>0</v>
      </c>
      <c r="L193" s="443">
        <f t="shared" si="137"/>
        <v>0</v>
      </c>
      <c r="M193" s="3177"/>
      <c r="N193" s="3177"/>
      <c r="O193" s="1719"/>
      <c r="P193" s="334"/>
    </row>
    <row r="194" spans="1:16" s="2065" customFormat="1" ht="13.5" hidden="1" customHeight="1" thickBot="1">
      <c r="A194" s="3266"/>
      <c r="B194" s="82" t="s">
        <v>21</v>
      </c>
      <c r="C194" s="3319"/>
      <c r="D194" s="2743">
        <f>SUM(E194:L194)</f>
        <v>0</v>
      </c>
      <c r="E194" s="2744">
        <v>0</v>
      </c>
      <c r="F194" s="2744">
        <f t="shared" si="137"/>
        <v>0</v>
      </c>
      <c r="G194" s="2744">
        <f t="shared" si="137"/>
        <v>0</v>
      </c>
      <c r="H194" s="2744">
        <f t="shared" si="137"/>
        <v>0</v>
      </c>
      <c r="I194" s="2744">
        <f t="shared" si="137"/>
        <v>0</v>
      </c>
      <c r="J194" s="2744">
        <f t="shared" si="137"/>
        <v>0</v>
      </c>
      <c r="K194" s="2744">
        <f t="shared" si="137"/>
        <v>0</v>
      </c>
      <c r="L194" s="2744">
        <f t="shared" si="137"/>
        <v>0</v>
      </c>
      <c r="M194" s="3178"/>
      <c r="N194" s="3178"/>
      <c r="O194" s="1723"/>
      <c r="P194" s="334">
        <f>+D190+D201</f>
        <v>41000000</v>
      </c>
    </row>
    <row r="195" spans="1:16" s="2065" customFormat="1" ht="12" hidden="1" customHeight="1" thickBot="1">
      <c r="A195" s="2745"/>
      <c r="B195" s="2746" t="s">
        <v>249</v>
      </c>
      <c r="C195" s="2747"/>
      <c r="D195" s="2748">
        <f>SUM(E195:L195)</f>
        <v>0</v>
      </c>
      <c r="E195" s="2749"/>
      <c r="F195" s="2748">
        <v>0</v>
      </c>
      <c r="G195" s="2748">
        <f>312400-312400</f>
        <v>0</v>
      </c>
      <c r="H195" s="2748">
        <f>624800-624800</f>
        <v>0</v>
      </c>
      <c r="I195" s="2748">
        <f>625000-625000</f>
        <v>0</v>
      </c>
      <c r="J195" s="2750"/>
      <c r="K195" s="2750"/>
      <c r="L195" s="2748"/>
      <c r="M195" s="2751"/>
      <c r="N195" s="2751"/>
      <c r="O195" s="1723"/>
      <c r="P195" s="334"/>
    </row>
    <row r="196" spans="1:16" s="2065" customFormat="1" ht="16.5" hidden="1" customHeight="1">
      <c r="A196" s="3265" t="s">
        <v>273</v>
      </c>
      <c r="B196" s="1724" t="s">
        <v>258</v>
      </c>
      <c r="C196" s="2752" t="s">
        <v>81</v>
      </c>
      <c r="D196" s="1726"/>
      <c r="E196" s="1728"/>
      <c r="F196" s="1727"/>
      <c r="G196" s="1727"/>
      <c r="H196" s="1727"/>
      <c r="I196" s="1727"/>
      <c r="J196" s="1727"/>
      <c r="K196" s="1727"/>
      <c r="L196" s="1729"/>
      <c r="M196" s="2557"/>
      <c r="N196" s="2557"/>
      <c r="O196" s="1719"/>
      <c r="P196" s="334"/>
    </row>
    <row r="197" spans="1:16" s="2065" customFormat="1" ht="13.5" hidden="1" customHeight="1">
      <c r="A197" s="3265"/>
      <c r="B197" s="83" t="s">
        <v>10</v>
      </c>
      <c r="C197" s="2753"/>
      <c r="D197" s="1732">
        <f t="shared" ref="D197:N197" si="138">+D198+D201</f>
        <v>65558309</v>
      </c>
      <c r="E197" s="1732">
        <v>0</v>
      </c>
      <c r="F197" s="1732">
        <f t="shared" si="138"/>
        <v>0</v>
      </c>
      <c r="G197" s="1732">
        <f t="shared" si="138"/>
        <v>153715</v>
      </c>
      <c r="H197" s="1732">
        <f t="shared" si="138"/>
        <v>32293114</v>
      </c>
      <c r="I197" s="1732">
        <f t="shared" si="138"/>
        <v>33111480</v>
      </c>
      <c r="J197" s="1732">
        <f t="shared" si="138"/>
        <v>0</v>
      </c>
      <c r="K197" s="1732">
        <f t="shared" si="138"/>
        <v>0</v>
      </c>
      <c r="L197" s="1732">
        <f t="shared" si="138"/>
        <v>0</v>
      </c>
      <c r="M197" s="382">
        <f t="shared" ref="M197" si="139">+M198+M201</f>
        <v>65558309</v>
      </c>
      <c r="N197" s="382">
        <f t="shared" si="138"/>
        <v>65558309</v>
      </c>
      <c r="O197" s="1719"/>
      <c r="P197" s="334"/>
    </row>
    <row r="198" spans="1:16" s="2065" customFormat="1" ht="13.5" hidden="1" customHeight="1">
      <c r="A198" s="3265"/>
      <c r="B198" s="2736" t="s">
        <v>24</v>
      </c>
      <c r="C198" s="3280" t="s">
        <v>261</v>
      </c>
      <c r="D198" s="1733">
        <f>SUM(E198:L198)</f>
        <v>24558309</v>
      </c>
      <c r="E198" s="364">
        <v>0</v>
      </c>
      <c r="F198" s="364">
        <f>+F199+F200</f>
        <v>0</v>
      </c>
      <c r="G198" s="364">
        <f>+G199+G200</f>
        <v>153715</v>
      </c>
      <c r="H198" s="364">
        <f>+H199+H200</f>
        <v>12080850</v>
      </c>
      <c r="I198" s="364">
        <f t="shared" ref="I198:L198" si="140">+I199+I200</f>
        <v>12323744</v>
      </c>
      <c r="J198" s="364">
        <f t="shared" si="140"/>
        <v>0</v>
      </c>
      <c r="K198" s="364">
        <f t="shared" si="140"/>
        <v>0</v>
      </c>
      <c r="L198" s="364">
        <f t="shared" si="140"/>
        <v>0</v>
      </c>
      <c r="M198" s="2754">
        <f>SUM(F198:L198)</f>
        <v>24558309</v>
      </c>
      <c r="N198" s="2754">
        <f>SUM(E198:L198)</f>
        <v>24558309</v>
      </c>
      <c r="O198" s="1719"/>
      <c r="P198" s="334"/>
    </row>
    <row r="199" spans="1:16" s="2065" customFormat="1" ht="13.5" hidden="1" customHeight="1">
      <c r="A199" s="3265"/>
      <c r="B199" s="1734" t="s">
        <v>12</v>
      </c>
      <c r="C199" s="3295"/>
      <c r="D199" s="1735">
        <f>SUM(E199:L199)</f>
        <v>24558309</v>
      </c>
      <c r="E199" s="366"/>
      <c r="F199" s="1735">
        <v>0</v>
      </c>
      <c r="G199" s="1735">
        <f>298890-145175</f>
        <v>153715</v>
      </c>
      <c r="H199" s="1735">
        <f>4006159-2149730+11478766-1254345</f>
        <v>12080850</v>
      </c>
      <c r="I199" s="1735">
        <f>825200-119869+1136000+9043924+1438489</f>
        <v>12323744</v>
      </c>
      <c r="J199" s="1735"/>
      <c r="K199" s="1735"/>
      <c r="L199" s="1735"/>
      <c r="M199" s="2724">
        <f>SUM(F199:K199)</f>
        <v>24558309</v>
      </c>
      <c r="N199" s="2724">
        <f>SUM(G199:L199)</f>
        <v>24558309</v>
      </c>
      <c r="O199" s="1719"/>
      <c r="P199" s="334"/>
    </row>
    <row r="200" spans="1:16" s="2065" customFormat="1" ht="13.5" hidden="1" customHeight="1">
      <c r="A200" s="3265"/>
      <c r="B200" s="1734" t="s">
        <v>16</v>
      </c>
      <c r="C200" s="3295"/>
      <c r="D200" s="1735">
        <f>SUM(E200:L200)</f>
        <v>0</v>
      </c>
      <c r="E200" s="366"/>
      <c r="F200" s="1735">
        <v>0</v>
      </c>
      <c r="G200" s="1735">
        <f>277300-277300</f>
        <v>0</v>
      </c>
      <c r="H200" s="1735">
        <f>3328200-3328200</f>
        <v>0</v>
      </c>
      <c r="I200" s="1735">
        <f>1394500+277300-1671800</f>
        <v>0</v>
      </c>
      <c r="J200" s="1735"/>
      <c r="K200" s="1735"/>
      <c r="L200" s="1735"/>
      <c r="M200" s="2724">
        <f>SUM(F200:K200)</f>
        <v>0</v>
      </c>
      <c r="N200" s="2724">
        <f>SUM(G200:L200)</f>
        <v>0</v>
      </c>
      <c r="O200" s="1719"/>
      <c r="P200" s="334"/>
    </row>
    <row r="201" spans="1:16" s="2065" customFormat="1" ht="15.75" hidden="1" customHeight="1">
      <c r="A201" s="3265"/>
      <c r="B201" s="499" t="s">
        <v>18</v>
      </c>
      <c r="C201" s="3295"/>
      <c r="D201" s="1733">
        <f>SUM(E201:L201)</f>
        <v>41000000</v>
      </c>
      <c r="E201" s="1733">
        <v>0</v>
      </c>
      <c r="F201" s="1733">
        <f t="shared" ref="F201:L201" si="141">+F202</f>
        <v>0</v>
      </c>
      <c r="G201" s="1733">
        <f t="shared" si="141"/>
        <v>0</v>
      </c>
      <c r="H201" s="1733">
        <f t="shared" si="141"/>
        <v>20212264</v>
      </c>
      <c r="I201" s="1733">
        <f t="shared" si="141"/>
        <v>20787736</v>
      </c>
      <c r="J201" s="1733">
        <f t="shared" si="141"/>
        <v>0</v>
      </c>
      <c r="K201" s="1733">
        <f t="shared" si="141"/>
        <v>0</v>
      </c>
      <c r="L201" s="1733">
        <f t="shared" si="141"/>
        <v>0</v>
      </c>
      <c r="M201" s="2755">
        <f>SUM(F201:K201)</f>
        <v>41000000</v>
      </c>
      <c r="N201" s="2755">
        <f>SUM(E201:L201)</f>
        <v>41000000</v>
      </c>
      <c r="O201" s="1719"/>
      <c r="P201" s="334"/>
    </row>
    <row r="202" spans="1:16" s="2065" customFormat="1" ht="12" hidden="1" customHeight="1">
      <c r="A202" s="3265"/>
      <c r="B202" s="465" t="s">
        <v>21</v>
      </c>
      <c r="C202" s="3295"/>
      <c r="D202" s="1735">
        <f>+D203+D204</f>
        <v>41000000</v>
      </c>
      <c r="E202" s="1735">
        <v>0</v>
      </c>
      <c r="F202" s="1735">
        <f t="shared" ref="F202:L202" si="142">+F203+F204</f>
        <v>0</v>
      </c>
      <c r="G202" s="1735">
        <f t="shared" si="142"/>
        <v>0</v>
      </c>
      <c r="H202" s="1735">
        <f t="shared" si="142"/>
        <v>20212264</v>
      </c>
      <c r="I202" s="1735">
        <f t="shared" si="142"/>
        <v>20787736</v>
      </c>
      <c r="J202" s="1735">
        <f t="shared" si="142"/>
        <v>0</v>
      </c>
      <c r="K202" s="1735">
        <f t="shared" si="142"/>
        <v>0</v>
      </c>
      <c r="L202" s="1735">
        <f t="shared" si="142"/>
        <v>0</v>
      </c>
      <c r="M202" s="2724">
        <f>SUM(F202:K202)</f>
        <v>41000000</v>
      </c>
      <c r="N202" s="2724">
        <f t="shared" ref="M202:N204" si="143">SUM(G202:L202)</f>
        <v>41000000</v>
      </c>
      <c r="O202" s="1719"/>
      <c r="P202" s="334"/>
    </row>
    <row r="203" spans="1:16" s="2065" customFormat="1" ht="22.5" hidden="1" customHeight="1">
      <c r="A203" s="3265"/>
      <c r="B203" s="1715" t="s">
        <v>259</v>
      </c>
      <c r="C203" s="3295"/>
      <c r="D203" s="1738">
        <f>+E203+F203+G203+H203+I203+J203+K203+L203</f>
        <v>0</v>
      </c>
      <c r="E203" s="2756">
        <v>0</v>
      </c>
      <c r="F203" s="1738">
        <v>0</v>
      </c>
      <c r="G203" s="1738">
        <v>0</v>
      </c>
      <c r="H203" s="1738">
        <f>915000+624800-1539800</f>
        <v>0</v>
      </c>
      <c r="I203" s="1738">
        <f>511000+625000-1136000</f>
        <v>0</v>
      </c>
      <c r="J203" s="1738">
        <v>0</v>
      </c>
      <c r="K203" s="1738">
        <v>0</v>
      </c>
      <c r="L203" s="1738">
        <v>0</v>
      </c>
      <c r="M203" s="2724">
        <f t="shared" si="143"/>
        <v>0</v>
      </c>
      <c r="N203" s="2724">
        <f t="shared" si="143"/>
        <v>0</v>
      </c>
      <c r="O203" s="1719"/>
      <c r="P203" s="334"/>
    </row>
    <row r="204" spans="1:16" s="2065" customFormat="1" ht="23.25" hidden="1" customHeight="1">
      <c r="A204" s="3265"/>
      <c r="B204" s="2757" t="s">
        <v>251</v>
      </c>
      <c r="C204" s="3273"/>
      <c r="D204" s="1738">
        <f>+E204+F204+G204+H204+I204+J204+K204+L204</f>
        <v>41000000</v>
      </c>
      <c r="E204" s="2758">
        <v>0</v>
      </c>
      <c r="F204" s="2759">
        <v>0</v>
      </c>
      <c r="G204" s="2759">
        <f>2328000-2328000</f>
        <v>0</v>
      </c>
      <c r="H204" s="2759">
        <f>27936000-5731740+345740-2337736</f>
        <v>20212264</v>
      </c>
      <c r="I204" s="2759">
        <f>11600000+8059740-1209740+2337736</f>
        <v>20787736</v>
      </c>
      <c r="J204" s="2759">
        <v>0</v>
      </c>
      <c r="K204" s="2759">
        <v>0</v>
      </c>
      <c r="L204" s="2759">
        <v>0</v>
      </c>
      <c r="M204" s="2724">
        <f t="shared" si="143"/>
        <v>41000000</v>
      </c>
      <c r="N204" s="2724">
        <f t="shared" si="143"/>
        <v>41000000</v>
      </c>
      <c r="O204" s="1719"/>
      <c r="P204" s="334"/>
    </row>
    <row r="205" spans="1:16" s="2065" customFormat="1" ht="13.5" hidden="1" customHeight="1">
      <c r="A205" s="3265"/>
      <c r="B205" s="21" t="s">
        <v>252</v>
      </c>
      <c r="C205" s="177"/>
      <c r="D205" s="376">
        <f t="shared" ref="D205:L205" si="144">+D206+D208</f>
        <v>41000000</v>
      </c>
      <c r="E205" s="376">
        <v>0</v>
      </c>
      <c r="F205" s="376">
        <f t="shared" si="144"/>
        <v>0</v>
      </c>
      <c r="G205" s="376">
        <f t="shared" si="144"/>
        <v>0</v>
      </c>
      <c r="H205" s="376">
        <f t="shared" si="144"/>
        <v>20212264</v>
      </c>
      <c r="I205" s="376">
        <f t="shared" si="144"/>
        <v>20787736</v>
      </c>
      <c r="J205" s="376">
        <f t="shared" si="144"/>
        <v>0</v>
      </c>
      <c r="K205" s="376">
        <f t="shared" si="144"/>
        <v>0</v>
      </c>
      <c r="L205" s="376">
        <f t="shared" si="144"/>
        <v>0</v>
      </c>
      <c r="M205" s="3248" t="s">
        <v>61</v>
      </c>
      <c r="N205" s="3248" t="s">
        <v>61</v>
      </c>
      <c r="O205" s="1719"/>
      <c r="P205" s="334"/>
    </row>
    <row r="206" spans="1:16" s="2065" customFormat="1" ht="15" hidden="1" customHeight="1">
      <c r="A206" s="3265"/>
      <c r="B206" s="2736" t="s">
        <v>24</v>
      </c>
      <c r="C206" s="3315" t="s">
        <v>267</v>
      </c>
      <c r="D206" s="1733">
        <f>+D207</f>
        <v>0</v>
      </c>
      <c r="E206" s="1733">
        <v>0</v>
      </c>
      <c r="F206" s="1733">
        <f t="shared" ref="F206:L206" si="145">+F207</f>
        <v>0</v>
      </c>
      <c r="G206" s="1733">
        <f t="shared" si="145"/>
        <v>0</v>
      </c>
      <c r="H206" s="1733">
        <f t="shared" si="145"/>
        <v>0</v>
      </c>
      <c r="I206" s="1733">
        <f t="shared" si="145"/>
        <v>0</v>
      </c>
      <c r="J206" s="1733">
        <f t="shared" si="145"/>
        <v>0</v>
      </c>
      <c r="K206" s="1733">
        <f t="shared" si="145"/>
        <v>0</v>
      </c>
      <c r="L206" s="1733">
        <f t="shared" si="145"/>
        <v>0</v>
      </c>
      <c r="M206" s="3177"/>
      <c r="N206" s="3177"/>
      <c r="O206" s="1719"/>
      <c r="P206" s="334"/>
    </row>
    <row r="207" spans="1:16" s="2065" customFormat="1" ht="16.5" hidden="1" customHeight="1">
      <c r="A207" s="3265"/>
      <c r="B207" s="1734" t="s">
        <v>16</v>
      </c>
      <c r="C207" s="3316"/>
      <c r="D207" s="1735">
        <f>SUM(E207:L207)</f>
        <v>0</v>
      </c>
      <c r="E207" s="366"/>
      <c r="F207" s="1735">
        <v>0</v>
      </c>
      <c r="G207" s="1735">
        <f>277300-277300</f>
        <v>0</v>
      </c>
      <c r="H207" s="1735">
        <f>3328200-3328200</f>
        <v>0</v>
      </c>
      <c r="I207" s="1735">
        <f>1394500+277300-1671800</f>
        <v>0</v>
      </c>
      <c r="J207" s="1735"/>
      <c r="K207" s="1735"/>
      <c r="L207" s="1735"/>
      <c r="M207" s="3177"/>
      <c r="N207" s="3177"/>
      <c r="O207" s="1719"/>
      <c r="P207" s="334"/>
    </row>
    <row r="208" spans="1:16" s="2065" customFormat="1" ht="16.5" hidden="1" customHeight="1">
      <c r="A208" s="3265"/>
      <c r="B208" s="499" t="s">
        <v>18</v>
      </c>
      <c r="C208" s="3316"/>
      <c r="D208" s="1733">
        <f>SUM(E208:L208)</f>
        <v>41000000</v>
      </c>
      <c r="E208" s="1733">
        <v>0</v>
      </c>
      <c r="F208" s="1733">
        <f t="shared" ref="F208:L208" si="146">+F209</f>
        <v>0</v>
      </c>
      <c r="G208" s="1733">
        <f t="shared" si="146"/>
        <v>0</v>
      </c>
      <c r="H208" s="1733">
        <f t="shared" si="146"/>
        <v>20212264</v>
      </c>
      <c r="I208" s="1733">
        <f t="shared" si="146"/>
        <v>20787736</v>
      </c>
      <c r="J208" s="1733">
        <f t="shared" si="146"/>
        <v>0</v>
      </c>
      <c r="K208" s="1733">
        <f t="shared" si="146"/>
        <v>0</v>
      </c>
      <c r="L208" s="1733">
        <f t="shared" si="146"/>
        <v>0</v>
      </c>
      <c r="M208" s="3177"/>
      <c r="N208" s="3177"/>
      <c r="O208" s="1719"/>
      <c r="P208" s="334"/>
    </row>
    <row r="209" spans="1:16" s="2065" customFormat="1" ht="15" hidden="1" customHeight="1">
      <c r="A209" s="2727"/>
      <c r="B209" s="465" t="s">
        <v>21</v>
      </c>
      <c r="C209" s="3317"/>
      <c r="D209" s="1735">
        <f>SUM(E209:L209)</f>
        <v>41000000</v>
      </c>
      <c r="E209" s="1735">
        <v>0</v>
      </c>
      <c r="F209" s="1735">
        <f t="shared" ref="F209:L209" si="147">+F210+F211</f>
        <v>0</v>
      </c>
      <c r="G209" s="1735">
        <f>+G210+G211</f>
        <v>0</v>
      </c>
      <c r="H209" s="1735">
        <f t="shared" si="147"/>
        <v>20212264</v>
      </c>
      <c r="I209" s="1735">
        <f t="shared" si="147"/>
        <v>20787736</v>
      </c>
      <c r="J209" s="1735">
        <f t="shared" si="147"/>
        <v>0</v>
      </c>
      <c r="K209" s="1735">
        <f t="shared" si="147"/>
        <v>0</v>
      </c>
      <c r="L209" s="1735">
        <f t="shared" si="147"/>
        <v>0</v>
      </c>
      <c r="M209" s="3177"/>
      <c r="N209" s="3177"/>
      <c r="O209" s="1719"/>
      <c r="P209" s="334"/>
    </row>
    <row r="210" spans="1:16" s="2065" customFormat="1" ht="27.75" hidden="1" customHeight="1">
      <c r="A210" s="2727"/>
      <c r="B210" s="1715" t="s">
        <v>249</v>
      </c>
      <c r="C210" s="2556" t="s">
        <v>221</v>
      </c>
      <c r="D210" s="2760">
        <f>SUM(E210:L210)</f>
        <v>0</v>
      </c>
      <c r="E210" s="2761">
        <v>0</v>
      </c>
      <c r="F210" s="2760">
        <v>0</v>
      </c>
      <c r="G210" s="2760">
        <v>0</v>
      </c>
      <c r="H210" s="2760">
        <f>915000+624800-1539800</f>
        <v>0</v>
      </c>
      <c r="I210" s="2760">
        <f>511000+625000-1136000</f>
        <v>0</v>
      </c>
      <c r="J210" s="2760">
        <v>0</v>
      </c>
      <c r="K210" s="2760">
        <v>0</v>
      </c>
      <c r="L210" s="2760">
        <v>0</v>
      </c>
      <c r="M210" s="3177"/>
      <c r="N210" s="3177"/>
      <c r="O210" s="2762"/>
      <c r="P210" s="334"/>
    </row>
    <row r="211" spans="1:16" s="2065" customFormat="1" ht="21.75" hidden="1" customHeight="1" thickBot="1">
      <c r="A211" s="2727"/>
      <c r="B211" s="1720" t="s">
        <v>260</v>
      </c>
      <c r="C211" s="2556" t="s">
        <v>196</v>
      </c>
      <c r="D211" s="2763">
        <f>SUM(E211:L211)</f>
        <v>41000000</v>
      </c>
      <c r="E211" s="2764">
        <v>0</v>
      </c>
      <c r="F211" s="2763">
        <v>0</v>
      </c>
      <c r="G211" s="2763">
        <f>2328000-2328000</f>
        <v>0</v>
      </c>
      <c r="H211" s="2763">
        <f>27936000-5731740+345740-2337736</f>
        <v>20212264</v>
      </c>
      <c r="I211" s="2763">
        <f>11600000+8059740-1209740+2337736</f>
        <v>20787736</v>
      </c>
      <c r="J211" s="2763">
        <v>0</v>
      </c>
      <c r="K211" s="2763">
        <v>0</v>
      </c>
      <c r="L211" s="2763">
        <v>0</v>
      </c>
      <c r="M211" s="3178"/>
      <c r="N211" s="3178"/>
      <c r="O211" s="2762"/>
      <c r="P211" s="334"/>
    </row>
    <row r="212" spans="1:16" s="2065" customFormat="1" ht="27" customHeight="1">
      <c r="A212" s="3264" t="s">
        <v>89</v>
      </c>
      <c r="B212" s="172" t="s">
        <v>272</v>
      </c>
      <c r="C212" s="173" t="s">
        <v>109</v>
      </c>
      <c r="D212" s="408"/>
      <c r="E212" s="408"/>
      <c r="F212" s="408">
        <f>+F215+F216+F218</f>
        <v>1061748</v>
      </c>
      <c r="G212" s="408">
        <f>+G215+G216+G218</f>
        <v>3843338</v>
      </c>
      <c r="H212" s="188"/>
      <c r="I212" s="188"/>
      <c r="J212" s="188"/>
      <c r="K212" s="188"/>
      <c r="L212" s="263"/>
      <c r="M212" s="359"/>
      <c r="N212" s="359"/>
      <c r="O212" s="3260" t="s">
        <v>301</v>
      </c>
      <c r="P212" s="334"/>
    </row>
    <row r="213" spans="1:16" s="2065" customFormat="1">
      <c r="A213" s="3265"/>
      <c r="B213" s="21" t="s">
        <v>10</v>
      </c>
      <c r="C213" s="460"/>
      <c r="D213" s="376">
        <f>+D214+D218</f>
        <v>5491442</v>
      </c>
      <c r="E213" s="376">
        <f t="shared" ref="E213" si="148">+E214+E218</f>
        <v>131150</v>
      </c>
      <c r="F213" s="376">
        <f t="shared" ref="F213" si="149">+F214+F218</f>
        <v>1125694</v>
      </c>
      <c r="G213" s="376">
        <f>+G214+G218</f>
        <v>4234598</v>
      </c>
      <c r="H213" s="360"/>
      <c r="I213" s="360"/>
      <c r="J213" s="360"/>
      <c r="K213" s="360"/>
      <c r="L213" s="360"/>
      <c r="M213" s="461">
        <f>M214+M218</f>
        <v>4905086</v>
      </c>
      <c r="N213" s="461">
        <f>N214+N218</f>
        <v>3843338</v>
      </c>
      <c r="O213" s="3261"/>
      <c r="P213" s="334"/>
    </row>
    <row r="214" spans="1:16" s="2065" customFormat="1">
      <c r="A214" s="3265"/>
      <c r="B214" s="174" t="s">
        <v>24</v>
      </c>
      <c r="C214" s="3314" t="s">
        <v>183</v>
      </c>
      <c r="D214" s="361">
        <f>SUM(D215:D217)</f>
        <v>1295641</v>
      </c>
      <c r="E214" s="361">
        <f>SUM(E215:E217)</f>
        <v>28691</v>
      </c>
      <c r="F214" s="361">
        <f t="shared" ref="F214:G214" si="150">SUM(F215:F217)</f>
        <v>248405</v>
      </c>
      <c r="G214" s="361">
        <f t="shared" si="150"/>
        <v>1018545</v>
      </c>
      <c r="H214" s="361"/>
      <c r="I214" s="361"/>
      <c r="J214" s="361"/>
      <c r="K214" s="361"/>
      <c r="L214" s="361"/>
      <c r="M214" s="362">
        <f>SUM(M215:M216)</f>
        <v>811744</v>
      </c>
      <c r="N214" s="362">
        <f>SUM(N215:N216)</f>
        <v>627285</v>
      </c>
      <c r="O214" s="3261"/>
      <c r="P214" s="334"/>
    </row>
    <row r="215" spans="1:16" s="2065" customFormat="1">
      <c r="A215" s="3265"/>
      <c r="B215" s="175" t="s">
        <v>12</v>
      </c>
      <c r="C215" s="3287"/>
      <c r="D215" s="251">
        <f>E215+F215+G215+H215+I215+J215+K215+L215</f>
        <v>100000</v>
      </c>
      <c r="E215" s="1607">
        <v>10611</v>
      </c>
      <c r="F215" s="1495">
        <f>50000+1902-22258</f>
        <v>29644</v>
      </c>
      <c r="G215" s="1495">
        <f>12500+24987+22258</f>
        <v>59745</v>
      </c>
      <c r="H215" s="462"/>
      <c r="I215" s="462"/>
      <c r="J215" s="462"/>
      <c r="K215" s="462"/>
      <c r="L215" s="462"/>
      <c r="M215" s="764">
        <f>SUM(F215:L215)</f>
        <v>89389</v>
      </c>
      <c r="N215" s="764">
        <f>SUM(G215:L215)</f>
        <v>59745</v>
      </c>
      <c r="O215" s="3261"/>
      <c r="P215" s="334"/>
    </row>
    <row r="216" spans="1:16" s="2065" customFormat="1">
      <c r="A216" s="3265"/>
      <c r="B216" s="175" t="s">
        <v>13</v>
      </c>
      <c r="C216" s="3139"/>
      <c r="D216" s="251">
        <f>E216+F216+G216+H216+I216+J216+K216+L216</f>
        <v>740435</v>
      </c>
      <c r="E216" s="1607">
        <v>18080</v>
      </c>
      <c r="F216" s="176">
        <f>412301+81979+118367-457832</f>
        <v>154815</v>
      </c>
      <c r="G216" s="176">
        <f>163259+60000-113551+457832</f>
        <v>567540</v>
      </c>
      <c r="H216" s="176"/>
      <c r="I216" s="176"/>
      <c r="J216" s="176"/>
      <c r="K216" s="176"/>
      <c r="L216" s="176"/>
      <c r="M216" s="764">
        <f>SUM(F216:L216)</f>
        <v>722355</v>
      </c>
      <c r="N216" s="764">
        <f>SUM(G216:L216)</f>
        <v>567540</v>
      </c>
      <c r="O216" s="3261"/>
      <c r="P216" s="334"/>
    </row>
    <row r="217" spans="1:16" s="2065" customFormat="1">
      <c r="A217" s="3265"/>
      <c r="B217" s="459" t="s">
        <v>32</v>
      </c>
      <c r="C217" s="3139"/>
      <c r="D217" s="251">
        <f>E217+F217+G217+H217+I217+J217+K217+L217</f>
        <v>455206</v>
      </c>
      <c r="E217" s="1607">
        <v>0</v>
      </c>
      <c r="F217" s="176">
        <f>255556+48066-239676</f>
        <v>63946</v>
      </c>
      <c r="G217" s="176">
        <f>110761+40823+239676</f>
        <v>391260</v>
      </c>
      <c r="H217" s="176"/>
      <c r="I217" s="176"/>
      <c r="J217" s="176"/>
      <c r="K217" s="176"/>
      <c r="L217" s="176"/>
      <c r="M217" s="463" t="s">
        <v>61</v>
      </c>
      <c r="N217" s="463" t="s">
        <v>61</v>
      </c>
      <c r="O217" s="3261"/>
      <c r="P217" s="334"/>
    </row>
    <row r="218" spans="1:16" s="2065" customFormat="1">
      <c r="A218" s="3265"/>
      <c r="B218" s="84" t="s">
        <v>18</v>
      </c>
      <c r="C218" s="3139"/>
      <c r="D218" s="364">
        <f>+D219</f>
        <v>4195801</v>
      </c>
      <c r="E218" s="364">
        <f t="shared" ref="E218:G218" si="151">E219</f>
        <v>102459</v>
      </c>
      <c r="F218" s="364">
        <f t="shared" si="151"/>
        <v>877289</v>
      </c>
      <c r="G218" s="364">
        <f t="shared" si="151"/>
        <v>3216053</v>
      </c>
      <c r="H218" s="364"/>
      <c r="I218" s="364"/>
      <c r="J218" s="364"/>
      <c r="K218" s="364"/>
      <c r="L218" s="364"/>
      <c r="M218" s="362">
        <f>+M219</f>
        <v>4093342</v>
      </c>
      <c r="N218" s="362">
        <f>+N219</f>
        <v>3216053</v>
      </c>
      <c r="O218" s="3261"/>
      <c r="P218" s="334"/>
    </row>
    <row r="219" spans="1:16" s="2065" customFormat="1">
      <c r="A219" s="3265"/>
      <c r="B219" s="365" t="s">
        <v>21</v>
      </c>
      <c r="C219" s="3140"/>
      <c r="D219" s="251">
        <f>E219+F219+G219+H219+I219+J219+K219+L219</f>
        <v>4195801</v>
      </c>
      <c r="E219" s="1607">
        <v>102459</v>
      </c>
      <c r="F219" s="138">
        <f>2336375+464546+670747-2594379</f>
        <v>877289</v>
      </c>
      <c r="G219" s="138">
        <f>925133+340000-643459+2594379</f>
        <v>3216053</v>
      </c>
      <c r="H219" s="138"/>
      <c r="I219" s="138"/>
      <c r="J219" s="138"/>
      <c r="K219" s="138"/>
      <c r="L219" s="138"/>
      <c r="M219" s="764">
        <f>SUM(F219:L219)</f>
        <v>4093342</v>
      </c>
      <c r="N219" s="764">
        <f>SUM(G219:L219)</f>
        <v>3216053</v>
      </c>
      <c r="O219" s="3261"/>
      <c r="P219" s="334"/>
    </row>
    <row r="220" spans="1:16" s="2065" customFormat="1">
      <c r="A220" s="2933"/>
      <c r="B220" s="21" t="s">
        <v>22</v>
      </c>
      <c r="C220" s="177"/>
      <c r="D220" s="360">
        <f>+D221+D223</f>
        <v>4936236</v>
      </c>
      <c r="E220" s="360">
        <f t="shared" ref="E220" si="152">E221+E223</f>
        <v>120539</v>
      </c>
      <c r="F220" s="360">
        <f t="shared" ref="F220:G220" si="153">F221+F223</f>
        <v>1032104</v>
      </c>
      <c r="G220" s="360">
        <f t="shared" si="153"/>
        <v>3783593</v>
      </c>
      <c r="H220" s="369"/>
      <c r="I220" s="360"/>
      <c r="J220" s="360"/>
      <c r="K220" s="360"/>
      <c r="L220" s="360"/>
      <c r="M220" s="3248" t="s">
        <v>61</v>
      </c>
      <c r="N220" s="3248" t="s">
        <v>61</v>
      </c>
      <c r="O220" s="3261"/>
      <c r="P220" s="334"/>
    </row>
    <row r="221" spans="1:16" s="2065" customFormat="1">
      <c r="A221" s="2933"/>
      <c r="B221" s="178" t="s">
        <v>24</v>
      </c>
      <c r="C221" s="3314" t="s">
        <v>183</v>
      </c>
      <c r="D221" s="361">
        <f>+D222</f>
        <v>740435</v>
      </c>
      <c r="E221" s="361">
        <f t="shared" ref="E221:G221" si="154">E222</f>
        <v>18080</v>
      </c>
      <c r="F221" s="361">
        <f t="shared" si="154"/>
        <v>154815</v>
      </c>
      <c r="G221" s="361">
        <f t="shared" si="154"/>
        <v>567540</v>
      </c>
      <c r="H221" s="370"/>
      <c r="I221" s="361"/>
      <c r="J221" s="361"/>
      <c r="K221" s="361"/>
      <c r="L221" s="361"/>
      <c r="M221" s="3177"/>
      <c r="N221" s="3177"/>
      <c r="O221" s="3261"/>
      <c r="P221" s="334"/>
    </row>
    <row r="222" spans="1:16" s="2065" customFormat="1">
      <c r="A222" s="2933"/>
      <c r="B222" s="179" t="s">
        <v>13</v>
      </c>
      <c r="C222" s="3139"/>
      <c r="D222" s="251">
        <f>E222+F222+G222+H222+I222+J222+K222+L222</f>
        <v>740435</v>
      </c>
      <c r="E222" s="1607">
        <v>18080</v>
      </c>
      <c r="F222" s="736">
        <f>412301+81979+118367-457832</f>
        <v>154815</v>
      </c>
      <c r="G222" s="736">
        <f>163259+60000-113551+457832</f>
        <v>567540</v>
      </c>
      <c r="H222" s="366"/>
      <c r="I222" s="366"/>
      <c r="J222" s="366"/>
      <c r="K222" s="366"/>
      <c r="L222" s="366"/>
      <c r="M222" s="3177"/>
      <c r="N222" s="3177"/>
      <c r="O222" s="3261"/>
      <c r="P222" s="334"/>
    </row>
    <row r="223" spans="1:16" s="2065" customFormat="1">
      <c r="A223" s="2933"/>
      <c r="B223" s="367" t="s">
        <v>18</v>
      </c>
      <c r="C223" s="3139"/>
      <c r="D223" s="364">
        <f>+D224</f>
        <v>4195801</v>
      </c>
      <c r="E223" s="364">
        <f t="shared" ref="E223:G223" si="155">E224</f>
        <v>102459</v>
      </c>
      <c r="F223" s="364">
        <f t="shared" si="155"/>
        <v>877289</v>
      </c>
      <c r="G223" s="364">
        <f t="shared" si="155"/>
        <v>3216053</v>
      </c>
      <c r="H223" s="371"/>
      <c r="I223" s="364"/>
      <c r="J223" s="364"/>
      <c r="K223" s="364"/>
      <c r="L223" s="364"/>
      <c r="M223" s="3177"/>
      <c r="N223" s="3177"/>
      <c r="O223" s="3261"/>
      <c r="P223" s="334"/>
    </row>
    <row r="224" spans="1:16" s="2065" customFormat="1" ht="13.5" thickBot="1">
      <c r="A224" s="2934"/>
      <c r="B224" s="368" t="s">
        <v>21</v>
      </c>
      <c r="C224" s="3267"/>
      <c r="D224" s="251">
        <f>E224+F224+G224+H224+I224+J224+K224+L224</f>
        <v>4195801</v>
      </c>
      <c r="E224" s="1607">
        <v>102459</v>
      </c>
      <c r="F224" s="723">
        <f>2336375+464546+670747-2594379</f>
        <v>877289</v>
      </c>
      <c r="G224" s="723">
        <f>925133+340000-643459+2594379</f>
        <v>3216053</v>
      </c>
      <c r="H224" s="180"/>
      <c r="I224" s="180"/>
      <c r="J224" s="180"/>
      <c r="K224" s="180"/>
      <c r="L224" s="180"/>
      <c r="M224" s="3178"/>
      <c r="N224" s="3178"/>
      <c r="O224" s="3262"/>
      <c r="P224" s="334"/>
    </row>
    <row r="225" spans="1:16" s="2065" customFormat="1" ht="36" customHeight="1">
      <c r="A225" s="3264" t="s">
        <v>90</v>
      </c>
      <c r="B225" s="172" t="s">
        <v>327</v>
      </c>
      <c r="C225" s="173" t="s">
        <v>81</v>
      </c>
      <c r="D225" s="189"/>
      <c r="E225" s="188"/>
      <c r="F225" s="188"/>
      <c r="G225" s="188"/>
      <c r="H225" s="188"/>
      <c r="I225" s="188"/>
      <c r="J225" s="188"/>
      <c r="K225" s="188"/>
      <c r="L225" s="263"/>
      <c r="M225" s="359"/>
      <c r="N225" s="359"/>
      <c r="O225" s="3260" t="s">
        <v>301</v>
      </c>
      <c r="P225" s="334"/>
    </row>
    <row r="226" spans="1:16" s="2065" customFormat="1">
      <c r="A226" s="3265"/>
      <c r="B226" s="728" t="s">
        <v>10</v>
      </c>
      <c r="C226" s="2009"/>
      <c r="D226" s="1981">
        <f t="shared" ref="D226:G226" si="156">+D227+D229</f>
        <v>5764</v>
      </c>
      <c r="E226" s="1981">
        <f t="shared" ref="E226" si="157">+E227+E229</f>
        <v>5764</v>
      </c>
      <c r="F226" s="1981">
        <f t="shared" si="156"/>
        <v>0</v>
      </c>
      <c r="G226" s="1981">
        <f t="shared" si="156"/>
        <v>0</v>
      </c>
      <c r="H226" s="1975"/>
      <c r="I226" s="1975"/>
      <c r="J226" s="1975"/>
      <c r="K226" s="1975"/>
      <c r="L226" s="1975"/>
      <c r="M226" s="2010">
        <f>M227+M229</f>
        <v>0</v>
      </c>
      <c r="N226" s="2010">
        <f>N227+N229</f>
        <v>0</v>
      </c>
      <c r="O226" s="3261"/>
      <c r="P226" s="334"/>
    </row>
    <row r="227" spans="1:16" s="2065" customFormat="1">
      <c r="A227" s="3265"/>
      <c r="B227" s="694" t="s">
        <v>24</v>
      </c>
      <c r="C227" s="3277" t="s">
        <v>183</v>
      </c>
      <c r="D227" s="1964">
        <f t="shared" ref="D227:G227" si="158">SUM(D228:D228)</f>
        <v>865</v>
      </c>
      <c r="E227" s="1964">
        <f t="shared" si="158"/>
        <v>865</v>
      </c>
      <c r="F227" s="1964">
        <f t="shared" si="158"/>
        <v>0</v>
      </c>
      <c r="G227" s="1964">
        <f t="shared" si="158"/>
        <v>0</v>
      </c>
      <c r="H227" s="1964"/>
      <c r="I227" s="1964"/>
      <c r="J227" s="1964"/>
      <c r="K227" s="1964"/>
      <c r="L227" s="1964"/>
      <c r="M227" s="764">
        <f>SUM(F227:K227)</f>
        <v>0</v>
      </c>
      <c r="N227" s="764">
        <f>SUM(G227:L227)</f>
        <v>0</v>
      </c>
      <c r="O227" s="3261"/>
      <c r="P227" s="334"/>
    </row>
    <row r="228" spans="1:16" s="2065" customFormat="1">
      <c r="A228" s="3265"/>
      <c r="B228" s="175" t="s">
        <v>13</v>
      </c>
      <c r="C228" s="3139"/>
      <c r="D228" s="1926">
        <f>E228+F228+G228+H228+I228+J228+K228+L228</f>
        <v>865</v>
      </c>
      <c r="E228" s="1967">
        <v>865</v>
      </c>
      <c r="F228" s="176">
        <v>0</v>
      </c>
      <c r="G228" s="176">
        <v>0</v>
      </c>
      <c r="H228" s="176"/>
      <c r="I228" s="176"/>
      <c r="J228" s="176"/>
      <c r="K228" s="176"/>
      <c r="L228" s="176"/>
      <c r="M228" s="764">
        <f>SUM(F228:K228)</f>
        <v>0</v>
      </c>
      <c r="N228" s="764">
        <f>SUM(G228:L228)</f>
        <v>0</v>
      </c>
      <c r="O228" s="3261"/>
      <c r="P228" s="334"/>
    </row>
    <row r="229" spans="1:16" s="2065" customFormat="1">
      <c r="A229" s="3265"/>
      <c r="B229" s="754" t="s">
        <v>18</v>
      </c>
      <c r="C229" s="3139"/>
      <c r="D229" s="1970">
        <f>+D230</f>
        <v>4899</v>
      </c>
      <c r="E229" s="1970">
        <f t="shared" ref="E229:G229" si="159">E230</f>
        <v>4899</v>
      </c>
      <c r="F229" s="1970">
        <f t="shared" si="159"/>
        <v>0</v>
      </c>
      <c r="G229" s="1970">
        <f t="shared" si="159"/>
        <v>0</v>
      </c>
      <c r="H229" s="1970"/>
      <c r="I229" s="1970"/>
      <c r="J229" s="1970"/>
      <c r="K229" s="1970"/>
      <c r="L229" s="1970"/>
      <c r="M229" s="1966">
        <f>+M230</f>
        <v>0</v>
      </c>
      <c r="N229" s="1966">
        <f>+N230</f>
        <v>0</v>
      </c>
      <c r="O229" s="3261"/>
      <c r="P229" s="334"/>
    </row>
    <row r="230" spans="1:16" s="2065" customFormat="1">
      <c r="A230" s="3265"/>
      <c r="B230" s="2011" t="s">
        <v>21</v>
      </c>
      <c r="C230" s="3140"/>
      <c r="D230" s="1926">
        <f>E230+F230+G230+H230+I230+J230+K230+L230</f>
        <v>4899</v>
      </c>
      <c r="E230" s="1967">
        <v>4899</v>
      </c>
      <c r="F230" s="138">
        <v>0</v>
      </c>
      <c r="G230" s="138">
        <v>0</v>
      </c>
      <c r="H230" s="138"/>
      <c r="I230" s="138"/>
      <c r="J230" s="138"/>
      <c r="K230" s="138"/>
      <c r="L230" s="138"/>
      <c r="M230" s="764">
        <f>SUM(F230:K230)</f>
        <v>0</v>
      </c>
      <c r="N230" s="764">
        <f>SUM(G230:L230)</f>
        <v>0</v>
      </c>
      <c r="O230" s="3261"/>
      <c r="P230" s="334"/>
    </row>
    <row r="231" spans="1:16" s="2065" customFormat="1">
      <c r="A231" s="2933"/>
      <c r="B231" s="728" t="s">
        <v>22</v>
      </c>
      <c r="C231" s="1974"/>
      <c r="D231" s="1975">
        <f>+D232+D234</f>
        <v>5764</v>
      </c>
      <c r="E231" s="1975">
        <f t="shared" ref="E231" si="160">E232+E234</f>
        <v>5764</v>
      </c>
      <c r="F231" s="1975">
        <f t="shared" ref="F231:G231" si="161">F232+F234</f>
        <v>0</v>
      </c>
      <c r="G231" s="1975">
        <f t="shared" si="161"/>
        <v>0</v>
      </c>
      <c r="H231" s="2012"/>
      <c r="I231" s="1975"/>
      <c r="J231" s="1975"/>
      <c r="K231" s="1975"/>
      <c r="L231" s="1975"/>
      <c r="M231" s="3176" t="s">
        <v>61</v>
      </c>
      <c r="N231" s="3176" t="s">
        <v>61</v>
      </c>
      <c r="O231" s="3261"/>
      <c r="P231" s="334"/>
    </row>
    <row r="232" spans="1:16" s="2065" customFormat="1">
      <c r="A232" s="2933"/>
      <c r="B232" s="1976" t="s">
        <v>24</v>
      </c>
      <c r="C232" s="3277" t="s">
        <v>183</v>
      </c>
      <c r="D232" s="1964">
        <f>+D233</f>
        <v>865</v>
      </c>
      <c r="E232" s="1964">
        <f t="shared" ref="E232:G232" si="162">E233</f>
        <v>865</v>
      </c>
      <c r="F232" s="1964">
        <f t="shared" si="162"/>
        <v>0</v>
      </c>
      <c r="G232" s="1964">
        <f t="shared" si="162"/>
        <v>0</v>
      </c>
      <c r="H232" s="2013"/>
      <c r="I232" s="1964"/>
      <c r="J232" s="1964"/>
      <c r="K232" s="1964"/>
      <c r="L232" s="1964"/>
      <c r="M232" s="3177"/>
      <c r="N232" s="3177"/>
      <c r="O232" s="3261"/>
      <c r="P232" s="334"/>
    </row>
    <row r="233" spans="1:16" s="2065" customFormat="1">
      <c r="A233" s="2933"/>
      <c r="B233" s="179" t="s">
        <v>13</v>
      </c>
      <c r="C233" s="3139"/>
      <c r="D233" s="1926">
        <f>E233+F233+G233+H233+I233+J233+K233+L233</f>
        <v>865</v>
      </c>
      <c r="E233" s="1967">
        <v>865</v>
      </c>
      <c r="F233" s="1977">
        <v>0</v>
      </c>
      <c r="G233" s="1977">
        <v>0</v>
      </c>
      <c r="H233" s="1977"/>
      <c r="I233" s="1977"/>
      <c r="J233" s="1977"/>
      <c r="K233" s="1977"/>
      <c r="L233" s="1977"/>
      <c r="M233" s="3177"/>
      <c r="N233" s="3177"/>
      <c r="O233" s="3261"/>
      <c r="P233" s="334"/>
    </row>
    <row r="234" spans="1:16" s="2065" customFormat="1">
      <c r="A234" s="2933"/>
      <c r="B234" s="1978" t="s">
        <v>18</v>
      </c>
      <c r="C234" s="3139"/>
      <c r="D234" s="1970">
        <f>+D235</f>
        <v>4899</v>
      </c>
      <c r="E234" s="1970">
        <f t="shared" ref="E234:G234" si="163">E235</f>
        <v>4899</v>
      </c>
      <c r="F234" s="1970">
        <f t="shared" si="163"/>
        <v>0</v>
      </c>
      <c r="G234" s="1970">
        <f t="shared" si="163"/>
        <v>0</v>
      </c>
      <c r="H234" s="1996"/>
      <c r="I234" s="1970"/>
      <c r="J234" s="1970"/>
      <c r="K234" s="1970"/>
      <c r="L234" s="1970"/>
      <c r="M234" s="3177"/>
      <c r="N234" s="3177"/>
      <c r="O234" s="3261"/>
      <c r="P234" s="334"/>
    </row>
    <row r="235" spans="1:16" s="2065" customFormat="1" ht="11.25" customHeight="1" thickBot="1">
      <c r="A235" s="2934"/>
      <c r="B235" s="368" t="s">
        <v>21</v>
      </c>
      <c r="C235" s="3267"/>
      <c r="D235" s="1027">
        <f>E235+F235+G235+H235+I235+J235+K235+L235</f>
        <v>4899</v>
      </c>
      <c r="E235" s="1979">
        <v>4899</v>
      </c>
      <c r="F235" s="723">
        <v>0</v>
      </c>
      <c r="G235" s="723">
        <v>0</v>
      </c>
      <c r="H235" s="723"/>
      <c r="I235" s="723"/>
      <c r="J235" s="723"/>
      <c r="K235" s="723"/>
      <c r="L235" s="723"/>
      <c r="M235" s="3178"/>
      <c r="N235" s="3178"/>
      <c r="O235" s="3262"/>
      <c r="P235" s="334"/>
    </row>
    <row r="236" spans="1:16" s="2065" customFormat="1" ht="13.5" hidden="1" thickBot="1">
      <c r="A236" s="576"/>
      <c r="B236" s="577"/>
      <c r="C236" s="578"/>
      <c r="D236" s="579"/>
      <c r="E236" s="579"/>
      <c r="F236" s="580"/>
      <c r="G236" s="580"/>
      <c r="H236" s="580"/>
      <c r="I236" s="580"/>
      <c r="J236" s="580"/>
      <c r="K236" s="580"/>
      <c r="L236" s="580"/>
      <c r="M236" s="581"/>
      <c r="N236" s="581"/>
      <c r="O236" s="582"/>
      <c r="P236" s="334"/>
    </row>
    <row r="237" spans="1:16" s="330" customFormat="1" ht="18.75" thickBot="1">
      <c r="A237" s="194" t="s">
        <v>155</v>
      </c>
      <c r="B237" s="195"/>
      <c r="C237" s="195"/>
      <c r="D237" s="195"/>
      <c r="E237" s="1912"/>
      <c r="F237" s="195"/>
      <c r="G237" s="195"/>
      <c r="H237" s="195"/>
      <c r="I237" s="195"/>
      <c r="J237" s="195"/>
      <c r="K237" s="195"/>
      <c r="L237" s="195"/>
      <c r="M237" s="1173"/>
      <c r="N237" s="1173"/>
      <c r="O237" s="196"/>
    </row>
    <row r="238" spans="1:16" s="2065" customFormat="1">
      <c r="A238" s="1809"/>
      <c r="B238" s="213" t="s">
        <v>76</v>
      </c>
      <c r="C238" s="214"/>
      <c r="D238" s="215">
        <f>+D239+D240</f>
        <v>53302984</v>
      </c>
      <c r="E238" s="215">
        <f>+E239+E240</f>
        <v>28119865</v>
      </c>
      <c r="F238" s="215">
        <f t="shared" ref="F238" si="164">+F239+F240</f>
        <v>8865855</v>
      </c>
      <c r="G238" s="215">
        <f>+G239+G240</f>
        <v>8361775</v>
      </c>
      <c r="H238" s="215">
        <f>+H239+H240</f>
        <v>6955489</v>
      </c>
      <c r="I238" s="215">
        <f>+I239+I240</f>
        <v>1000000</v>
      </c>
      <c r="J238" s="215"/>
      <c r="K238" s="215"/>
      <c r="L238" s="215"/>
      <c r="M238" s="16">
        <f>+M239+M240</f>
        <v>25183119</v>
      </c>
      <c r="N238" s="16">
        <f>+N239+N240</f>
        <v>16317264</v>
      </c>
      <c r="O238" s="3299" t="s">
        <v>61</v>
      </c>
      <c r="P238" s="334"/>
    </row>
    <row r="239" spans="1:16" s="2065" customFormat="1" ht="13.5" customHeight="1">
      <c r="A239" s="192"/>
      <c r="B239" s="216" t="s">
        <v>77</v>
      </c>
      <c r="C239" s="217"/>
      <c r="D239" s="218">
        <f>+D253+D257</f>
        <v>51186260</v>
      </c>
      <c r="E239" s="218">
        <f>+E253+E257</f>
        <v>26008965</v>
      </c>
      <c r="F239" s="218">
        <f t="shared" ref="F239" si="165">+F253+F257</f>
        <v>8865855</v>
      </c>
      <c r="G239" s="218">
        <f>+G253</f>
        <v>8355951</v>
      </c>
      <c r="H239" s="218">
        <f>+H253</f>
        <v>6955489</v>
      </c>
      <c r="I239" s="218">
        <f>+I253</f>
        <v>1000000</v>
      </c>
      <c r="J239" s="218"/>
      <c r="K239" s="218"/>
      <c r="L239" s="218"/>
      <c r="M239" s="18">
        <f>SUM(F239:K239)</f>
        <v>25177295</v>
      </c>
      <c r="N239" s="18">
        <f>SUM(G239:L239)</f>
        <v>16311440</v>
      </c>
      <c r="O239" s="3300"/>
    </row>
    <row r="240" spans="1:16" s="2065" customFormat="1" ht="13.5" customHeight="1" thickBot="1">
      <c r="A240" s="192"/>
      <c r="B240" s="227" t="s">
        <v>9</v>
      </c>
      <c r="C240" s="217"/>
      <c r="D240" s="218">
        <f>+D249</f>
        <v>2116724</v>
      </c>
      <c r="E240" s="218">
        <f>+E249</f>
        <v>2110900</v>
      </c>
      <c r="F240" s="218">
        <f t="shared" ref="F240" si="166">+F249</f>
        <v>0</v>
      </c>
      <c r="G240" s="380">
        <f>+G249</f>
        <v>5824</v>
      </c>
      <c r="H240" s="380">
        <f>+H249</f>
        <v>0</v>
      </c>
      <c r="I240" s="380">
        <f>+I249</f>
        <v>0</v>
      </c>
      <c r="J240" s="380"/>
      <c r="K240" s="380"/>
      <c r="L240" s="380"/>
      <c r="M240" s="155">
        <f>SUM(F240:K240)</f>
        <v>5824</v>
      </c>
      <c r="N240" s="155">
        <f>SUM(G240:L240)</f>
        <v>5824</v>
      </c>
      <c r="O240" s="3300"/>
    </row>
    <row r="241" spans="1:27" s="384" customFormat="1" ht="12">
      <c r="A241" s="381"/>
      <c r="B241" s="184" t="s">
        <v>10</v>
      </c>
      <c r="C241" s="185"/>
      <c r="D241" s="159">
        <f>+D242</f>
        <v>53302984</v>
      </c>
      <c r="E241" s="159">
        <f t="shared" ref="E241:I242" si="167">+E242</f>
        <v>28119865</v>
      </c>
      <c r="F241" s="159">
        <f t="shared" si="167"/>
        <v>8865855</v>
      </c>
      <c r="G241" s="159">
        <f t="shared" si="167"/>
        <v>8361775</v>
      </c>
      <c r="H241" s="159">
        <f t="shared" si="167"/>
        <v>6955489</v>
      </c>
      <c r="I241" s="159">
        <f t="shared" si="167"/>
        <v>1000000</v>
      </c>
      <c r="J241" s="159"/>
      <c r="K241" s="159"/>
      <c r="L241" s="159"/>
      <c r="M241" s="382">
        <f>+M242</f>
        <v>25183119</v>
      </c>
      <c r="N241" s="382">
        <f>+N242</f>
        <v>16317264</v>
      </c>
      <c r="O241" s="3300"/>
      <c r="P241" s="383"/>
      <c r="Q241" s="383"/>
    </row>
    <row r="242" spans="1:27" s="387" customFormat="1" ht="12">
      <c r="A242" s="198"/>
      <c r="B242" s="160" t="s">
        <v>11</v>
      </c>
      <c r="C242" s="3302" t="s">
        <v>61</v>
      </c>
      <c r="D242" s="2155">
        <f>+D243+D244</f>
        <v>53302984</v>
      </c>
      <c r="E242" s="2155">
        <f t="shared" si="167"/>
        <v>28119865</v>
      </c>
      <c r="F242" s="2155">
        <f t="shared" si="167"/>
        <v>8865855</v>
      </c>
      <c r="G242" s="2155">
        <f t="shared" si="167"/>
        <v>8361775</v>
      </c>
      <c r="H242" s="2155">
        <f t="shared" si="167"/>
        <v>6955489</v>
      </c>
      <c r="I242" s="2155">
        <f t="shared" si="167"/>
        <v>1000000</v>
      </c>
      <c r="J242" s="2155"/>
      <c r="K242" s="2155"/>
      <c r="L242" s="2155"/>
      <c r="M242" s="2156">
        <f>+M243+M244</f>
        <v>25183119</v>
      </c>
      <c r="N242" s="2156">
        <f>+N243+N244</f>
        <v>16317264</v>
      </c>
      <c r="O242" s="3300"/>
      <c r="P242" s="385"/>
      <c r="Q242" s="386"/>
      <c r="R242" s="385"/>
      <c r="S242" s="385"/>
      <c r="T242" s="385"/>
      <c r="U242" s="385"/>
      <c r="V242" s="385"/>
      <c r="W242" s="385"/>
      <c r="X242" s="385"/>
      <c r="Y242" s="385"/>
      <c r="Z242" s="385"/>
      <c r="AA242" s="385"/>
    </row>
    <row r="243" spans="1:27" s="345" customFormat="1" ht="13.5" thickBot="1">
      <c r="A243" s="162"/>
      <c r="B243" s="163" t="s">
        <v>12</v>
      </c>
      <c r="C243" s="3303"/>
      <c r="D243" s="2157">
        <f>+D251+D255+D259</f>
        <v>53302984</v>
      </c>
      <c r="E243" s="2157">
        <f>+E251+E255+E259</f>
        <v>28119865</v>
      </c>
      <c r="F243" s="2157">
        <f>+F251+F255+F259</f>
        <v>8865855</v>
      </c>
      <c r="G243" s="2157">
        <f t="shared" ref="G243:H243" si="168">+G251+G255+G259</f>
        <v>8361775</v>
      </c>
      <c r="H243" s="2157">
        <f t="shared" si="168"/>
        <v>6955489</v>
      </c>
      <c r="I243" s="2157">
        <f>+I251+I255</f>
        <v>1000000</v>
      </c>
      <c r="J243" s="2157"/>
      <c r="K243" s="2157"/>
      <c r="L243" s="2157"/>
      <c r="M243" s="2158">
        <f>SUM(F243:L243)</f>
        <v>25183119</v>
      </c>
      <c r="N243" s="2158">
        <f>SUM(G243:L243)</f>
        <v>16317264</v>
      </c>
      <c r="O243" s="3300"/>
      <c r="P243" s="334"/>
    </row>
    <row r="244" spans="1:27" s="345" customFormat="1" ht="13.5" hidden="1" customHeight="1">
      <c r="A244" s="162"/>
      <c r="B244" s="163" t="s">
        <v>14</v>
      </c>
      <c r="C244" s="3303"/>
      <c r="D244" s="2157">
        <f t="shared" ref="D244" si="169">+D260</f>
        <v>0</v>
      </c>
      <c r="E244" s="2157">
        <f t="shared" ref="E244" si="170">+E260</f>
        <v>0</v>
      </c>
      <c r="F244" s="2157">
        <f>+F260</f>
        <v>0</v>
      </c>
      <c r="G244" s="2157">
        <f>+G260</f>
        <v>0</v>
      </c>
      <c r="H244" s="2157">
        <f>+H260</f>
        <v>0</v>
      </c>
      <c r="I244" s="2157">
        <f>+I260</f>
        <v>0</v>
      </c>
      <c r="J244" s="2157"/>
      <c r="K244" s="2157"/>
      <c r="L244" s="2157"/>
      <c r="M244" s="2158">
        <f>SUM(E244:K244)</f>
        <v>0</v>
      </c>
      <c r="N244" s="2158">
        <f>SUM(F244:L244)</f>
        <v>0</v>
      </c>
      <c r="O244" s="3300"/>
      <c r="P244" s="334"/>
    </row>
    <row r="245" spans="1:27" s="337" customFormat="1" ht="15" hidden="1" customHeight="1">
      <c r="A245" s="156"/>
      <c r="B245" s="83" t="s">
        <v>22</v>
      </c>
      <c r="C245" s="92"/>
      <c r="D245" s="197">
        <f>+D246</f>
        <v>0</v>
      </c>
      <c r="E245" s="197">
        <f t="shared" ref="E245" si="171">+E246</f>
        <v>0</v>
      </c>
      <c r="F245" s="197">
        <f t="shared" ref="F245:I246" si="172">+F246</f>
        <v>0</v>
      </c>
      <c r="G245" s="197">
        <f t="shared" si="172"/>
        <v>0</v>
      </c>
      <c r="H245" s="197">
        <f t="shared" si="172"/>
        <v>0</v>
      </c>
      <c r="I245" s="197">
        <f t="shared" si="172"/>
        <v>0</v>
      </c>
      <c r="J245" s="197"/>
      <c r="K245" s="197"/>
      <c r="L245" s="197"/>
      <c r="M245" s="3249" t="s">
        <v>61</v>
      </c>
      <c r="N245" s="3249" t="s">
        <v>61</v>
      </c>
      <c r="O245" s="3300"/>
      <c r="P245" s="336"/>
      <c r="Q245" s="336"/>
    </row>
    <row r="246" spans="1:27" s="337" customFormat="1" ht="14.25" hidden="1" customHeight="1">
      <c r="A246" s="156"/>
      <c r="B246" s="160" t="s">
        <v>11</v>
      </c>
      <c r="C246" s="3302" t="s">
        <v>61</v>
      </c>
      <c r="D246" s="2155">
        <f>+D247</f>
        <v>0</v>
      </c>
      <c r="E246" s="2155">
        <f>+E247</f>
        <v>0</v>
      </c>
      <c r="F246" s="2155">
        <f t="shared" si="172"/>
        <v>0</v>
      </c>
      <c r="G246" s="2155">
        <f t="shared" si="172"/>
        <v>0</v>
      </c>
      <c r="H246" s="2155">
        <f t="shared" si="172"/>
        <v>0</v>
      </c>
      <c r="I246" s="2155">
        <f t="shared" si="172"/>
        <v>0</v>
      </c>
      <c r="J246" s="2155"/>
      <c r="K246" s="2155"/>
      <c r="L246" s="2155"/>
      <c r="M246" s="3177"/>
      <c r="N246" s="3177"/>
      <c r="O246" s="3300"/>
      <c r="P246" s="336"/>
      <c r="Q246" s="336"/>
    </row>
    <row r="247" spans="1:27" s="345" customFormat="1" ht="16.5" hidden="1" customHeight="1" thickBot="1">
      <c r="A247" s="162"/>
      <c r="B247" s="163" t="s">
        <v>14</v>
      </c>
      <c r="C247" s="3303"/>
      <c r="D247" s="2157">
        <f>+D263</f>
        <v>0</v>
      </c>
      <c r="E247" s="2157">
        <f>+E263</f>
        <v>0</v>
      </c>
      <c r="F247" s="2157">
        <f t="shared" ref="F247:I247" si="173">+F263</f>
        <v>0</v>
      </c>
      <c r="G247" s="2157">
        <f t="shared" si="173"/>
        <v>0</v>
      </c>
      <c r="H247" s="2157">
        <f t="shared" si="173"/>
        <v>0</v>
      </c>
      <c r="I247" s="2157">
        <f t="shared" si="173"/>
        <v>0</v>
      </c>
      <c r="J247" s="388"/>
      <c r="K247" s="388"/>
      <c r="L247" s="388"/>
      <c r="M247" s="3178"/>
      <c r="N247" s="3178"/>
      <c r="O247" s="3301"/>
      <c r="P247" s="335"/>
    </row>
    <row r="248" spans="1:27" s="353" customFormat="1" ht="22.5" customHeight="1">
      <c r="A248" s="3264" t="s">
        <v>63</v>
      </c>
      <c r="B248" s="389" t="s">
        <v>332</v>
      </c>
      <c r="C248" s="390" t="s">
        <v>81</v>
      </c>
      <c r="D248" s="407"/>
      <c r="E248" s="404"/>
      <c r="F248" s="404"/>
      <c r="G248" s="404"/>
      <c r="H248" s="404"/>
      <c r="I248" s="404"/>
      <c r="J248" s="404"/>
      <c r="K248" s="404"/>
      <c r="L248" s="1897"/>
      <c r="M248" s="372"/>
      <c r="N248" s="372"/>
      <c r="O248" s="3260" t="s">
        <v>303</v>
      </c>
    </row>
    <row r="249" spans="1:27" s="353" customFormat="1">
      <c r="A249" s="3265"/>
      <c r="B249" s="83" t="s">
        <v>10</v>
      </c>
      <c r="C249" s="1963"/>
      <c r="D249" s="1975">
        <f>+D250</f>
        <v>2116724</v>
      </c>
      <c r="E249" s="1975">
        <f t="shared" ref="E249:N250" si="174">+E250</f>
        <v>2110900</v>
      </c>
      <c r="F249" s="1975">
        <f>+F250</f>
        <v>0</v>
      </c>
      <c r="G249" s="1975">
        <f>+G250</f>
        <v>5824</v>
      </c>
      <c r="H249" s="2138">
        <v>0</v>
      </c>
      <c r="I249" s="2138">
        <v>0</v>
      </c>
      <c r="J249" s="2138">
        <v>0</v>
      </c>
      <c r="K249" s="2138">
        <v>0</v>
      </c>
      <c r="L249" s="2138">
        <v>0</v>
      </c>
      <c r="M249" s="2139">
        <f t="shared" si="174"/>
        <v>5824</v>
      </c>
      <c r="N249" s="2139">
        <f t="shared" si="174"/>
        <v>5824</v>
      </c>
      <c r="O249" s="3297"/>
      <c r="P249" s="334"/>
    </row>
    <row r="250" spans="1:27" s="353" customFormat="1" ht="12" customHeight="1">
      <c r="A250" s="3265"/>
      <c r="B250" s="694" t="s">
        <v>24</v>
      </c>
      <c r="C250" s="3309" t="s">
        <v>156</v>
      </c>
      <c r="D250" s="1970">
        <f>+D251</f>
        <v>2116724</v>
      </c>
      <c r="E250" s="1970">
        <f t="shared" si="174"/>
        <v>2110900</v>
      </c>
      <c r="F250" s="1970">
        <f>+F251</f>
        <v>0</v>
      </c>
      <c r="G250" s="1970">
        <f>+G251</f>
        <v>5824</v>
      </c>
      <c r="H250" s="1971">
        <v>0</v>
      </c>
      <c r="I250" s="1971">
        <v>0</v>
      </c>
      <c r="J250" s="1971">
        <v>0</v>
      </c>
      <c r="K250" s="1971">
        <v>0</v>
      </c>
      <c r="L250" s="1971">
        <v>0</v>
      </c>
      <c r="M250" s="2159">
        <f t="shared" si="174"/>
        <v>5824</v>
      </c>
      <c r="N250" s="2159">
        <f t="shared" si="174"/>
        <v>5824</v>
      </c>
      <c r="O250" s="3297"/>
    </row>
    <row r="251" spans="1:27" s="353" customFormat="1" thickBot="1">
      <c r="A251" s="3266"/>
      <c r="B251" s="1611" t="s">
        <v>12</v>
      </c>
      <c r="C251" s="3267"/>
      <c r="D251" s="1034">
        <f>E251+F251+G251+H251+I251+J251+K251+L251</f>
        <v>2116724</v>
      </c>
      <c r="E251" s="1967">
        <f>2110900</f>
        <v>2110900</v>
      </c>
      <c r="F251" s="598">
        <f>5824-5824</f>
        <v>0</v>
      </c>
      <c r="G251" s="598">
        <v>5824</v>
      </c>
      <c r="H251" s="747">
        <v>0</v>
      </c>
      <c r="I251" s="747">
        <v>0</v>
      </c>
      <c r="J251" s="747">
        <v>0</v>
      </c>
      <c r="K251" s="747">
        <v>0</v>
      </c>
      <c r="L251" s="747">
        <v>0</v>
      </c>
      <c r="M251" s="1969">
        <f>SUM(F251:L251)</f>
        <v>5824</v>
      </c>
      <c r="N251" s="1969">
        <f>SUM(G251:L251)</f>
        <v>5824</v>
      </c>
      <c r="O251" s="3298"/>
    </row>
    <row r="252" spans="1:27" s="353" customFormat="1" ht="26.25" customHeight="1">
      <c r="A252" s="3306" t="s">
        <v>64</v>
      </c>
      <c r="B252" s="172" t="s">
        <v>396</v>
      </c>
      <c r="C252" s="390" t="s">
        <v>109</v>
      </c>
      <c r="D252" s="407"/>
      <c r="E252" s="404"/>
      <c r="F252" s="404"/>
      <c r="G252" s="404"/>
      <c r="H252" s="404"/>
      <c r="I252" s="404"/>
      <c r="J252" s="404"/>
      <c r="K252" s="404"/>
      <c r="L252" s="1897"/>
      <c r="M252" s="372"/>
      <c r="N252" s="372"/>
      <c r="O252" s="3260" t="s">
        <v>304</v>
      </c>
      <c r="P252" s="334"/>
    </row>
    <row r="253" spans="1:27" s="353" customFormat="1" ht="12">
      <c r="A253" s="3307"/>
      <c r="B253" s="728" t="s">
        <v>10</v>
      </c>
      <c r="C253" s="1963"/>
      <c r="D253" s="1975">
        <f>+D254</f>
        <v>51155510</v>
      </c>
      <c r="E253" s="1975">
        <f t="shared" ref="E253:N254" si="175">+E254</f>
        <v>26008965</v>
      </c>
      <c r="F253" s="1975">
        <f t="shared" si="175"/>
        <v>8835105</v>
      </c>
      <c r="G253" s="1975">
        <f t="shared" si="175"/>
        <v>8355951</v>
      </c>
      <c r="H253" s="1975">
        <f t="shared" si="175"/>
        <v>6955489</v>
      </c>
      <c r="I253" s="1975">
        <f t="shared" si="175"/>
        <v>1000000</v>
      </c>
      <c r="J253" s="2138">
        <f t="shared" si="175"/>
        <v>0</v>
      </c>
      <c r="K253" s="2138">
        <f t="shared" si="175"/>
        <v>0</v>
      </c>
      <c r="L253" s="2138">
        <f t="shared" si="175"/>
        <v>0</v>
      </c>
      <c r="M253" s="2160">
        <f t="shared" si="175"/>
        <v>25146545</v>
      </c>
      <c r="N253" s="2160">
        <f t="shared" si="175"/>
        <v>16311440</v>
      </c>
      <c r="O253" s="3297"/>
    </row>
    <row r="254" spans="1:27" s="353" customFormat="1" ht="12">
      <c r="A254" s="3307"/>
      <c r="B254" s="694" t="s">
        <v>24</v>
      </c>
      <c r="C254" s="3286" t="s">
        <v>149</v>
      </c>
      <c r="D254" s="2161">
        <f>+D255</f>
        <v>51155510</v>
      </c>
      <c r="E254" s="2119">
        <f t="shared" si="175"/>
        <v>26008965</v>
      </c>
      <c r="F254" s="2120">
        <f t="shared" si="175"/>
        <v>8835105</v>
      </c>
      <c r="G254" s="1983">
        <f t="shared" si="175"/>
        <v>8355951</v>
      </c>
      <c r="H254" s="1983">
        <f t="shared" si="175"/>
        <v>6955489</v>
      </c>
      <c r="I254" s="1983">
        <f t="shared" si="175"/>
        <v>1000000</v>
      </c>
      <c r="J254" s="2162">
        <f t="shared" si="175"/>
        <v>0</v>
      </c>
      <c r="K254" s="2162">
        <f t="shared" si="175"/>
        <v>0</v>
      </c>
      <c r="L254" s="2162">
        <f t="shared" si="175"/>
        <v>0</v>
      </c>
      <c r="M254" s="2163">
        <f t="shared" si="175"/>
        <v>25146545</v>
      </c>
      <c r="N254" s="2163">
        <f t="shared" si="175"/>
        <v>16311440</v>
      </c>
      <c r="O254" s="3297"/>
    </row>
    <row r="255" spans="1:27" s="353" customFormat="1" thickBot="1">
      <c r="A255" s="3308"/>
      <c r="B255" s="1612" t="s">
        <v>12</v>
      </c>
      <c r="C255" s="3304"/>
      <c r="D255" s="1026">
        <f>E255+F255+G255+H255+I255+J255+K255+L255</f>
        <v>51155510</v>
      </c>
      <c r="E255" s="2121">
        <f>20241982+5766983</f>
        <v>26008965</v>
      </c>
      <c r="F255" s="1613">
        <f>0+8835105</f>
        <v>8835105</v>
      </c>
      <c r="G255" s="1614">
        <f>0+7382305+973646</f>
        <v>8355951</v>
      </c>
      <c r="H255" s="1614">
        <f>5029421+1926068</f>
        <v>6955489</v>
      </c>
      <c r="I255" s="1614">
        <v>1000000</v>
      </c>
      <c r="J255" s="1615">
        <v>0</v>
      </c>
      <c r="K255" s="1615">
        <v>0</v>
      </c>
      <c r="L255" s="1615">
        <v>0</v>
      </c>
      <c r="M255" s="2108">
        <f>SUM(F255:L255)</f>
        <v>25146545</v>
      </c>
      <c r="N255" s="2108">
        <f>SUM(G255:L255)</f>
        <v>16311440</v>
      </c>
      <c r="O255" s="3305"/>
    </row>
    <row r="256" spans="1:27" s="353" customFormat="1" ht="45" customHeight="1">
      <c r="A256" s="3264" t="s">
        <v>65</v>
      </c>
      <c r="B256" s="172" t="s">
        <v>331</v>
      </c>
      <c r="C256" s="390" t="s">
        <v>109</v>
      </c>
      <c r="D256" s="189"/>
      <c r="E256" s="408"/>
      <c r="F256" s="408"/>
      <c r="G256" s="408"/>
      <c r="H256" s="408"/>
      <c r="I256" s="408"/>
      <c r="J256" s="408"/>
      <c r="K256" s="408"/>
      <c r="L256" s="2474"/>
      <c r="M256" s="2475"/>
      <c r="N256" s="2475"/>
      <c r="O256" s="3311" t="s">
        <v>157</v>
      </c>
      <c r="P256" s="334"/>
    </row>
    <row r="257" spans="1:15" s="353" customFormat="1" ht="12">
      <c r="A257" s="3265"/>
      <c r="B257" s="728" t="s">
        <v>10</v>
      </c>
      <c r="C257" s="1098"/>
      <c r="D257" s="752">
        <f>+D258</f>
        <v>30750</v>
      </c>
      <c r="E257" s="752">
        <f t="shared" ref="E257:L257" si="176">+E258</f>
        <v>0</v>
      </c>
      <c r="F257" s="752">
        <f t="shared" si="176"/>
        <v>30750</v>
      </c>
      <c r="G257" s="761">
        <f t="shared" si="176"/>
        <v>0</v>
      </c>
      <c r="H257" s="761">
        <f t="shared" si="176"/>
        <v>0</v>
      </c>
      <c r="I257" s="761">
        <f t="shared" si="176"/>
        <v>0</v>
      </c>
      <c r="J257" s="761">
        <f t="shared" si="176"/>
        <v>0</v>
      </c>
      <c r="K257" s="761">
        <f t="shared" si="176"/>
        <v>0</v>
      </c>
      <c r="L257" s="761">
        <f t="shared" si="176"/>
        <v>0</v>
      </c>
      <c r="M257" s="2476">
        <f>+M258</f>
        <v>30750</v>
      </c>
      <c r="N257" s="2476">
        <f>+N258</f>
        <v>0</v>
      </c>
      <c r="O257" s="3312"/>
    </row>
    <row r="258" spans="1:15" s="353" customFormat="1" ht="12">
      <c r="A258" s="3265"/>
      <c r="B258" s="694" t="s">
        <v>24</v>
      </c>
      <c r="C258" s="3286" t="s">
        <v>324</v>
      </c>
      <c r="D258" s="1099">
        <f>+D259+D260</f>
        <v>30750</v>
      </c>
      <c r="E258" s="1099">
        <f t="shared" ref="E258" si="177">+E259+E260</f>
        <v>0</v>
      </c>
      <c r="F258" s="1099">
        <f t="shared" ref="F258:N258" si="178">+F259+F260</f>
        <v>30750</v>
      </c>
      <c r="G258" s="749">
        <f t="shared" si="178"/>
        <v>0</v>
      </c>
      <c r="H258" s="749">
        <f t="shared" si="178"/>
        <v>0</v>
      </c>
      <c r="I258" s="749">
        <f t="shared" si="178"/>
        <v>0</v>
      </c>
      <c r="J258" s="749">
        <f t="shared" si="178"/>
        <v>0</v>
      </c>
      <c r="K258" s="749">
        <f t="shared" si="178"/>
        <v>0</v>
      </c>
      <c r="L258" s="749">
        <f t="shared" si="178"/>
        <v>0</v>
      </c>
      <c r="M258" s="2477">
        <f t="shared" ref="M258" si="179">+M259+M260</f>
        <v>30750</v>
      </c>
      <c r="N258" s="2477">
        <f t="shared" si="178"/>
        <v>0</v>
      </c>
      <c r="O258" s="3312"/>
    </row>
    <row r="259" spans="1:15" s="353" customFormat="1" ht="13.5" thickBot="1">
      <c r="A259" s="3266"/>
      <c r="B259" s="2478" t="s">
        <v>12</v>
      </c>
      <c r="C259" s="3310"/>
      <c r="D259" s="1026">
        <f>E259+F259+G259+H259+I259+J259+K259+L259</f>
        <v>30750</v>
      </c>
      <c r="E259" s="2479">
        <v>0</v>
      </c>
      <c r="F259" s="2480">
        <f>30750</f>
        <v>30750</v>
      </c>
      <c r="G259" s="2481">
        <v>0</v>
      </c>
      <c r="H259" s="2481">
        <v>0</v>
      </c>
      <c r="I259" s="2481">
        <v>0</v>
      </c>
      <c r="J259" s="2481">
        <v>0</v>
      </c>
      <c r="K259" s="2481">
        <v>0</v>
      </c>
      <c r="L259" s="2481">
        <v>0</v>
      </c>
      <c r="M259" s="2108">
        <f>SUM(F259:K259)</f>
        <v>30750</v>
      </c>
      <c r="N259" s="2108">
        <f>SUM(G259:L259)</f>
        <v>0</v>
      </c>
      <c r="O259" s="3313"/>
    </row>
    <row r="260" spans="1:15" s="353" customFormat="1" ht="13.5" hidden="1" customHeight="1" thickBot="1">
      <c r="A260" s="1100"/>
      <c r="B260" s="2065" t="s">
        <v>14</v>
      </c>
      <c r="C260" s="1101"/>
      <c r="D260" s="1026">
        <f>E260+F260+G260+H260+I260+J260+K260+L260</f>
        <v>0</v>
      </c>
      <c r="E260" s="1103"/>
      <c r="F260" s="1104">
        <v>0</v>
      </c>
      <c r="G260" s="1104">
        <v>0</v>
      </c>
      <c r="H260" s="1104">
        <v>0</v>
      </c>
      <c r="I260" s="1104">
        <v>0</v>
      </c>
      <c r="J260" s="1104">
        <v>0</v>
      </c>
      <c r="K260" s="1104">
        <v>0</v>
      </c>
      <c r="L260" s="1104">
        <v>0</v>
      </c>
      <c r="M260" s="862">
        <f>SUM(E260:K260)</f>
        <v>0</v>
      </c>
      <c r="N260" s="862">
        <f>SUM(F260:L260)</f>
        <v>0</v>
      </c>
      <c r="O260" s="1496"/>
    </row>
    <row r="261" spans="1:15" s="2065" customFormat="1" ht="13.5" hidden="1" customHeight="1">
      <c r="A261" s="1100"/>
      <c r="B261" s="728" t="s">
        <v>22</v>
      </c>
      <c r="C261" s="1098"/>
      <c r="D261" s="752">
        <f>+D262</f>
        <v>0</v>
      </c>
      <c r="E261" s="752">
        <f t="shared" ref="E261:L261" si="180">+E262</f>
        <v>0</v>
      </c>
      <c r="F261" s="761">
        <f t="shared" si="180"/>
        <v>0</v>
      </c>
      <c r="G261" s="761">
        <f t="shared" si="180"/>
        <v>0</v>
      </c>
      <c r="H261" s="730">
        <f t="shared" si="180"/>
        <v>0</v>
      </c>
      <c r="I261" s="761">
        <f t="shared" si="180"/>
        <v>0</v>
      </c>
      <c r="J261" s="761">
        <f t="shared" si="180"/>
        <v>0</v>
      </c>
      <c r="K261" s="730">
        <f t="shared" si="180"/>
        <v>0</v>
      </c>
      <c r="L261" s="761">
        <f t="shared" si="180"/>
        <v>0</v>
      </c>
      <c r="M261" s="3249" t="s">
        <v>23</v>
      </c>
      <c r="N261" s="3249" t="s">
        <v>23</v>
      </c>
      <c r="O261" s="1496"/>
    </row>
    <row r="262" spans="1:15" s="2065" customFormat="1" ht="13.5" hidden="1" customHeight="1">
      <c r="A262" s="490"/>
      <c r="B262" s="694" t="s">
        <v>24</v>
      </c>
      <c r="C262" s="3286" t="s">
        <v>325</v>
      </c>
      <c r="D262" s="1099">
        <f t="shared" ref="D262:L262" si="181">+D263</f>
        <v>0</v>
      </c>
      <c r="E262" s="1099">
        <f t="shared" si="181"/>
        <v>0</v>
      </c>
      <c r="F262" s="749">
        <f t="shared" si="181"/>
        <v>0</v>
      </c>
      <c r="G262" s="749">
        <f t="shared" si="181"/>
        <v>0</v>
      </c>
      <c r="H262" s="765">
        <f t="shared" si="181"/>
        <v>0</v>
      </c>
      <c r="I262" s="766">
        <f t="shared" si="181"/>
        <v>0</v>
      </c>
      <c r="J262" s="749">
        <f t="shared" si="181"/>
        <v>0</v>
      </c>
      <c r="K262" s="765">
        <f t="shared" si="181"/>
        <v>0</v>
      </c>
      <c r="L262" s="766">
        <f t="shared" si="181"/>
        <v>0</v>
      </c>
      <c r="M262" s="3177"/>
      <c r="N262" s="3177"/>
      <c r="O262" s="1496"/>
    </row>
    <row r="263" spans="1:15" s="2065" customFormat="1" ht="22.5" hidden="1" customHeight="1" thickBot="1">
      <c r="A263" s="2537"/>
      <c r="B263" s="700" t="s">
        <v>14</v>
      </c>
      <c r="C263" s="3304"/>
      <c r="D263" s="1026">
        <f>E263+F263+G263+H263+I263+J263+K263+L263</f>
        <v>0</v>
      </c>
      <c r="E263" s="762">
        <v>0</v>
      </c>
      <c r="F263" s="767">
        <v>0</v>
      </c>
      <c r="G263" s="767">
        <v>0</v>
      </c>
      <c r="H263" s="768">
        <v>0</v>
      </c>
      <c r="I263" s="768">
        <v>0</v>
      </c>
      <c r="J263" s="767">
        <v>0</v>
      </c>
      <c r="K263" s="768">
        <v>0</v>
      </c>
      <c r="L263" s="768">
        <v>0</v>
      </c>
      <c r="M263" s="3178"/>
      <c r="N263" s="3178"/>
      <c r="O263" s="1497"/>
    </row>
    <row r="264" spans="1:15" ht="14.25" customHeight="1">
      <c r="A264" s="3288" t="s">
        <v>366</v>
      </c>
      <c r="B264" s="3288"/>
      <c r="C264" s="3288"/>
      <c r="D264" s="3288"/>
      <c r="E264" s="3288"/>
      <c r="F264" s="3288"/>
      <c r="G264" s="3288"/>
      <c r="H264" s="3288"/>
      <c r="I264" s="3288"/>
      <c r="J264" s="3288"/>
      <c r="K264" s="3288"/>
      <c r="L264" s="3288"/>
      <c r="M264" s="3288"/>
      <c r="N264" s="3288"/>
      <c r="O264" s="3288"/>
    </row>
    <row r="265" spans="1:15" ht="14.25" customHeight="1">
      <c r="A265" s="3288" t="s">
        <v>502</v>
      </c>
      <c r="B265" s="3288"/>
      <c r="C265" s="3288"/>
      <c r="D265" s="3288"/>
      <c r="E265" s="3288"/>
      <c r="F265" s="3288"/>
      <c r="G265" s="3288"/>
      <c r="H265" s="3288"/>
      <c r="I265" s="3288"/>
      <c r="J265" s="3288"/>
      <c r="K265" s="3288"/>
      <c r="L265" s="3288"/>
      <c r="M265" s="3288"/>
      <c r="N265" s="3288"/>
      <c r="O265" s="3288"/>
    </row>
    <row r="266" spans="1:15" ht="12.75" customHeight="1">
      <c r="A266" s="3288" t="s">
        <v>503</v>
      </c>
      <c r="B266" s="3288"/>
      <c r="C266" s="3288"/>
      <c r="D266" s="3288"/>
      <c r="E266" s="3288"/>
      <c r="F266" s="3288"/>
      <c r="G266" s="3288"/>
      <c r="H266" s="3288"/>
      <c r="I266" s="3288"/>
      <c r="J266" s="3288"/>
      <c r="K266" s="3288"/>
      <c r="L266" s="3288"/>
      <c r="M266" s="3288"/>
      <c r="N266" s="3288"/>
      <c r="O266" s="3288"/>
    </row>
    <row r="267" spans="1:15" ht="13.5" hidden="1" customHeight="1">
      <c r="A267" s="2552"/>
      <c r="B267" s="1573" t="s">
        <v>390</v>
      </c>
      <c r="C267" s="1564"/>
      <c r="D267" s="1564"/>
      <c r="E267" s="1564"/>
      <c r="F267" s="1564"/>
      <c r="G267" s="1564"/>
      <c r="H267" s="1564"/>
      <c r="I267" s="1564"/>
      <c r="J267" s="1564"/>
      <c r="K267" s="1564"/>
      <c r="L267" s="1564"/>
      <c r="M267" s="2552"/>
      <c r="N267" s="2552"/>
      <c r="O267" s="2552"/>
    </row>
    <row r="268" spans="1:15" ht="13.5" hidden="1" customHeight="1">
      <c r="A268" s="2552"/>
      <c r="B268" s="1524" t="s">
        <v>391</v>
      </c>
      <c r="C268" s="1564"/>
      <c r="D268" s="1570">
        <f t="shared" ref="D268:L268" si="182">+D220+D115+D77+D54+D35</f>
        <v>201247069</v>
      </c>
      <c r="E268" s="1570">
        <f t="shared" si="182"/>
        <v>17290903</v>
      </c>
      <c r="F268" s="1570">
        <f t="shared" si="182"/>
        <v>27638761</v>
      </c>
      <c r="G268" s="1570">
        <f t="shared" si="182"/>
        <v>33551175</v>
      </c>
      <c r="H268" s="1570">
        <f t="shared" si="182"/>
        <v>25195301</v>
      </c>
      <c r="I268" s="1570">
        <f t="shared" si="182"/>
        <v>24606201</v>
      </c>
      <c r="J268" s="1570">
        <f t="shared" si="182"/>
        <v>22559931</v>
      </c>
      <c r="K268" s="1570">
        <f t="shared" si="182"/>
        <v>22774129</v>
      </c>
      <c r="L268" s="1570">
        <f t="shared" si="182"/>
        <v>22602514</v>
      </c>
      <c r="M268" s="2552"/>
      <c r="N268" s="2552"/>
      <c r="O268" s="2552"/>
    </row>
    <row r="269" spans="1:15" ht="13.5" hidden="1" customHeight="1">
      <c r="A269" s="2552"/>
      <c r="B269" s="1524" t="s">
        <v>392</v>
      </c>
      <c r="C269" s="1564"/>
      <c r="D269" s="1570">
        <f t="shared" ref="D269:L269" si="183">+D66+D88+D134+D147+D231</f>
        <v>71373063</v>
      </c>
      <c r="E269" s="1570">
        <f t="shared" si="183"/>
        <v>506550</v>
      </c>
      <c r="F269" s="1570">
        <f t="shared" si="183"/>
        <v>1671883</v>
      </c>
      <c r="G269" s="1570">
        <f t="shared" si="183"/>
        <v>9894041</v>
      </c>
      <c r="H269" s="1570">
        <f t="shared" si="183"/>
        <v>37808059</v>
      </c>
      <c r="I269" s="1570">
        <f t="shared" si="183"/>
        <v>20996440</v>
      </c>
      <c r="J269" s="1570">
        <f t="shared" si="183"/>
        <v>161500</v>
      </c>
      <c r="K269" s="1570">
        <f t="shared" si="183"/>
        <v>161500</v>
      </c>
      <c r="L269" s="1570">
        <f t="shared" si="183"/>
        <v>161500</v>
      </c>
      <c r="M269" s="2552"/>
      <c r="N269" s="2552"/>
      <c r="O269" s="2552"/>
    </row>
    <row r="270" spans="1:15" ht="13.5" hidden="1" customHeight="1">
      <c r="A270" s="2552"/>
      <c r="B270" s="1524" t="s">
        <v>393</v>
      </c>
      <c r="C270" s="1564"/>
      <c r="D270" s="1571">
        <f>D268+D269</f>
        <v>272620132</v>
      </c>
      <c r="E270" s="1571">
        <f t="shared" ref="E270:L270" si="184">E268+E269</f>
        <v>17797453</v>
      </c>
      <c r="F270" s="1571">
        <f>F268+F269</f>
        <v>29310644</v>
      </c>
      <c r="G270" s="1571">
        <f t="shared" si="184"/>
        <v>43445216</v>
      </c>
      <c r="H270" s="1571">
        <f t="shared" si="184"/>
        <v>63003360</v>
      </c>
      <c r="I270" s="1571">
        <f t="shared" si="184"/>
        <v>45602641</v>
      </c>
      <c r="J270" s="1571">
        <f t="shared" si="184"/>
        <v>22721431</v>
      </c>
      <c r="K270" s="1571">
        <f t="shared" si="184"/>
        <v>22935629</v>
      </c>
      <c r="L270" s="1571">
        <f t="shared" si="184"/>
        <v>22764014</v>
      </c>
      <c r="M270" s="2552"/>
      <c r="N270" s="2552"/>
      <c r="O270" s="2552"/>
    </row>
    <row r="271" spans="1:15" ht="13.5" hidden="1" customHeight="1">
      <c r="A271" s="2552"/>
      <c r="B271" s="1567" t="s">
        <v>42</v>
      </c>
      <c r="C271" s="1569"/>
      <c r="D271" s="1572">
        <f t="shared" ref="D271:L271" si="185">D20-D270</f>
        <v>0</v>
      </c>
      <c r="E271" s="1572">
        <f t="shared" si="185"/>
        <v>0</v>
      </c>
      <c r="F271" s="1572">
        <f t="shared" si="185"/>
        <v>0</v>
      </c>
      <c r="G271" s="1572">
        <f t="shared" si="185"/>
        <v>0</v>
      </c>
      <c r="H271" s="1572">
        <f t="shared" si="185"/>
        <v>0</v>
      </c>
      <c r="I271" s="1572">
        <f t="shared" si="185"/>
        <v>0</v>
      </c>
      <c r="J271" s="1572">
        <f t="shared" si="185"/>
        <v>0</v>
      </c>
      <c r="K271" s="1572">
        <f t="shared" si="185"/>
        <v>0</v>
      </c>
      <c r="L271" s="1572">
        <f t="shared" si="185"/>
        <v>0</v>
      </c>
      <c r="M271" s="2552"/>
      <c r="N271" s="2552"/>
      <c r="O271" s="2552"/>
    </row>
    <row r="272" spans="1:15" ht="31.5" hidden="1" customHeight="1">
      <c r="A272" s="2552"/>
      <c r="B272" s="2552"/>
      <c r="C272" s="2552"/>
      <c r="D272" s="2552"/>
      <c r="E272" s="2552"/>
      <c r="F272" s="2552"/>
      <c r="G272" s="2552"/>
      <c r="H272" s="2552"/>
      <c r="I272" s="2552"/>
      <c r="J272" s="2552"/>
      <c r="K272" s="2552"/>
      <c r="L272" s="2552"/>
      <c r="M272" s="2552"/>
      <c r="N272" s="2552"/>
      <c r="O272" s="2552"/>
    </row>
    <row r="273" spans="1:15" ht="31.5" hidden="1" customHeight="1">
      <c r="A273" s="2552"/>
      <c r="B273" s="2552"/>
      <c r="C273" s="2552"/>
      <c r="D273" s="2552"/>
      <c r="E273" s="2552"/>
      <c r="F273" s="2552"/>
      <c r="G273" s="2552"/>
      <c r="H273" s="2552"/>
      <c r="I273" s="2552"/>
      <c r="J273" s="2552"/>
      <c r="K273" s="2552"/>
      <c r="L273" s="2552"/>
      <c r="M273" s="2552"/>
      <c r="N273" s="2552"/>
      <c r="O273" s="2552"/>
    </row>
    <row r="274" spans="1:15" hidden="1">
      <c r="B274" s="2551" t="s">
        <v>42</v>
      </c>
    </row>
    <row r="275" spans="1:15" hidden="1">
      <c r="B275" s="3296" t="s">
        <v>225</v>
      </c>
      <c r="C275" s="323" t="s">
        <v>109</v>
      </c>
      <c r="D275" s="326" t="e">
        <f>D115-#REF!-#REF!-F115-G115-H115-I115-J115-K115-L115</f>
        <v>#REF!</v>
      </c>
      <c r="E275" s="323" t="s">
        <v>109</v>
      </c>
    </row>
    <row r="276" spans="1:15" hidden="1">
      <c r="B276" s="3296"/>
      <c r="C276" s="323" t="s">
        <v>81</v>
      </c>
      <c r="D276" s="326" t="e">
        <f>D134-#REF!-#REF!-F134-G134-H134-I134-J134-K134-L134</f>
        <v>#REF!</v>
      </c>
      <c r="E276" s="323" t="s">
        <v>81</v>
      </c>
    </row>
    <row r="277" spans="1:15" hidden="1">
      <c r="B277" s="3296"/>
      <c r="D277" s="393" t="e">
        <f>D275+D276</f>
        <v>#REF!</v>
      </c>
    </row>
    <row r="278" spans="1:15" hidden="1"/>
    <row r="279" spans="1:15" hidden="1">
      <c r="B279" s="394" t="s">
        <v>517</v>
      </c>
      <c r="C279" s="323" t="s">
        <v>109</v>
      </c>
      <c r="D279" s="326" t="e">
        <f>+D105-#REF!-#REF!-F105-G105-H105-I105-J105-K105-L105</f>
        <v>#REF!</v>
      </c>
    </row>
    <row r="280" spans="1:15" hidden="1">
      <c r="C280" s="323" t="s">
        <v>81</v>
      </c>
      <c r="D280" s="326" t="e">
        <f>D124-#REF!-#REF!-F124-G124-H124-I124-J124-K124-L124</f>
        <v>#REF!</v>
      </c>
    </row>
    <row r="281" spans="1:15" hidden="1">
      <c r="D281" s="393" t="e">
        <f>D279+D280</f>
        <v>#REF!</v>
      </c>
    </row>
    <row r="282" spans="1:15" hidden="1"/>
    <row r="283" spans="1:15" hidden="1">
      <c r="B283" s="394" t="s">
        <v>227</v>
      </c>
      <c r="D283" s="393" t="e">
        <f>+D96-#REF!-#REF!-F96-G96-H96-I96-J96-K96-L96</f>
        <v>#REF!</v>
      </c>
    </row>
    <row r="284" spans="1:15" hidden="1"/>
    <row r="285" spans="1:15" hidden="1">
      <c r="B285" s="323" t="s">
        <v>226</v>
      </c>
      <c r="D285" s="393" t="e">
        <f>D281+D283</f>
        <v>#REF!</v>
      </c>
    </row>
    <row r="286" spans="1:15" hidden="1">
      <c r="E286" s="326"/>
    </row>
    <row r="287" spans="1:15" hidden="1">
      <c r="B287" s="323" t="s">
        <v>313</v>
      </c>
      <c r="D287" s="326">
        <f t="shared" ref="D287:L287" si="186">+D96+D106</f>
        <v>218076464</v>
      </c>
      <c r="E287" s="326">
        <f t="shared" si="186"/>
        <v>23982839</v>
      </c>
      <c r="F287" s="326">
        <f t="shared" si="186"/>
        <v>29167379</v>
      </c>
      <c r="G287" s="326">
        <f t="shared" si="186"/>
        <v>31621171</v>
      </c>
      <c r="H287" s="326">
        <f t="shared" si="186"/>
        <v>27963251</v>
      </c>
      <c r="I287" s="326">
        <f t="shared" si="186"/>
        <v>27581261</v>
      </c>
      <c r="J287" s="326">
        <f t="shared" si="186"/>
        <v>26987259</v>
      </c>
      <c r="K287" s="326">
        <f t="shared" si="186"/>
        <v>25481869</v>
      </c>
      <c r="L287" s="326">
        <f t="shared" si="186"/>
        <v>25291435</v>
      </c>
      <c r="M287" s="326">
        <f>SUM(D287:K287)-C287</f>
        <v>410861493</v>
      </c>
      <c r="N287" s="326">
        <f>SUM(E287:L287)-D287</f>
        <v>0</v>
      </c>
    </row>
    <row r="288" spans="1:15" hidden="1">
      <c r="B288" s="323" t="s">
        <v>314</v>
      </c>
      <c r="D288" s="326">
        <f t="shared" ref="D288:L288" si="187">+D125</f>
        <v>2060891</v>
      </c>
      <c r="E288" s="326">
        <f t="shared" si="187"/>
        <v>357504</v>
      </c>
      <c r="F288" s="326">
        <f t="shared" si="187"/>
        <v>471058</v>
      </c>
      <c r="G288" s="326">
        <f t="shared" si="187"/>
        <v>369922</v>
      </c>
      <c r="H288" s="326">
        <f t="shared" si="187"/>
        <v>216407</v>
      </c>
      <c r="I288" s="326">
        <f t="shared" si="187"/>
        <v>161500</v>
      </c>
      <c r="J288" s="326">
        <f t="shared" si="187"/>
        <v>161500</v>
      </c>
      <c r="K288" s="326">
        <f t="shared" si="187"/>
        <v>161500</v>
      </c>
      <c r="L288" s="326">
        <f t="shared" si="187"/>
        <v>161500</v>
      </c>
      <c r="M288" s="326">
        <f>SUM(D288:K288)-C288</f>
        <v>3960282</v>
      </c>
      <c r="N288" s="326">
        <f>SUM(E288:L288)-D288</f>
        <v>0</v>
      </c>
    </row>
    <row r="289" spans="2:14" hidden="1"/>
    <row r="290" spans="2:14" hidden="1">
      <c r="B290" s="323" t="s">
        <v>312</v>
      </c>
      <c r="D290" s="326">
        <f>+D115+'Tab. 6B Polit społ i rozwój prz'!D91+D134+'Tab. 6B Polit społ i rozwój prz'!D103</f>
        <v>249298062</v>
      </c>
      <c r="F290" s="326">
        <f>+F115+'Tab. 6B Polit społ i rozwój prz'!F91+F134+'Tab. 6B Polit społ i rozwój prz'!F103</f>
        <v>33723004</v>
      </c>
      <c r="G290" s="326">
        <f>+G115+'Tab. 6B Polit społ i rozwój prz'!G91+G134+'Tab. 6B Polit społ i rozwój prz'!G103</f>
        <v>35642579</v>
      </c>
      <c r="H290" s="326">
        <f>+H115+'Tab. 6B Polit społ i rozwój prz'!H91+H134+'Tab. 6B Polit społ i rozwój prz'!H103</f>
        <v>31599603</v>
      </c>
      <c r="I290" s="326">
        <f>+I115+'Tab. 6B Polit społ i rozwój prz'!I91+I134+'Tab. 6B Polit społ i rozwój prz'!I103</f>
        <v>31080049</v>
      </c>
      <c r="J290" s="326">
        <f>+J115+'Tab. 6B Polit społ i rozwój prz'!J91+J134+'Tab. 6B Polit społ i rozwój prz'!J103</f>
        <v>30471862</v>
      </c>
      <c r="K290" s="326">
        <f>+K115+'Tab. 6B Polit społ i rozwój prz'!K91+K134+'Tab. 6B Polit społ i rozwój prz'!K103</f>
        <v>30200542</v>
      </c>
      <c r="L290" s="326">
        <f>+L115+'Tab. 6B Polit społ i rozwój prz'!L91+L134+'Tab. 6B Polit społ i rozwój prz'!L103</f>
        <v>29343698</v>
      </c>
      <c r="M290" s="326">
        <f>SUM(D290:K290)-C290</f>
        <v>442015701</v>
      </c>
      <c r="N290" s="326">
        <f>SUM(E290:L290)-D290</f>
        <v>-27236725</v>
      </c>
    </row>
    <row r="291" spans="2:14" hidden="1">
      <c r="B291" s="323" t="s">
        <v>311</v>
      </c>
      <c r="D291" s="326">
        <f>+D94+D119+'Tab. 6B Polit społ i rozwój prz'!D85+'Tab. 6B Polit społ i rozwój prz'!D97</f>
        <v>296468308</v>
      </c>
      <c r="E291" s="326">
        <f>+E94+E119+'Tab. 6B Polit społ i rozwój prz'!E85+'Tab. 6B Polit społ i rozwój prz'!E97</f>
        <v>33412726</v>
      </c>
      <c r="F291" s="326">
        <f>+F94+F119+'Tab. 6B Polit społ i rozwój prz'!F85+'Tab. 6B Polit społ i rozwój prz'!F97</f>
        <v>40057400</v>
      </c>
      <c r="G291" s="326">
        <f>+G94+G119+'Tab. 6B Polit społ i rozwój prz'!G85+'Tab. 6B Polit społ i rozwój prz'!G97</f>
        <v>42449426</v>
      </c>
      <c r="H291" s="326">
        <f>+H94+H119+'Tab. 6B Polit społ i rozwój prz'!H85+'Tab. 6B Polit społ i rozwój prz'!H97</f>
        <v>37950034</v>
      </c>
      <c r="I291" s="326">
        <f>+I94+I119+'Tab. 6B Polit społ i rozwój prz'!I85+'Tab. 6B Polit społ i rozwój prz'!I97</f>
        <v>37521501</v>
      </c>
      <c r="J291" s="326">
        <f>+J94+J119+'Tab. 6B Polit społ i rozwój prz'!J85+'Tab. 6B Polit społ i rozwój prz'!J97</f>
        <v>36810053</v>
      </c>
      <c r="K291" s="326">
        <f>+K94+K119+'Tab. 6B Polit społ i rozwój prz'!K85+'Tab. 6B Polit społ i rozwój prz'!K97</f>
        <v>34584662</v>
      </c>
      <c r="L291" s="326">
        <f>+L94+L119+'Tab. 6B Polit społ i rozwój prz'!L85+'Tab. 6B Polit społ i rozwój prz'!L97</f>
        <v>33682506</v>
      </c>
      <c r="M291" s="326">
        <f>SUM(D291:K291)-C291</f>
        <v>559254110</v>
      </c>
      <c r="N291" s="326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23" t="s">
        <v>266</v>
      </c>
      <c r="C296" s="323" t="s">
        <v>264</v>
      </c>
      <c r="D296" s="326">
        <f>+D210+D176</f>
        <v>18000000</v>
      </c>
      <c r="F296" s="326">
        <f t="shared" ref="F296:K296" si="188">+F210+F176</f>
        <v>1083430</v>
      </c>
      <c r="G296" s="326">
        <f t="shared" si="188"/>
        <v>5294849</v>
      </c>
      <c r="H296" s="326">
        <f t="shared" si="188"/>
        <v>11261344</v>
      </c>
      <c r="I296" s="326">
        <f t="shared" si="188"/>
        <v>0</v>
      </c>
      <c r="J296" s="326">
        <f t="shared" si="188"/>
        <v>0</v>
      </c>
      <c r="K296" s="326">
        <f t="shared" si="188"/>
        <v>0</v>
      </c>
      <c r="M296" s="326" t="e">
        <f t="shared" ref="M296:N299" si="189">SUM(D296:K296)-C296</f>
        <v>#VALUE!</v>
      </c>
      <c r="N296" s="326">
        <f t="shared" si="189"/>
        <v>-360377</v>
      </c>
    </row>
    <row r="297" spans="2:14" hidden="1">
      <c r="C297" s="323" t="s">
        <v>265</v>
      </c>
      <c r="D297" s="326">
        <f>+D168+D195</f>
        <v>0</v>
      </c>
      <c r="F297" s="326">
        <f t="shared" ref="F297:K297" si="190">+F168+F195</f>
        <v>0</v>
      </c>
      <c r="G297" s="326">
        <f t="shared" si="190"/>
        <v>0</v>
      </c>
      <c r="H297" s="326">
        <f t="shared" si="190"/>
        <v>0</v>
      </c>
      <c r="I297" s="326">
        <f t="shared" si="190"/>
        <v>0</v>
      </c>
      <c r="J297" s="326">
        <f t="shared" si="190"/>
        <v>0</v>
      </c>
      <c r="K297" s="326">
        <f t="shared" si="190"/>
        <v>0</v>
      </c>
      <c r="M297" s="326" t="e">
        <f t="shared" si="189"/>
        <v>#VALUE!</v>
      </c>
      <c r="N297" s="326">
        <f t="shared" si="189"/>
        <v>0</v>
      </c>
    </row>
    <row r="298" spans="2:14" hidden="1">
      <c r="D298" s="326">
        <f>SUM(D296:D297)</f>
        <v>18000000</v>
      </c>
      <c r="E298" s="326">
        <f t="shared" ref="E298:K298" si="191">SUM(E296:E297)</f>
        <v>0</v>
      </c>
      <c r="F298" s="326">
        <f t="shared" si="191"/>
        <v>1083430</v>
      </c>
      <c r="G298" s="326">
        <f t="shared" si="191"/>
        <v>5294849</v>
      </c>
      <c r="H298" s="326">
        <f t="shared" si="191"/>
        <v>11261344</v>
      </c>
      <c r="I298" s="326">
        <f t="shared" si="191"/>
        <v>0</v>
      </c>
      <c r="J298" s="326">
        <f t="shared" si="191"/>
        <v>0</v>
      </c>
      <c r="K298" s="326">
        <f t="shared" si="191"/>
        <v>0</v>
      </c>
      <c r="M298" s="326">
        <f t="shared" si="189"/>
        <v>35639623</v>
      </c>
      <c r="N298" s="326">
        <f t="shared" si="189"/>
        <v>-360377</v>
      </c>
    </row>
    <row r="299" spans="2:14" hidden="1">
      <c r="B299" s="323" t="s">
        <v>315</v>
      </c>
      <c r="D299" s="326">
        <f t="shared" ref="D299:K299" si="192">D144</f>
        <v>18000000</v>
      </c>
      <c r="E299" s="326">
        <f t="shared" si="192"/>
        <v>360377</v>
      </c>
      <c r="F299" s="326">
        <f t="shared" si="192"/>
        <v>1083430</v>
      </c>
      <c r="G299" s="326">
        <f t="shared" si="192"/>
        <v>5294849</v>
      </c>
      <c r="H299" s="326">
        <f t="shared" si="192"/>
        <v>11261344</v>
      </c>
      <c r="I299" s="326">
        <f t="shared" si="192"/>
        <v>0</v>
      </c>
      <c r="J299" s="326">
        <f t="shared" si="192"/>
        <v>0</v>
      </c>
      <c r="K299" s="326">
        <f t="shared" si="192"/>
        <v>0</v>
      </c>
      <c r="M299" s="326">
        <f t="shared" si="189"/>
        <v>36000000</v>
      </c>
      <c r="N299" s="326">
        <f t="shared" si="189"/>
        <v>0</v>
      </c>
    </row>
    <row r="300" spans="2:14" hidden="1"/>
    <row r="301" spans="2:14" hidden="1">
      <c r="B301" s="323" t="s">
        <v>316</v>
      </c>
      <c r="D301" s="326">
        <f>+D290+D298</f>
        <v>267298062</v>
      </c>
      <c r="E301" s="326">
        <f t="shared" ref="E301:L301" si="193">+E290+E298</f>
        <v>0</v>
      </c>
      <c r="F301" s="326">
        <f t="shared" si="193"/>
        <v>34806434</v>
      </c>
      <c r="G301" s="326">
        <f t="shared" si="193"/>
        <v>40937428</v>
      </c>
      <c r="H301" s="326">
        <f t="shared" si="193"/>
        <v>42860947</v>
      </c>
      <c r="I301" s="326">
        <f t="shared" si="193"/>
        <v>31080049</v>
      </c>
      <c r="J301" s="326">
        <f t="shared" si="193"/>
        <v>30471862</v>
      </c>
      <c r="K301" s="326">
        <f t="shared" si="193"/>
        <v>30200542</v>
      </c>
      <c r="L301" s="326">
        <f t="shared" si="193"/>
        <v>29343698</v>
      </c>
      <c r="M301" s="326">
        <f>SUM(D301:K301)-C301</f>
        <v>477655324</v>
      </c>
      <c r="N301" s="326">
        <f>SUM(E301:L301)-D301</f>
        <v>-27597102</v>
      </c>
    </row>
    <row r="302" spans="2:14" hidden="1">
      <c r="B302" s="323" t="s">
        <v>317</v>
      </c>
      <c r="D302" s="326">
        <f>+D291+D299</f>
        <v>314468308</v>
      </c>
      <c r="E302" s="326">
        <f t="shared" ref="E302:L302" si="194">+E291+E299</f>
        <v>33773103</v>
      </c>
      <c r="F302" s="326">
        <f t="shared" si="194"/>
        <v>41140830</v>
      </c>
      <c r="G302" s="326">
        <f t="shared" si="194"/>
        <v>47744275</v>
      </c>
      <c r="H302" s="326">
        <f t="shared" si="194"/>
        <v>49211378</v>
      </c>
      <c r="I302" s="326">
        <f t="shared" si="194"/>
        <v>37521501</v>
      </c>
      <c r="J302" s="326">
        <f t="shared" si="194"/>
        <v>36810053</v>
      </c>
      <c r="K302" s="326">
        <f t="shared" si="194"/>
        <v>34584662</v>
      </c>
      <c r="L302" s="326">
        <f t="shared" si="194"/>
        <v>33682506</v>
      </c>
      <c r="M302" s="326">
        <f>SUM(D302:K302)-C302</f>
        <v>595254110</v>
      </c>
      <c r="N302" s="326">
        <f>SUM(E302:L302)-D302</f>
        <v>0</v>
      </c>
    </row>
    <row r="303" spans="2:14" hidden="1"/>
    <row r="304" spans="2:1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540" spans="1:15" ht="13.5" thickBot="1"/>
    <row r="541" spans="1:15" ht="33.75">
      <c r="A541" s="395"/>
      <c r="B541" s="396" t="s">
        <v>69</v>
      </c>
      <c r="C541" s="396"/>
      <c r="D541" s="397"/>
      <c r="E541" s="397"/>
      <c r="F541" s="397"/>
      <c r="G541" s="397"/>
      <c r="H541" s="397"/>
      <c r="I541" s="397"/>
      <c r="J541" s="397"/>
      <c r="K541" s="397"/>
      <c r="L541" s="397"/>
      <c r="M541" s="397"/>
      <c r="N541" s="397"/>
      <c r="O541" s="398"/>
    </row>
    <row r="542" spans="1:15">
      <c r="A542" s="399"/>
      <c r="O542" s="400"/>
    </row>
    <row r="543" spans="1:15">
      <c r="A543" s="399"/>
      <c r="O543" s="400"/>
    </row>
    <row r="544" spans="1:15">
      <c r="A544" s="399"/>
      <c r="O544" s="400"/>
    </row>
    <row r="545" spans="1:15">
      <c r="A545" s="399"/>
      <c r="O545" s="400"/>
    </row>
    <row r="546" spans="1:15">
      <c r="A546" s="399"/>
      <c r="O546" s="400"/>
    </row>
    <row r="547" spans="1:15">
      <c r="A547" s="399"/>
      <c r="O547" s="400"/>
    </row>
    <row r="548" spans="1:15">
      <c r="A548" s="399"/>
      <c r="O548" s="400"/>
    </row>
    <row r="549" spans="1:15">
      <c r="A549" s="399"/>
      <c r="O549" s="400"/>
    </row>
    <row r="550" spans="1:15">
      <c r="A550" s="399"/>
      <c r="O550" s="400"/>
    </row>
    <row r="551" spans="1:15">
      <c r="A551" s="399"/>
      <c r="O551" s="400"/>
    </row>
    <row r="552" spans="1:15" ht="13.5" thickBot="1">
      <c r="A552" s="401"/>
      <c r="B552" s="402"/>
      <c r="C552" s="402"/>
      <c r="D552" s="402"/>
      <c r="E552" s="402"/>
      <c r="F552" s="402"/>
      <c r="G552" s="402"/>
      <c r="H552" s="402"/>
      <c r="I552" s="402"/>
      <c r="J552" s="402"/>
      <c r="K552" s="402"/>
      <c r="L552" s="402"/>
      <c r="M552" s="402"/>
      <c r="N552" s="402"/>
      <c r="O552" s="403"/>
    </row>
  </sheetData>
  <mergeCells count="117"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42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</oddHeader>
    <oddFooter>&amp;C&amp;8&amp;P</oddFooter>
  </headerFooter>
  <rowBreaks count="1" manualBreakCount="1">
    <brk id="13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505"/>
  <sheetViews>
    <sheetView showGridLines="0" view="pageBreakPreview" zoomScaleNormal="100" zoomScaleSheetLayoutView="100" workbookViewId="0">
      <pane xSplit="3" ySplit="6" topLeftCell="D7" activePane="bottomRight" state="frozen"/>
      <selection activeCell="L250" sqref="L250"/>
      <selection pane="topRight" activeCell="L250" sqref="L250"/>
      <selection pane="bottomLeft" activeCell="L250" sqref="L250"/>
      <selection pane="bottomRight" activeCell="H188" sqref="H188"/>
    </sheetView>
  </sheetViews>
  <sheetFormatPr defaultColWidth="9.140625" defaultRowHeight="11.25"/>
  <cols>
    <col min="1" max="1" width="4.140625" style="424" customWidth="1"/>
    <col min="2" max="2" width="59.28515625" style="332" customWidth="1"/>
    <col min="3" max="3" width="10.5703125" style="332" customWidth="1"/>
    <col min="4" max="4" width="13.140625" style="332" customWidth="1"/>
    <col min="5" max="5" width="12.42578125" style="332" customWidth="1"/>
    <col min="6" max="6" width="8.85546875" style="332" customWidth="1"/>
    <col min="7" max="7" width="10" style="332" customWidth="1"/>
    <col min="8" max="8" width="10.28515625" style="332" customWidth="1"/>
    <col min="9" max="9" width="9.85546875" style="332" customWidth="1"/>
    <col min="10" max="10" width="9.5703125" style="332" customWidth="1"/>
    <col min="11" max="11" width="10" style="332" customWidth="1"/>
    <col min="12" max="12" width="8.28515625" style="332" customWidth="1"/>
    <col min="13" max="13" width="12.42578125" style="332" customWidth="1"/>
    <col min="14" max="14" width="12.42578125" style="332" hidden="1" customWidth="1"/>
    <col min="15" max="15" width="15.28515625" style="569" customWidth="1"/>
    <col min="16" max="16" width="3.28515625" style="332" hidden="1" customWidth="1"/>
    <col min="17" max="17" width="13.42578125" style="332" hidden="1" customWidth="1"/>
    <col min="18" max="22" width="18.28515625" style="332" hidden="1" customWidth="1"/>
    <col min="23" max="34" width="18.28515625" style="332" customWidth="1"/>
    <col min="35" max="76" width="3.28515625" style="332" customWidth="1"/>
    <col min="77" max="16384" width="9.140625" style="332"/>
  </cols>
  <sheetData>
    <row r="1" spans="1:77" s="568" customFormat="1" ht="18" customHeight="1">
      <c r="A1" s="583"/>
      <c r="B1" s="584"/>
      <c r="C1" s="583"/>
      <c r="D1" s="583"/>
      <c r="E1" s="583"/>
      <c r="F1" s="583"/>
      <c r="G1" s="328" t="s">
        <v>465</v>
      </c>
      <c r="H1" s="328"/>
      <c r="I1" s="328"/>
      <c r="J1" s="328"/>
      <c r="K1" s="328"/>
      <c r="L1" s="328"/>
      <c r="M1" s="6"/>
      <c r="N1" s="6"/>
      <c r="O1" s="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P1" s="567"/>
      <c r="BQ1" s="567"/>
      <c r="BR1" s="567"/>
      <c r="BS1" s="567"/>
      <c r="BT1" s="567"/>
      <c r="BU1" s="567"/>
      <c r="BV1" s="567"/>
      <c r="BW1" s="567"/>
      <c r="BX1" s="567"/>
      <c r="BY1" s="331"/>
    </row>
    <row r="2" spans="1:77" s="568" customFormat="1" ht="16.5" customHeight="1">
      <c r="A2" s="585"/>
      <c r="B2" s="584"/>
      <c r="C2" s="583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 t="e">
        <f t="shared" ref="N2" si="0">N10-N13-N12-N14-N16</f>
        <v>#VALUE!</v>
      </c>
      <c r="O2" s="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  <c r="AO2" s="567"/>
      <c r="AP2" s="567"/>
      <c r="AQ2" s="567"/>
      <c r="AR2" s="567"/>
      <c r="AS2" s="567"/>
      <c r="AT2" s="567"/>
      <c r="AU2" s="567"/>
      <c r="AV2" s="567"/>
      <c r="AW2" s="567"/>
      <c r="AX2" s="567"/>
      <c r="AY2" s="567"/>
      <c r="AZ2" s="567"/>
      <c r="BA2" s="567"/>
      <c r="BB2" s="567"/>
      <c r="BC2" s="567"/>
      <c r="BD2" s="567"/>
      <c r="BE2" s="567"/>
      <c r="BF2" s="567"/>
      <c r="BG2" s="567"/>
      <c r="BH2" s="567"/>
      <c r="BI2" s="567"/>
      <c r="BJ2" s="567"/>
      <c r="BK2" s="567"/>
      <c r="BL2" s="567"/>
      <c r="BM2" s="567"/>
      <c r="BN2" s="567"/>
      <c r="BO2" s="567"/>
      <c r="BP2" s="567"/>
      <c r="BQ2" s="567"/>
      <c r="BR2" s="567"/>
      <c r="BS2" s="567"/>
      <c r="BT2" s="567"/>
      <c r="BU2" s="567"/>
      <c r="BV2" s="567"/>
      <c r="BW2" s="567"/>
      <c r="BX2" s="567"/>
      <c r="BY2" s="331"/>
    </row>
    <row r="3" spans="1:77" s="568" customFormat="1" ht="18" customHeight="1" thickBot="1">
      <c r="A3" s="1028" t="s">
        <v>158</v>
      </c>
      <c r="B3" s="1029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6"/>
      <c r="N3" s="6"/>
      <c r="O3" s="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7"/>
      <c r="AO3" s="567"/>
      <c r="AP3" s="567"/>
      <c r="AQ3" s="567"/>
      <c r="AR3" s="567"/>
      <c r="AS3" s="567"/>
      <c r="AT3" s="567"/>
      <c r="AU3" s="567"/>
      <c r="AV3" s="567"/>
      <c r="AW3" s="567"/>
      <c r="AX3" s="567"/>
      <c r="AY3" s="567"/>
      <c r="AZ3" s="567"/>
      <c r="BA3" s="567"/>
      <c r="BB3" s="567"/>
      <c r="BC3" s="567"/>
      <c r="BD3" s="567"/>
      <c r="BE3" s="567"/>
      <c r="BF3" s="567"/>
      <c r="BG3" s="567"/>
      <c r="BH3" s="567"/>
      <c r="BI3" s="567"/>
      <c r="BJ3" s="567"/>
      <c r="BK3" s="567"/>
      <c r="BL3" s="567"/>
      <c r="BM3" s="567"/>
      <c r="BN3" s="567"/>
      <c r="BO3" s="567"/>
      <c r="BP3" s="567"/>
      <c r="BQ3" s="567"/>
      <c r="BR3" s="567"/>
      <c r="BS3" s="567"/>
      <c r="BT3" s="567"/>
      <c r="BU3" s="567"/>
      <c r="BV3" s="567"/>
      <c r="BW3" s="567"/>
      <c r="BX3" s="567"/>
      <c r="BY3" s="331"/>
    </row>
    <row r="4" spans="1:77" ht="82.5" customHeight="1" thickBot="1">
      <c r="A4" s="587"/>
      <c r="B4" s="3354" t="s">
        <v>75</v>
      </c>
      <c r="C4" s="3355" t="s">
        <v>71</v>
      </c>
      <c r="D4" s="3162" t="s">
        <v>72</v>
      </c>
      <c r="E4" s="3165" t="s">
        <v>460</v>
      </c>
      <c r="F4" s="2861" t="s">
        <v>461</v>
      </c>
      <c r="G4" s="2993" t="s">
        <v>456</v>
      </c>
      <c r="H4" s="2994"/>
      <c r="I4" s="2994"/>
      <c r="J4" s="2994"/>
      <c r="K4" s="2994"/>
      <c r="L4" s="2995"/>
      <c r="M4" s="3364" t="s">
        <v>479</v>
      </c>
      <c r="N4" s="3364" t="s">
        <v>457</v>
      </c>
      <c r="O4" s="3170" t="s">
        <v>73</v>
      </c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  <c r="AK4" s="331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  <c r="BO4" s="331"/>
      <c r="BP4" s="331"/>
      <c r="BQ4" s="331"/>
      <c r="BR4" s="331"/>
      <c r="BS4" s="331"/>
      <c r="BT4" s="331"/>
      <c r="BU4" s="331"/>
      <c r="BV4" s="331"/>
      <c r="BW4" s="331"/>
      <c r="BX4" s="331"/>
      <c r="BY4" s="331"/>
    </row>
    <row r="5" spans="1:77" ht="18" customHeight="1" thickBot="1">
      <c r="A5" s="588"/>
      <c r="B5" s="3354"/>
      <c r="C5" s="3356"/>
      <c r="D5" s="3164"/>
      <c r="E5" s="3167"/>
      <c r="F5" s="2863"/>
      <c r="G5" s="2525" t="s">
        <v>6</v>
      </c>
      <c r="H5" s="333" t="s">
        <v>184</v>
      </c>
      <c r="I5" s="333" t="s">
        <v>185</v>
      </c>
      <c r="J5" s="333" t="s">
        <v>232</v>
      </c>
      <c r="K5" s="333" t="s">
        <v>233</v>
      </c>
      <c r="L5" s="333" t="s">
        <v>234</v>
      </c>
      <c r="M5" s="3365"/>
      <c r="N5" s="3365"/>
      <c r="O5" s="3172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  <c r="BO5" s="331"/>
      <c r="BP5" s="331"/>
      <c r="BQ5" s="331"/>
      <c r="BR5" s="331"/>
      <c r="BS5" s="331"/>
      <c r="BT5" s="331"/>
      <c r="BU5" s="331"/>
      <c r="BV5" s="331"/>
      <c r="BW5" s="331"/>
      <c r="BX5" s="331"/>
      <c r="BY5" s="331"/>
    </row>
    <row r="6" spans="1:77" ht="14.25" customHeight="1">
      <c r="A6" s="1137">
        <v>1</v>
      </c>
      <c r="B6" s="1138">
        <v>2</v>
      </c>
      <c r="C6" s="1139" t="s">
        <v>119</v>
      </c>
      <c r="D6" s="1139" t="s">
        <v>120</v>
      </c>
      <c r="E6" s="1921">
        <v>5</v>
      </c>
      <c r="F6" s="1139">
        <v>6</v>
      </c>
      <c r="G6" s="1139">
        <v>7</v>
      </c>
      <c r="H6" s="1139">
        <v>8</v>
      </c>
      <c r="I6" s="1139">
        <v>9</v>
      </c>
      <c r="J6" s="1139">
        <v>10</v>
      </c>
      <c r="K6" s="1139">
        <v>11</v>
      </c>
      <c r="L6" s="1139">
        <v>12</v>
      </c>
      <c r="M6" s="1140">
        <v>13</v>
      </c>
      <c r="N6" s="1140">
        <v>13</v>
      </c>
      <c r="O6" s="1141">
        <v>14</v>
      </c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</row>
    <row r="7" spans="1:77" ht="14.25" customHeight="1">
      <c r="A7" s="769"/>
      <c r="B7" s="2765" t="s">
        <v>76</v>
      </c>
      <c r="C7" s="2766"/>
      <c r="D7" s="2767">
        <f>+D9+D8</f>
        <v>40999681</v>
      </c>
      <c r="E7" s="2767">
        <f t="shared" ref="E7:L7" si="1">+E9+E8</f>
        <v>353841</v>
      </c>
      <c r="F7" s="2767">
        <f t="shared" si="1"/>
        <v>6029331</v>
      </c>
      <c r="G7" s="2767">
        <f t="shared" si="1"/>
        <v>12534227</v>
      </c>
      <c r="H7" s="2767">
        <f t="shared" si="1"/>
        <v>11106745</v>
      </c>
      <c r="I7" s="2767">
        <f t="shared" si="1"/>
        <v>5936412</v>
      </c>
      <c r="J7" s="2767">
        <f t="shared" si="1"/>
        <v>3566880</v>
      </c>
      <c r="K7" s="2767">
        <f t="shared" si="1"/>
        <v>1472245</v>
      </c>
      <c r="L7" s="2767">
        <f t="shared" si="1"/>
        <v>0</v>
      </c>
      <c r="M7" s="153">
        <f>+M9+M8</f>
        <v>40645840</v>
      </c>
      <c r="N7" s="153">
        <f t="shared" ref="N7" si="2">+N9</f>
        <v>26966170</v>
      </c>
      <c r="O7" s="589"/>
      <c r="P7" s="331"/>
      <c r="Q7" s="182">
        <f>+F7+G7</f>
        <v>18563558</v>
      </c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1"/>
      <c r="BY7" s="331"/>
    </row>
    <row r="8" spans="1:77" ht="14.25" customHeight="1">
      <c r="A8" s="769"/>
      <c r="B8" s="2768" t="s">
        <v>77</v>
      </c>
      <c r="C8" s="2769"/>
      <c r="D8" s="218">
        <f>D35+D143</f>
        <v>9611936</v>
      </c>
      <c r="E8" s="218">
        <f t="shared" ref="E8:L8" si="3">E35+E143</f>
        <v>0</v>
      </c>
      <c r="F8" s="218">
        <f t="shared" si="3"/>
        <v>4813876</v>
      </c>
      <c r="G8" s="218">
        <f t="shared" si="3"/>
        <v>3905051</v>
      </c>
      <c r="H8" s="218">
        <f t="shared" si="3"/>
        <v>614097</v>
      </c>
      <c r="I8" s="218">
        <f t="shared" si="3"/>
        <v>278912</v>
      </c>
      <c r="J8" s="218">
        <f t="shared" si="3"/>
        <v>0</v>
      </c>
      <c r="K8" s="218">
        <f t="shared" si="3"/>
        <v>0</v>
      </c>
      <c r="L8" s="218">
        <f t="shared" si="3"/>
        <v>0</v>
      </c>
      <c r="M8" s="2466">
        <f>M35+M143</f>
        <v>9611936</v>
      </c>
      <c r="N8" s="18">
        <v>0</v>
      </c>
      <c r="O8" s="589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1"/>
      <c r="BY8" s="331"/>
    </row>
    <row r="9" spans="1:77" ht="14.25" customHeight="1" thickBot="1">
      <c r="A9" s="769"/>
      <c r="B9" s="2770" t="s">
        <v>9</v>
      </c>
      <c r="C9" s="2771"/>
      <c r="D9" s="228">
        <f>+D26+D45+D56+D68+D81+D93+D105+D117+D129+D155</f>
        <v>31387745</v>
      </c>
      <c r="E9" s="228">
        <f t="shared" ref="E9:M9" si="4">+E26+E45+E56+E68+E81+E93+E105+E117+E129+E155</f>
        <v>353841</v>
      </c>
      <c r="F9" s="228">
        <f t="shared" si="4"/>
        <v>1215455</v>
      </c>
      <c r="G9" s="228">
        <f t="shared" si="4"/>
        <v>8629176</v>
      </c>
      <c r="H9" s="228">
        <f t="shared" si="4"/>
        <v>10492648</v>
      </c>
      <c r="I9" s="228">
        <f t="shared" si="4"/>
        <v>5657500</v>
      </c>
      <c r="J9" s="228">
        <f t="shared" si="4"/>
        <v>3566880</v>
      </c>
      <c r="K9" s="228">
        <f t="shared" si="4"/>
        <v>1472245</v>
      </c>
      <c r="L9" s="228">
        <f t="shared" si="4"/>
        <v>0</v>
      </c>
      <c r="M9" s="155">
        <f t="shared" si="4"/>
        <v>31033904</v>
      </c>
      <c r="N9" s="155">
        <f>+N26+N45+N56+N68+N81+N93</f>
        <v>26966170</v>
      </c>
      <c r="O9" s="589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</row>
    <row r="10" spans="1:77" s="636" customFormat="1" ht="12">
      <c r="A10" s="769"/>
      <c r="B10" s="1755" t="s">
        <v>10</v>
      </c>
      <c r="C10" s="1755"/>
      <c r="D10" s="1732">
        <f>+D11+D15</f>
        <v>112111450</v>
      </c>
      <c r="E10" s="1732">
        <f t="shared" ref="E10" si="5">+E11+E15</f>
        <v>366014</v>
      </c>
      <c r="F10" s="1732">
        <f t="shared" ref="F10:L10" si="6">+F11+F15</f>
        <v>6107160</v>
      </c>
      <c r="G10" s="1732">
        <f t="shared" si="6"/>
        <v>27695146</v>
      </c>
      <c r="H10" s="1732">
        <f t="shared" si="6"/>
        <v>35702937</v>
      </c>
      <c r="I10" s="1732">
        <f t="shared" si="6"/>
        <v>18608568</v>
      </c>
      <c r="J10" s="1732">
        <f t="shared" si="6"/>
        <v>12066880</v>
      </c>
      <c r="K10" s="1732">
        <f t="shared" si="6"/>
        <v>11564745</v>
      </c>
      <c r="L10" s="1732">
        <f t="shared" si="6"/>
        <v>0</v>
      </c>
      <c r="M10" s="382">
        <f>+M11</f>
        <v>40645840</v>
      </c>
      <c r="N10" s="382">
        <f>+N11</f>
        <v>34616509</v>
      </c>
      <c r="O10" s="3357"/>
      <c r="P10" s="331"/>
      <c r="Q10" s="182"/>
      <c r="R10" s="182">
        <f>+D24+D42+D54+D66+D78+D90</f>
        <v>88685466</v>
      </c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331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  <c r="BL10" s="331"/>
      <c r="BM10" s="331"/>
      <c r="BN10" s="331"/>
      <c r="BO10" s="331"/>
      <c r="BP10" s="331"/>
      <c r="BQ10" s="331"/>
      <c r="BR10" s="331"/>
      <c r="BS10" s="331"/>
      <c r="BT10" s="331"/>
      <c r="BU10" s="331"/>
      <c r="BV10" s="331"/>
      <c r="BW10" s="331"/>
      <c r="BX10" s="331"/>
      <c r="BY10" s="331"/>
    </row>
    <row r="11" spans="1:77" s="636" customFormat="1" ht="14.1" customHeight="1">
      <c r="A11" s="769"/>
      <c r="B11" s="2772" t="s">
        <v>11</v>
      </c>
      <c r="C11" s="3359" t="s">
        <v>61</v>
      </c>
      <c r="D11" s="2773">
        <f>+D12+D13+D14</f>
        <v>41488162</v>
      </c>
      <c r="E11" s="2773">
        <f t="shared" ref="E11:L11" si="7">+E12+E13+E14</f>
        <v>366014</v>
      </c>
      <c r="F11" s="2773">
        <f>+F12+F13+F14</f>
        <v>6060155</v>
      </c>
      <c r="G11" s="2773">
        <f>+G12+G13+G14</f>
        <v>12774182</v>
      </c>
      <c r="H11" s="2773">
        <f t="shared" si="7"/>
        <v>11312274</v>
      </c>
      <c r="I11" s="2773">
        <f t="shared" si="7"/>
        <v>5936412</v>
      </c>
      <c r="J11" s="2773">
        <f t="shared" si="7"/>
        <v>3566880</v>
      </c>
      <c r="K11" s="2773">
        <f t="shared" si="7"/>
        <v>1472245</v>
      </c>
      <c r="L11" s="2773">
        <f t="shared" si="7"/>
        <v>0</v>
      </c>
      <c r="M11" s="1756">
        <f>+M13</f>
        <v>40645840</v>
      </c>
      <c r="N11" s="1756">
        <f>+N13</f>
        <v>34616509</v>
      </c>
      <c r="O11" s="3357"/>
      <c r="P11" s="331"/>
      <c r="Q11" s="182"/>
      <c r="R11" s="182">
        <f>+R10-D10</f>
        <v>-23425984</v>
      </c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</row>
    <row r="12" spans="1:77" s="636" customFormat="1" ht="12">
      <c r="A12" s="769"/>
      <c r="B12" s="2774" t="s">
        <v>32</v>
      </c>
      <c r="C12" s="3359"/>
      <c r="D12" s="2775">
        <f>D128+D142+D154+D104</f>
        <v>55898</v>
      </c>
      <c r="E12" s="2775">
        <f>E128+E142+E154+E104</f>
        <v>12173</v>
      </c>
      <c r="F12" s="2775">
        <f>F128+F142+F154+F104</f>
        <v>26474</v>
      </c>
      <c r="G12" s="2775">
        <f t="shared" ref="G12:L12" si="8">G128+G142+G154+G104</f>
        <v>17251</v>
      </c>
      <c r="H12" s="2775">
        <f t="shared" si="8"/>
        <v>0</v>
      </c>
      <c r="I12" s="2775">
        <f t="shared" si="8"/>
        <v>0</v>
      </c>
      <c r="J12" s="2775">
        <f t="shared" si="8"/>
        <v>0</v>
      </c>
      <c r="K12" s="2775">
        <f t="shared" si="8"/>
        <v>0</v>
      </c>
      <c r="L12" s="2775">
        <f t="shared" si="8"/>
        <v>0</v>
      </c>
      <c r="M12" s="1757" t="s">
        <v>61</v>
      </c>
      <c r="N12" s="1757" t="s">
        <v>61</v>
      </c>
      <c r="O12" s="3357"/>
      <c r="P12" s="331"/>
      <c r="Q12" s="182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331"/>
      <c r="BY12" s="331"/>
    </row>
    <row r="13" spans="1:77" s="636" customFormat="1" ht="12">
      <c r="A13" s="769"/>
      <c r="B13" s="2774" t="s">
        <v>159</v>
      </c>
      <c r="C13" s="3359"/>
      <c r="D13" s="2775">
        <f>+D26+D45+D56+D68+D93+D81+D105+D117+D35+D129+D143+D155</f>
        <v>40999681</v>
      </c>
      <c r="E13" s="2775">
        <f t="shared" ref="E13:L13" si="9">+E26+E45+E56+E68+E93+E81+E105+E117+E35+E129+E143+E155</f>
        <v>353841</v>
      </c>
      <c r="F13" s="2775">
        <f t="shared" si="9"/>
        <v>6029331</v>
      </c>
      <c r="G13" s="2775">
        <f>+G26+G45+G56+G68+G93+G81+G105+G117+G35+G129+G143+G155</f>
        <v>12534227</v>
      </c>
      <c r="H13" s="2775">
        <f t="shared" si="9"/>
        <v>11106745</v>
      </c>
      <c r="I13" s="2775">
        <f t="shared" si="9"/>
        <v>5936412</v>
      </c>
      <c r="J13" s="2775">
        <f t="shared" si="9"/>
        <v>3566880</v>
      </c>
      <c r="K13" s="2775">
        <f t="shared" si="9"/>
        <v>1472245</v>
      </c>
      <c r="L13" s="2775">
        <f t="shared" si="9"/>
        <v>0</v>
      </c>
      <c r="M13" s="590">
        <f>SUM(F13:L13)</f>
        <v>40645840</v>
      </c>
      <c r="N13" s="590">
        <f>SUM(G13:L13)</f>
        <v>34616509</v>
      </c>
      <c r="O13" s="3357"/>
      <c r="P13" s="331"/>
      <c r="Q13" s="182"/>
      <c r="R13" s="182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331"/>
      <c r="BY13" s="331"/>
    </row>
    <row r="14" spans="1:77" s="636" customFormat="1" ht="12">
      <c r="A14" s="769"/>
      <c r="B14" s="2776" t="s">
        <v>493</v>
      </c>
      <c r="C14" s="3360"/>
      <c r="D14" s="2777">
        <f>D130</f>
        <v>432583</v>
      </c>
      <c r="E14" s="2777">
        <f t="shared" ref="E14:L14" si="10">E130</f>
        <v>0</v>
      </c>
      <c r="F14" s="2777">
        <f t="shared" si="10"/>
        <v>4350</v>
      </c>
      <c r="G14" s="2777">
        <f t="shared" si="10"/>
        <v>222704</v>
      </c>
      <c r="H14" s="2777">
        <f t="shared" si="10"/>
        <v>205529</v>
      </c>
      <c r="I14" s="2777">
        <f t="shared" si="10"/>
        <v>0</v>
      </c>
      <c r="J14" s="2777">
        <f t="shared" si="10"/>
        <v>0</v>
      </c>
      <c r="K14" s="2777">
        <f t="shared" si="10"/>
        <v>0</v>
      </c>
      <c r="L14" s="2777">
        <f t="shared" si="10"/>
        <v>0</v>
      </c>
      <c r="M14" s="2207"/>
      <c r="N14" s="2207"/>
      <c r="O14" s="3357"/>
      <c r="P14" s="331"/>
      <c r="Q14" s="182"/>
      <c r="R14" s="182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331"/>
      <c r="AY14" s="331"/>
      <c r="AZ14" s="331"/>
      <c r="BA14" s="331"/>
      <c r="BB14" s="331"/>
      <c r="BC14" s="331"/>
      <c r="BD14" s="331"/>
      <c r="BE14" s="331"/>
      <c r="BF14" s="331"/>
      <c r="BG14" s="331"/>
      <c r="BH14" s="331"/>
      <c r="BI14" s="331"/>
      <c r="BJ14" s="331"/>
      <c r="BK14" s="331"/>
      <c r="BL14" s="331"/>
      <c r="BM14" s="331"/>
      <c r="BN14" s="331"/>
      <c r="BO14" s="331"/>
      <c r="BP14" s="331"/>
      <c r="BQ14" s="331"/>
      <c r="BR14" s="331"/>
      <c r="BS14" s="331"/>
      <c r="BT14" s="331"/>
      <c r="BU14" s="331"/>
      <c r="BV14" s="331"/>
      <c r="BW14" s="331"/>
      <c r="BX14" s="331"/>
      <c r="BY14" s="331"/>
    </row>
    <row r="15" spans="1:77" s="636" customFormat="1" ht="12">
      <c r="A15" s="769"/>
      <c r="B15" s="2772" t="s">
        <v>18</v>
      </c>
      <c r="C15" s="3359"/>
      <c r="D15" s="2773">
        <f>+D16</f>
        <v>70623288</v>
      </c>
      <c r="E15" s="2773">
        <f t="shared" ref="E15:L15" si="11">+E16</f>
        <v>0</v>
      </c>
      <c r="F15" s="2773">
        <f t="shared" si="11"/>
        <v>47005</v>
      </c>
      <c r="G15" s="2773">
        <f t="shared" si="11"/>
        <v>14920964</v>
      </c>
      <c r="H15" s="2773">
        <f t="shared" si="11"/>
        <v>24390663</v>
      </c>
      <c r="I15" s="2773">
        <f t="shared" si="11"/>
        <v>12672156</v>
      </c>
      <c r="J15" s="2773">
        <f t="shared" si="11"/>
        <v>8500000</v>
      </c>
      <c r="K15" s="2773">
        <f t="shared" si="11"/>
        <v>10092500</v>
      </c>
      <c r="L15" s="2773">
        <f t="shared" si="11"/>
        <v>0</v>
      </c>
      <c r="M15" s="1758" t="str">
        <f>+M16</f>
        <v>x</v>
      </c>
      <c r="N15" s="1758" t="str">
        <f>+N16</f>
        <v>x</v>
      </c>
      <c r="O15" s="3357"/>
      <c r="P15" s="331"/>
      <c r="Q15" s="182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1"/>
      <c r="AU15" s="331"/>
      <c r="AV15" s="331"/>
      <c r="AW15" s="331"/>
      <c r="AX15" s="331"/>
      <c r="AY15" s="331"/>
      <c r="AZ15" s="331"/>
      <c r="BA15" s="331"/>
      <c r="BB15" s="331"/>
      <c r="BC15" s="331"/>
      <c r="BD15" s="331"/>
      <c r="BE15" s="331"/>
      <c r="BF15" s="331"/>
      <c r="BG15" s="331"/>
      <c r="BH15" s="331"/>
      <c r="BI15" s="331"/>
      <c r="BJ15" s="331"/>
      <c r="BK15" s="331"/>
      <c r="BL15" s="331"/>
      <c r="BM15" s="331"/>
      <c r="BN15" s="331"/>
      <c r="BO15" s="331"/>
      <c r="BP15" s="331"/>
      <c r="BQ15" s="331"/>
      <c r="BR15" s="331"/>
      <c r="BS15" s="331"/>
      <c r="BT15" s="331"/>
      <c r="BU15" s="331"/>
      <c r="BV15" s="331"/>
      <c r="BW15" s="331"/>
      <c r="BX15" s="331"/>
      <c r="BY15" s="331"/>
    </row>
    <row r="16" spans="1:77" s="636" customFormat="1" ht="12">
      <c r="A16" s="769"/>
      <c r="B16" s="2778" t="s">
        <v>35</v>
      </c>
      <c r="C16" s="3359"/>
      <c r="D16" s="2775">
        <f>D28+D47+D59+D83+D95+D71+D107+D132+D145+D157</f>
        <v>70623288</v>
      </c>
      <c r="E16" s="2775">
        <f t="shared" ref="E16:L16" si="12">E28+E47+E59+E83+E95+E71+E107+E132+E145+E157</f>
        <v>0</v>
      </c>
      <c r="F16" s="2775">
        <f t="shared" si="12"/>
        <v>47005</v>
      </c>
      <c r="G16" s="2775">
        <f t="shared" si="12"/>
        <v>14920964</v>
      </c>
      <c r="H16" s="2775">
        <f t="shared" si="12"/>
        <v>24390663</v>
      </c>
      <c r="I16" s="2775">
        <f t="shared" si="12"/>
        <v>12672156</v>
      </c>
      <c r="J16" s="2775">
        <f t="shared" si="12"/>
        <v>8500000</v>
      </c>
      <c r="K16" s="2775">
        <f t="shared" si="12"/>
        <v>10092500</v>
      </c>
      <c r="L16" s="2775">
        <f t="shared" si="12"/>
        <v>0</v>
      </c>
      <c r="M16" s="591" t="s">
        <v>61</v>
      </c>
      <c r="N16" s="591" t="s">
        <v>61</v>
      </c>
      <c r="O16" s="3357"/>
      <c r="P16" s="331"/>
      <c r="Q16" s="182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331"/>
      <c r="AS16" s="331"/>
      <c r="AT16" s="331"/>
      <c r="AU16" s="331"/>
      <c r="AV16" s="331"/>
      <c r="AW16" s="331"/>
      <c r="AX16" s="331"/>
      <c r="AY16" s="331"/>
      <c r="AZ16" s="331"/>
      <c r="BA16" s="331"/>
      <c r="BB16" s="331"/>
      <c r="BC16" s="331"/>
      <c r="BD16" s="331"/>
      <c r="BE16" s="331"/>
      <c r="BF16" s="331"/>
      <c r="BG16" s="331"/>
      <c r="BH16" s="331"/>
      <c r="BI16" s="331"/>
      <c r="BJ16" s="331"/>
      <c r="BK16" s="331"/>
      <c r="BL16" s="331"/>
      <c r="BM16" s="331"/>
      <c r="BN16" s="331"/>
      <c r="BO16" s="331"/>
      <c r="BP16" s="331"/>
      <c r="BQ16" s="331"/>
      <c r="BR16" s="331"/>
      <c r="BS16" s="331"/>
      <c r="BT16" s="331"/>
      <c r="BU16" s="331"/>
      <c r="BV16" s="331"/>
      <c r="BW16" s="331"/>
      <c r="BX16" s="331"/>
      <c r="BY16" s="331"/>
    </row>
    <row r="17" spans="1:77" s="636" customFormat="1" ht="12">
      <c r="A17" s="769"/>
      <c r="B17" s="554" t="s">
        <v>22</v>
      </c>
      <c r="C17" s="554"/>
      <c r="D17" s="592">
        <f>+D18+D21</f>
        <v>89130189</v>
      </c>
      <c r="E17" s="592">
        <f t="shared" ref="E17" si="13">+E18+E21</f>
        <v>0</v>
      </c>
      <c r="F17" s="592">
        <f t="shared" ref="F17:L17" si="14">+F18+F21</f>
        <v>411282</v>
      </c>
      <c r="G17" s="592">
        <f t="shared" si="14"/>
        <v>18052227</v>
      </c>
      <c r="H17" s="592">
        <f t="shared" si="14"/>
        <v>31604232</v>
      </c>
      <c r="I17" s="592">
        <f t="shared" si="14"/>
        <v>16819219</v>
      </c>
      <c r="J17" s="592">
        <f t="shared" si="14"/>
        <v>10500000</v>
      </c>
      <c r="K17" s="592">
        <f t="shared" si="14"/>
        <v>11743229</v>
      </c>
      <c r="L17" s="592">
        <f t="shared" si="14"/>
        <v>0</v>
      </c>
      <c r="M17" s="3366" t="s">
        <v>61</v>
      </c>
      <c r="N17" s="3366" t="s">
        <v>61</v>
      </c>
      <c r="O17" s="3357"/>
      <c r="P17" s="331"/>
      <c r="Q17" s="182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</row>
    <row r="18" spans="1:77" s="636" customFormat="1" ht="12">
      <c r="A18" s="769"/>
      <c r="B18" s="2772" t="s">
        <v>24</v>
      </c>
      <c r="C18" s="3361" t="s">
        <v>61</v>
      </c>
      <c r="D18" s="2773">
        <f>+D19+D20</f>
        <v>18506901</v>
      </c>
      <c r="E18" s="2773">
        <f t="shared" ref="E18:L18" si="15">+E19+E20</f>
        <v>0</v>
      </c>
      <c r="F18" s="2773">
        <f t="shared" si="15"/>
        <v>388927</v>
      </c>
      <c r="G18" s="2773">
        <f t="shared" si="15"/>
        <v>3106613</v>
      </c>
      <c r="H18" s="2773">
        <f t="shared" si="15"/>
        <v>7213569</v>
      </c>
      <c r="I18" s="2773">
        <f t="shared" si="15"/>
        <v>4147063</v>
      </c>
      <c r="J18" s="2773">
        <f t="shared" si="15"/>
        <v>2000000</v>
      </c>
      <c r="K18" s="2773">
        <f t="shared" si="15"/>
        <v>1650729</v>
      </c>
      <c r="L18" s="2773">
        <f t="shared" si="15"/>
        <v>0</v>
      </c>
      <c r="M18" s="3367"/>
      <c r="N18" s="3367"/>
      <c r="O18" s="3357"/>
      <c r="P18" s="331"/>
      <c r="Q18" s="182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</row>
    <row r="19" spans="1:77" s="636" customFormat="1" ht="12">
      <c r="A19" s="769"/>
      <c r="B19" s="2778" t="s">
        <v>139</v>
      </c>
      <c r="C19" s="3362"/>
      <c r="D19" s="2775">
        <f>+D62+D98+D50+D74+D86+D31+D40+D135+D148+D160</f>
        <v>18074318</v>
      </c>
      <c r="E19" s="2775">
        <f t="shared" ref="E19:L19" si="16">+E62+E98+E50+E74+E86+E31+E40+E135+E148+E160</f>
        <v>0</v>
      </c>
      <c r="F19" s="2775">
        <f>+F62+F98+F50+F74+F86+F31+F40+F135+F148+F160</f>
        <v>388927</v>
      </c>
      <c r="G19" s="2775">
        <f t="shared" si="16"/>
        <v>2879559</v>
      </c>
      <c r="H19" s="2775">
        <f t="shared" si="16"/>
        <v>7008040</v>
      </c>
      <c r="I19" s="2775">
        <f>+I62+I98+I50+I74+I86+I31+I40+I135+I148+I160</f>
        <v>4147063</v>
      </c>
      <c r="J19" s="2775">
        <f t="shared" si="16"/>
        <v>2000000</v>
      </c>
      <c r="K19" s="2775">
        <f t="shared" si="16"/>
        <v>1650729</v>
      </c>
      <c r="L19" s="2775">
        <f t="shared" si="16"/>
        <v>0</v>
      </c>
      <c r="M19" s="3367"/>
      <c r="N19" s="3367"/>
      <c r="O19" s="3357"/>
      <c r="P19" s="331"/>
      <c r="Q19" s="182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</row>
    <row r="20" spans="1:77" s="636" customFormat="1" ht="12">
      <c r="A20" s="769"/>
      <c r="B20" s="2779" t="s">
        <v>493</v>
      </c>
      <c r="C20" s="3362"/>
      <c r="D20" s="593">
        <f>D136</f>
        <v>432583</v>
      </c>
      <c r="E20" s="593">
        <f t="shared" ref="E20:L20" si="17">E136</f>
        <v>0</v>
      </c>
      <c r="F20" s="593">
        <f t="shared" si="17"/>
        <v>0</v>
      </c>
      <c r="G20" s="593">
        <f t="shared" si="17"/>
        <v>227054</v>
      </c>
      <c r="H20" s="593">
        <f t="shared" si="17"/>
        <v>205529</v>
      </c>
      <c r="I20" s="593">
        <f t="shared" si="17"/>
        <v>0</v>
      </c>
      <c r="J20" s="593">
        <f t="shared" si="17"/>
        <v>0</v>
      </c>
      <c r="K20" s="593">
        <f t="shared" si="17"/>
        <v>0</v>
      </c>
      <c r="L20" s="593">
        <f t="shared" si="17"/>
        <v>0</v>
      </c>
      <c r="M20" s="3367"/>
      <c r="N20" s="3367"/>
      <c r="O20" s="3357"/>
      <c r="P20" s="331"/>
      <c r="Q20" s="182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</row>
    <row r="21" spans="1:77" s="636" customFormat="1" ht="12">
      <c r="A21" s="769"/>
      <c r="B21" s="2780" t="s">
        <v>18</v>
      </c>
      <c r="C21" s="3362"/>
      <c r="D21" s="2781">
        <f>+D22</f>
        <v>70623288</v>
      </c>
      <c r="E21" s="2781">
        <f t="shared" ref="E21:L21" si="18">+E22</f>
        <v>0</v>
      </c>
      <c r="F21" s="2781">
        <f t="shared" si="18"/>
        <v>22355</v>
      </c>
      <c r="G21" s="2781">
        <f t="shared" si="18"/>
        <v>14945614</v>
      </c>
      <c r="H21" s="2781">
        <f t="shared" si="18"/>
        <v>24390663</v>
      </c>
      <c r="I21" s="2781">
        <f t="shared" si="18"/>
        <v>12672156</v>
      </c>
      <c r="J21" s="2781">
        <f t="shared" si="18"/>
        <v>8500000</v>
      </c>
      <c r="K21" s="2781">
        <f t="shared" si="18"/>
        <v>10092500</v>
      </c>
      <c r="L21" s="2781">
        <f t="shared" si="18"/>
        <v>0</v>
      </c>
      <c r="M21" s="3367"/>
      <c r="N21" s="3367"/>
      <c r="O21" s="3357"/>
      <c r="P21" s="331"/>
      <c r="Q21" s="182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</row>
    <row r="22" spans="1:77" s="636" customFormat="1" ht="14.1" customHeight="1" thickBot="1">
      <c r="A22" s="770"/>
      <c r="B22" s="2782" t="s">
        <v>35</v>
      </c>
      <c r="C22" s="3363"/>
      <c r="D22" s="1759">
        <f>+D52+D64+D100+D88+D76+D112+D138+D150+D162</f>
        <v>70623288</v>
      </c>
      <c r="E22" s="1759">
        <f t="shared" ref="E22:L22" si="19">+E52+E64+E100+E88+E76+E112+E138+E150+E162</f>
        <v>0</v>
      </c>
      <c r="F22" s="1759">
        <f t="shared" si="19"/>
        <v>22355</v>
      </c>
      <c r="G22" s="1759">
        <f t="shared" si="19"/>
        <v>14945614</v>
      </c>
      <c r="H22" s="1759">
        <f t="shared" si="19"/>
        <v>24390663</v>
      </c>
      <c r="I22" s="1759">
        <f t="shared" si="19"/>
        <v>12672156</v>
      </c>
      <c r="J22" s="1759">
        <f t="shared" si="19"/>
        <v>8500000</v>
      </c>
      <c r="K22" s="1759">
        <f t="shared" si="19"/>
        <v>10092500</v>
      </c>
      <c r="L22" s="1759">
        <f t="shared" si="19"/>
        <v>0</v>
      </c>
      <c r="M22" s="3368"/>
      <c r="N22" s="3368"/>
      <c r="O22" s="3358"/>
      <c r="P22" s="331"/>
      <c r="Q22" s="182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</row>
    <row r="23" spans="1:77" s="331" customFormat="1" ht="23.25" customHeight="1">
      <c r="A23" s="3323" t="s">
        <v>63</v>
      </c>
      <c r="B23" s="1760" t="s">
        <v>330</v>
      </c>
      <c r="C23" s="1761" t="s">
        <v>81</v>
      </c>
      <c r="D23" s="1762"/>
      <c r="E23" s="593"/>
      <c r="F23" s="593"/>
      <c r="G23" s="593"/>
      <c r="H23" s="1763"/>
      <c r="I23" s="1763"/>
      <c r="J23" s="1763"/>
      <c r="K23" s="1763"/>
      <c r="L23" s="1763"/>
      <c r="M23" s="594"/>
      <c r="N23" s="594"/>
      <c r="O23" s="3325" t="s">
        <v>322</v>
      </c>
    </row>
    <row r="24" spans="1:77" s="331" customFormat="1" ht="12">
      <c r="A24" s="3324"/>
      <c r="B24" s="554" t="s">
        <v>10</v>
      </c>
      <c r="C24" s="554"/>
      <c r="D24" s="592">
        <f t="shared" ref="D24" si="20">+D25+D27</f>
        <v>1805000</v>
      </c>
      <c r="E24" s="592">
        <f t="shared" ref="E24" si="21">+E25+E27</f>
        <v>0</v>
      </c>
      <c r="F24" s="592">
        <f t="shared" ref="F24:N24" si="22">+F25</f>
        <v>242386</v>
      </c>
      <c r="G24" s="592">
        <f t="shared" si="22"/>
        <v>1562614</v>
      </c>
      <c r="H24" s="592">
        <f t="shared" si="22"/>
        <v>0</v>
      </c>
      <c r="I24" s="592">
        <f t="shared" si="22"/>
        <v>0</v>
      </c>
      <c r="J24" s="592"/>
      <c r="K24" s="592"/>
      <c r="L24" s="592"/>
      <c r="M24" s="595">
        <f t="shared" si="22"/>
        <v>1805000</v>
      </c>
      <c r="N24" s="595">
        <f t="shared" si="22"/>
        <v>1562614</v>
      </c>
      <c r="O24" s="3326"/>
    </row>
    <row r="25" spans="1:77" s="331" customFormat="1" ht="12">
      <c r="A25" s="3324"/>
      <c r="B25" s="2468" t="s">
        <v>24</v>
      </c>
      <c r="C25" s="3349" t="s">
        <v>321</v>
      </c>
      <c r="D25" s="1996">
        <f>D26</f>
        <v>1805000</v>
      </c>
      <c r="E25" s="544">
        <f t="shared" ref="E25:I25" si="23">E26</f>
        <v>0</v>
      </c>
      <c r="F25" s="544">
        <f t="shared" si="23"/>
        <v>242386</v>
      </c>
      <c r="G25" s="544">
        <f t="shared" si="23"/>
        <v>1562614</v>
      </c>
      <c r="H25" s="544">
        <f t="shared" si="23"/>
        <v>0</v>
      </c>
      <c r="I25" s="544">
        <f t="shared" si="23"/>
        <v>0</v>
      </c>
      <c r="J25" s="544"/>
      <c r="K25" s="544"/>
      <c r="L25" s="544"/>
      <c r="M25" s="597">
        <f>+M26</f>
        <v>1805000</v>
      </c>
      <c r="N25" s="597">
        <f>+N26</f>
        <v>1562614</v>
      </c>
      <c r="O25" s="3326"/>
    </row>
    <row r="26" spans="1:77" s="331" customFormat="1" ht="12.75" customHeight="1">
      <c r="A26" s="3324"/>
      <c r="B26" s="2469" t="s">
        <v>122</v>
      </c>
      <c r="C26" s="3336"/>
      <c r="D26" s="1997">
        <f>E26+F26+G26+H26+I26+J26+K26+L26</f>
        <v>1805000</v>
      </c>
      <c r="E26" s="540">
        <v>0</v>
      </c>
      <c r="F26" s="540">
        <f>355000-112614</f>
        <v>242386</v>
      </c>
      <c r="G26" s="540">
        <f>1450000+112614</f>
        <v>1562614</v>
      </c>
      <c r="H26" s="540">
        <v>0</v>
      </c>
      <c r="I26" s="540">
        <v>0</v>
      </c>
      <c r="J26" s="540"/>
      <c r="K26" s="540"/>
      <c r="L26" s="540"/>
      <c r="M26" s="590">
        <f>SUM(F26:K26)</f>
        <v>1805000</v>
      </c>
      <c r="N26" s="590">
        <f>SUM(G26:L26)</f>
        <v>1562614</v>
      </c>
      <c r="O26" s="3326"/>
    </row>
    <row r="27" spans="1:77" s="331" customFormat="1" ht="12.75" hidden="1" customHeight="1">
      <c r="A27" s="3324"/>
      <c r="B27" s="599" t="s">
        <v>18</v>
      </c>
      <c r="C27" s="3336"/>
      <c r="D27" s="600">
        <f>+D28</f>
        <v>0</v>
      </c>
      <c r="E27" s="600"/>
      <c r="F27" s="600"/>
      <c r="G27" s="600"/>
      <c r="H27" s="600"/>
      <c r="I27" s="600"/>
      <c r="J27" s="600"/>
      <c r="K27" s="600"/>
      <c r="L27" s="600"/>
      <c r="M27" s="1764" t="s">
        <v>61</v>
      </c>
      <c r="N27" s="1764" t="s">
        <v>61</v>
      </c>
      <c r="O27" s="3326"/>
    </row>
    <row r="28" spans="1:77" s="331" customFormat="1" ht="13.5" hidden="1" customHeight="1">
      <c r="A28" s="3324"/>
      <c r="B28" s="2470" t="s">
        <v>35</v>
      </c>
      <c r="C28" s="3336"/>
      <c r="D28" s="1997">
        <f>E28+F28+G28+H28+I28+J28+K28+L28</f>
        <v>0</v>
      </c>
      <c r="E28" s="540"/>
      <c r="F28" s="540"/>
      <c r="G28" s="540"/>
      <c r="H28" s="540"/>
      <c r="I28" s="540"/>
      <c r="J28" s="540"/>
      <c r="K28" s="540"/>
      <c r="L28" s="540"/>
      <c r="M28" s="620" t="s">
        <v>61</v>
      </c>
      <c r="N28" s="620" t="s">
        <v>61</v>
      </c>
      <c r="O28" s="3326"/>
    </row>
    <row r="29" spans="1:77" s="602" customFormat="1" ht="12">
      <c r="A29" s="3324"/>
      <c r="B29" s="1755" t="s">
        <v>22</v>
      </c>
      <c r="C29" s="3336"/>
      <c r="D29" s="1765">
        <f>D30</f>
        <v>55657</v>
      </c>
      <c r="E29" s="1765">
        <f>E30</f>
        <v>0</v>
      </c>
      <c r="F29" s="1766"/>
      <c r="G29" s="1766">
        <f>G30</f>
        <v>55657</v>
      </c>
      <c r="H29" s="1766"/>
      <c r="I29" s="1766"/>
      <c r="J29" s="1766"/>
      <c r="K29" s="1766"/>
      <c r="L29" s="1766"/>
      <c r="M29" s="3350"/>
      <c r="N29" s="3350"/>
      <c r="O29" s="3326"/>
    </row>
    <row r="30" spans="1:77" s="331" customFormat="1" ht="12.75">
      <c r="A30" s="3324"/>
      <c r="B30" s="2211" t="s">
        <v>24</v>
      </c>
      <c r="C30" s="3336"/>
      <c r="D30" s="1996">
        <f>+D31</f>
        <v>55657</v>
      </c>
      <c r="E30" s="1996">
        <f>+E31</f>
        <v>0</v>
      </c>
      <c r="F30" s="1767"/>
      <c r="G30" s="544">
        <f>G31</f>
        <v>55657</v>
      </c>
      <c r="H30" s="1767"/>
      <c r="I30" s="1767"/>
      <c r="J30" s="1767"/>
      <c r="K30" s="1767"/>
      <c r="L30" s="1767"/>
      <c r="M30" s="3351"/>
      <c r="N30" s="3351"/>
      <c r="O30" s="3326"/>
    </row>
    <row r="31" spans="1:77" s="331" customFormat="1" ht="13.5" thickBot="1">
      <c r="A31" s="3333"/>
      <c r="B31" s="2221" t="s">
        <v>139</v>
      </c>
      <c r="C31" s="3353"/>
      <c r="D31" s="2222">
        <f>E31+F31+G31+H31+I31+J31+K31+L31</f>
        <v>55657</v>
      </c>
      <c r="E31" s="598">
        <v>0</v>
      </c>
      <c r="F31" s="1768"/>
      <c r="G31" s="598">
        <v>55657</v>
      </c>
      <c r="H31" s="1768"/>
      <c r="I31" s="1768"/>
      <c r="J31" s="1768"/>
      <c r="K31" s="1768"/>
      <c r="L31" s="1768"/>
      <c r="M31" s="3352"/>
      <c r="N31" s="3352"/>
      <c r="O31" s="3347"/>
    </row>
    <row r="32" spans="1:77" s="331" customFormat="1" ht="27" customHeight="1">
      <c r="A32" s="3323" t="s">
        <v>64</v>
      </c>
      <c r="B32" s="1760" t="s">
        <v>491</v>
      </c>
      <c r="C32" s="1761" t="s">
        <v>109</v>
      </c>
      <c r="D32" s="1762"/>
      <c r="E32" s="593"/>
      <c r="F32" s="593"/>
      <c r="G32" s="593"/>
      <c r="H32" s="1763"/>
      <c r="I32" s="1763"/>
      <c r="J32" s="1763"/>
      <c r="K32" s="1763"/>
      <c r="L32" s="1763"/>
      <c r="M32" s="594"/>
      <c r="N32" s="594"/>
      <c r="O32" s="3325" t="s">
        <v>322</v>
      </c>
    </row>
    <row r="33" spans="1:15" s="331" customFormat="1" ht="12">
      <c r="A33" s="3324"/>
      <c r="B33" s="554" t="s">
        <v>10</v>
      </c>
      <c r="C33" s="554"/>
      <c r="D33" s="592">
        <f t="shared" ref="D33:E33" si="24">+D34+D36</f>
        <v>8265000</v>
      </c>
      <c r="E33" s="592">
        <f t="shared" si="24"/>
        <v>0</v>
      </c>
      <c r="F33" s="592">
        <f t="shared" ref="F33:N33" si="25">+F34</f>
        <v>4813876</v>
      </c>
      <c r="G33" s="592">
        <f t="shared" si="25"/>
        <v>3451124</v>
      </c>
      <c r="H33" s="592">
        <f t="shared" si="25"/>
        <v>0</v>
      </c>
      <c r="I33" s="592">
        <f t="shared" si="25"/>
        <v>0</v>
      </c>
      <c r="J33" s="592"/>
      <c r="K33" s="592"/>
      <c r="L33" s="592"/>
      <c r="M33" s="595">
        <f t="shared" si="25"/>
        <v>8265000</v>
      </c>
      <c r="N33" s="595">
        <f t="shared" si="25"/>
        <v>3451124</v>
      </c>
      <c r="O33" s="3326"/>
    </row>
    <row r="34" spans="1:15" s="331" customFormat="1" ht="12">
      <c r="A34" s="3324"/>
      <c r="B34" s="596" t="s">
        <v>24</v>
      </c>
      <c r="C34" s="3346" t="s">
        <v>321</v>
      </c>
      <c r="D34" s="544">
        <f>D35</f>
        <v>8265000</v>
      </c>
      <c r="E34" s="544">
        <f t="shared" ref="E34:I34" si="26">E35</f>
        <v>0</v>
      </c>
      <c r="F34" s="544">
        <f t="shared" si="26"/>
        <v>4813876</v>
      </c>
      <c r="G34" s="544">
        <f t="shared" si="26"/>
        <v>3451124</v>
      </c>
      <c r="H34" s="544">
        <f t="shared" si="26"/>
        <v>0</v>
      </c>
      <c r="I34" s="544">
        <f t="shared" si="26"/>
        <v>0</v>
      </c>
      <c r="J34" s="544"/>
      <c r="K34" s="544"/>
      <c r="L34" s="544"/>
      <c r="M34" s="597">
        <f>+M35</f>
        <v>8265000</v>
      </c>
      <c r="N34" s="597">
        <f>+N35</f>
        <v>3451124</v>
      </c>
      <c r="O34" s="3326"/>
    </row>
    <row r="35" spans="1:15" s="331" customFormat="1" ht="12">
      <c r="A35" s="3324"/>
      <c r="B35" s="632" t="s">
        <v>122</v>
      </c>
      <c r="C35" s="3336"/>
      <c r="D35" s="1671">
        <f>E35+F35+G35+H35+I35+J35+K35+L35</f>
        <v>8265000</v>
      </c>
      <c r="E35" s="540">
        <v>0</v>
      </c>
      <c r="F35" s="540">
        <v>4813876</v>
      </c>
      <c r="G35" s="540">
        <v>3451124</v>
      </c>
      <c r="H35" s="540">
        <v>0</v>
      </c>
      <c r="I35" s="540">
        <v>0</v>
      </c>
      <c r="J35" s="540"/>
      <c r="K35" s="540"/>
      <c r="L35" s="540"/>
      <c r="M35" s="590">
        <f>SUM(F35:K35)</f>
        <v>8265000</v>
      </c>
      <c r="N35" s="590">
        <f>SUM(G35:L35)</f>
        <v>3451124</v>
      </c>
      <c r="O35" s="3326"/>
    </row>
    <row r="36" spans="1:15" s="331" customFormat="1" ht="12" hidden="1">
      <c r="A36" s="3324"/>
      <c r="B36" s="599" t="s">
        <v>18</v>
      </c>
      <c r="C36" s="3336"/>
      <c r="D36" s="600">
        <f>+D37</f>
        <v>0</v>
      </c>
      <c r="E36" s="600"/>
      <c r="F36" s="600"/>
      <c r="G36" s="600"/>
      <c r="H36" s="600"/>
      <c r="I36" s="600"/>
      <c r="J36" s="600"/>
      <c r="K36" s="600"/>
      <c r="L36" s="600"/>
      <c r="M36" s="1764" t="s">
        <v>61</v>
      </c>
      <c r="N36" s="1764" t="s">
        <v>61</v>
      </c>
      <c r="O36" s="3326"/>
    </row>
    <row r="37" spans="1:15" s="331" customFormat="1" ht="12" hidden="1">
      <c r="A37" s="3324"/>
      <c r="B37" s="2783" t="s">
        <v>35</v>
      </c>
      <c r="C37" s="3336"/>
      <c r="D37" s="1671">
        <f>E37+F37+G37+H37+I37+J37+K37+L37</f>
        <v>0</v>
      </c>
      <c r="E37" s="540"/>
      <c r="F37" s="540"/>
      <c r="G37" s="540"/>
      <c r="H37" s="540"/>
      <c r="I37" s="540"/>
      <c r="J37" s="540"/>
      <c r="K37" s="540"/>
      <c r="L37" s="540"/>
      <c r="M37" s="620" t="s">
        <v>61</v>
      </c>
      <c r="N37" s="620" t="s">
        <v>61</v>
      </c>
      <c r="O37" s="3326"/>
    </row>
    <row r="38" spans="1:15" s="331" customFormat="1" ht="12">
      <c r="A38" s="3324"/>
      <c r="B38" s="1755" t="s">
        <v>22</v>
      </c>
      <c r="C38" s="3336"/>
      <c r="D38" s="1765">
        <f>D39</f>
        <v>380969</v>
      </c>
      <c r="E38" s="1765"/>
      <c r="F38" s="1766">
        <f>F39</f>
        <v>291487</v>
      </c>
      <c r="G38" s="1766">
        <f>G39</f>
        <v>89482</v>
      </c>
      <c r="H38" s="1766"/>
      <c r="I38" s="1766"/>
      <c r="J38" s="1766"/>
      <c r="K38" s="1766"/>
      <c r="L38" s="1766"/>
      <c r="M38" s="3350"/>
      <c r="N38" s="3350"/>
      <c r="O38" s="3326"/>
    </row>
    <row r="39" spans="1:15" s="331" customFormat="1" ht="12.75">
      <c r="A39" s="3324"/>
      <c r="B39" s="610" t="s">
        <v>24</v>
      </c>
      <c r="C39" s="3336"/>
      <c r="D39" s="544">
        <f>+D40</f>
        <v>380969</v>
      </c>
      <c r="E39" s="544"/>
      <c r="F39" s="2784">
        <f>F40</f>
        <v>291487</v>
      </c>
      <c r="G39" s="544">
        <f>G40</f>
        <v>89482</v>
      </c>
      <c r="H39" s="1767"/>
      <c r="I39" s="1767"/>
      <c r="J39" s="1767"/>
      <c r="K39" s="1767"/>
      <c r="L39" s="1767"/>
      <c r="M39" s="3351"/>
      <c r="N39" s="3351"/>
      <c r="O39" s="3326"/>
    </row>
    <row r="40" spans="1:15" s="331" customFormat="1" ht="13.5" thickBot="1">
      <c r="A40" s="3333"/>
      <c r="B40" s="608" t="s">
        <v>139</v>
      </c>
      <c r="C40" s="3353"/>
      <c r="D40" s="251">
        <f>E40+F40+G40+H40+I40+J40+K40+L40</f>
        <v>380969</v>
      </c>
      <c r="E40" s="598">
        <v>0</v>
      </c>
      <c r="F40" s="2785">
        <v>291487</v>
      </c>
      <c r="G40" s="598">
        <v>89482</v>
      </c>
      <c r="H40" s="1768"/>
      <c r="I40" s="1768"/>
      <c r="J40" s="1768"/>
      <c r="K40" s="1768"/>
      <c r="L40" s="1768"/>
      <c r="M40" s="3352"/>
      <c r="N40" s="3352"/>
      <c r="O40" s="3347"/>
    </row>
    <row r="41" spans="1:15" s="331" customFormat="1" ht="26.25" customHeight="1">
      <c r="A41" s="3323" t="s">
        <v>65</v>
      </c>
      <c r="B41" s="603" t="s">
        <v>488</v>
      </c>
      <c r="C41" s="604" t="s">
        <v>81</v>
      </c>
      <c r="D41" s="539"/>
      <c r="E41" s="614"/>
      <c r="F41" s="614"/>
      <c r="G41" s="614"/>
      <c r="H41" s="614"/>
      <c r="I41" s="614"/>
      <c r="J41" s="614"/>
      <c r="K41" s="614"/>
      <c r="L41" s="614"/>
      <c r="M41" s="624"/>
      <c r="N41" s="624"/>
      <c r="O41" s="3325" t="s">
        <v>489</v>
      </c>
    </row>
    <row r="42" spans="1:15" s="331" customFormat="1" ht="11.25" customHeight="1">
      <c r="A42" s="3324"/>
      <c r="B42" s="2199" t="s">
        <v>10</v>
      </c>
      <c r="C42" s="2200"/>
      <c r="D42" s="2012">
        <f>+D43+D46</f>
        <v>86880466</v>
      </c>
      <c r="E42" s="2012">
        <f t="shared" ref="E42" si="27">+E43+E46</f>
        <v>353841</v>
      </c>
      <c r="F42" s="2012">
        <f t="shared" ref="F42:G42" si="28">+F43+F46</f>
        <v>923069</v>
      </c>
      <c r="G42" s="2012">
        <f t="shared" si="28"/>
        <v>14371931</v>
      </c>
      <c r="H42" s="2012">
        <f>+H43+H46</f>
        <v>30000000</v>
      </c>
      <c r="I42" s="2012">
        <f>+I43+I46</f>
        <v>17600000</v>
      </c>
      <c r="J42" s="2012">
        <f t="shared" ref="J42:K42" si="29">+J43+J46</f>
        <v>12066880</v>
      </c>
      <c r="K42" s="2012">
        <f t="shared" si="29"/>
        <v>11564745</v>
      </c>
      <c r="L42" s="2012"/>
      <c r="M42" s="2201">
        <f>+M43</f>
        <v>26326625</v>
      </c>
      <c r="N42" s="2201">
        <f>+N43</f>
        <v>25403556</v>
      </c>
      <c r="O42" s="3326"/>
    </row>
    <row r="43" spans="1:15" s="331" customFormat="1" ht="12">
      <c r="A43" s="3324"/>
      <c r="B43" s="2202" t="s">
        <v>24</v>
      </c>
      <c r="C43" s="3349" t="s">
        <v>161</v>
      </c>
      <c r="D43" s="1996">
        <f>D45+D44</f>
        <v>26680466</v>
      </c>
      <c r="E43" s="1996">
        <f t="shared" ref="E43" si="30">E45+E44</f>
        <v>353841</v>
      </c>
      <c r="F43" s="1996">
        <f t="shared" ref="F43:K43" si="31">F45+F44</f>
        <v>923069</v>
      </c>
      <c r="G43" s="1996">
        <f t="shared" si="31"/>
        <v>5106931</v>
      </c>
      <c r="H43" s="1996">
        <f t="shared" si="31"/>
        <v>9600000</v>
      </c>
      <c r="I43" s="1996">
        <f t="shared" si="31"/>
        <v>5657500</v>
      </c>
      <c r="J43" s="1996">
        <f t="shared" si="31"/>
        <v>3566880</v>
      </c>
      <c r="K43" s="1996">
        <f t="shared" si="31"/>
        <v>1472245</v>
      </c>
      <c r="L43" s="1996"/>
      <c r="M43" s="1966">
        <f>+M45</f>
        <v>26326625</v>
      </c>
      <c r="N43" s="1966">
        <f>+N45</f>
        <v>25403556</v>
      </c>
      <c r="O43" s="3326"/>
    </row>
    <row r="44" spans="1:15" s="331" customFormat="1" ht="12" hidden="1" customHeight="1">
      <c r="A44" s="3324"/>
      <c r="B44" s="2203" t="s">
        <v>32</v>
      </c>
      <c r="C44" s="3336"/>
      <c r="D44" s="1926">
        <f>E44+F44+G44+H44+I44+J44+K44+L44</f>
        <v>0</v>
      </c>
      <c r="E44" s="1977"/>
      <c r="F44" s="2204">
        <v>0</v>
      </c>
      <c r="G44" s="2204">
        <v>0</v>
      </c>
      <c r="H44" s="2204">
        <v>0</v>
      </c>
      <c r="I44" s="2204">
        <v>0</v>
      </c>
      <c r="J44" s="771"/>
      <c r="K44" s="771"/>
      <c r="L44" s="771"/>
      <c r="M44" s="607" t="s">
        <v>61</v>
      </c>
      <c r="N44" s="607" t="s">
        <v>61</v>
      </c>
      <c r="O44" s="3326"/>
    </row>
    <row r="45" spans="1:15" s="331" customFormat="1" ht="12">
      <c r="A45" s="3324"/>
      <c r="B45" s="2205" t="s">
        <v>122</v>
      </c>
      <c r="C45" s="3337"/>
      <c r="D45" s="1926">
        <f>E45+F45+G45+H45+I45+J45+K45+L45</f>
        <v>26680466</v>
      </c>
      <c r="E45" s="1977">
        <v>353841</v>
      </c>
      <c r="F45" s="2206">
        <f>3000000-2076931</f>
        <v>923069</v>
      </c>
      <c r="G45" s="2206">
        <f>3030000+2076931</f>
        <v>5106931</v>
      </c>
      <c r="H45" s="2206">
        <v>9600000</v>
      </c>
      <c r="I45" s="2206">
        <v>5657500</v>
      </c>
      <c r="J45" s="2206">
        <v>3566880</v>
      </c>
      <c r="K45" s="2206">
        <f>1467579+4666</f>
        <v>1472245</v>
      </c>
      <c r="L45" s="2206"/>
      <c r="M45" s="2207">
        <f>SUM(F45:L45)</f>
        <v>26326625</v>
      </c>
      <c r="N45" s="2207">
        <f>SUM(G45:L45)</f>
        <v>25403556</v>
      </c>
      <c r="O45" s="3326"/>
    </row>
    <row r="46" spans="1:15" s="385" customFormat="1" ht="12">
      <c r="A46" s="3324"/>
      <c r="B46" s="2208" t="s">
        <v>18</v>
      </c>
      <c r="C46" s="3348" t="s">
        <v>23</v>
      </c>
      <c r="D46" s="2154">
        <f>+D47</f>
        <v>60200000</v>
      </c>
      <c r="E46" s="2154">
        <f t="shared" ref="E46:N46" si="32">+E47</f>
        <v>0</v>
      </c>
      <c r="F46" s="2154">
        <f t="shared" si="32"/>
        <v>0</v>
      </c>
      <c r="G46" s="2154">
        <f t="shared" si="32"/>
        <v>9265000</v>
      </c>
      <c r="H46" s="2154">
        <f t="shared" si="32"/>
        <v>20400000</v>
      </c>
      <c r="I46" s="2154">
        <f t="shared" si="32"/>
        <v>11942500</v>
      </c>
      <c r="J46" s="2154">
        <f t="shared" si="32"/>
        <v>8500000</v>
      </c>
      <c r="K46" s="2154">
        <f t="shared" si="32"/>
        <v>10092500</v>
      </c>
      <c r="L46" s="1498"/>
      <c r="M46" s="1499" t="str">
        <f t="shared" si="32"/>
        <v>x</v>
      </c>
      <c r="N46" s="1499" t="str">
        <f t="shared" si="32"/>
        <v>x</v>
      </c>
      <c r="O46" s="3326"/>
    </row>
    <row r="47" spans="1:15" s="385" customFormat="1" ht="12">
      <c r="A47" s="3324"/>
      <c r="B47" s="2205" t="s">
        <v>35</v>
      </c>
      <c r="C47" s="3330"/>
      <c r="D47" s="1926">
        <f>E47+F47+G47+H47+I47+J47+K47+L47</f>
        <v>60200000</v>
      </c>
      <c r="E47" s="1977">
        <v>0</v>
      </c>
      <c r="F47" s="2209">
        <v>0</v>
      </c>
      <c r="G47" s="2209">
        <v>9265000</v>
      </c>
      <c r="H47" s="2209">
        <v>20400000</v>
      </c>
      <c r="I47" s="2209">
        <v>11942500</v>
      </c>
      <c r="J47" s="772">
        <v>8500000</v>
      </c>
      <c r="K47" s="772">
        <v>10092500</v>
      </c>
      <c r="L47" s="772"/>
      <c r="M47" s="1500" t="s">
        <v>61</v>
      </c>
      <c r="N47" s="1500" t="s">
        <v>61</v>
      </c>
      <c r="O47" s="3326"/>
    </row>
    <row r="48" spans="1:15" s="609" customFormat="1" ht="12">
      <c r="A48" s="3324"/>
      <c r="B48" s="2199" t="s">
        <v>22</v>
      </c>
      <c r="C48" s="2210"/>
      <c r="D48" s="2007">
        <f>D51+D49</f>
        <v>76000729</v>
      </c>
      <c r="E48" s="2007">
        <f t="shared" ref="E48" si="33">E51+E49</f>
        <v>0</v>
      </c>
      <c r="F48" s="2007">
        <f t="shared" ref="F48:G48" si="34">F51+F49</f>
        <v>97440</v>
      </c>
      <c r="G48" s="2007">
        <f t="shared" si="34"/>
        <v>11317560</v>
      </c>
      <c r="H48" s="2007">
        <f>H51+H49</f>
        <v>26400000</v>
      </c>
      <c r="I48" s="2007">
        <f>I51+I49</f>
        <v>15942500</v>
      </c>
      <c r="J48" s="2007">
        <f t="shared" ref="J48:K48" si="35">J51+J49</f>
        <v>10500000</v>
      </c>
      <c r="K48" s="2007">
        <f t="shared" si="35"/>
        <v>11743229</v>
      </c>
      <c r="L48" s="2007"/>
      <c r="M48" s="3339" t="s">
        <v>61</v>
      </c>
      <c r="N48" s="3339" t="s">
        <v>61</v>
      </c>
      <c r="O48" s="3326"/>
    </row>
    <row r="49" spans="1:77" s="609" customFormat="1" ht="12">
      <c r="A49" s="3324"/>
      <c r="B49" s="2211" t="s">
        <v>24</v>
      </c>
      <c r="C49" s="3349" t="s">
        <v>161</v>
      </c>
      <c r="D49" s="2161">
        <f>+D50</f>
        <v>15800729</v>
      </c>
      <c r="E49" s="2161">
        <f t="shared" ref="E49:K49" si="36">+E50</f>
        <v>0</v>
      </c>
      <c r="F49" s="2161">
        <f t="shared" si="36"/>
        <v>97440</v>
      </c>
      <c r="G49" s="2161">
        <f t="shared" si="36"/>
        <v>2052560</v>
      </c>
      <c r="H49" s="2161">
        <f t="shared" si="36"/>
        <v>6000000</v>
      </c>
      <c r="I49" s="2161">
        <f t="shared" si="36"/>
        <v>4000000</v>
      </c>
      <c r="J49" s="2161">
        <f t="shared" si="36"/>
        <v>2000000</v>
      </c>
      <c r="K49" s="2161">
        <f t="shared" si="36"/>
        <v>1650729</v>
      </c>
      <c r="L49" s="2161"/>
      <c r="M49" s="3340"/>
      <c r="N49" s="3340"/>
      <c r="O49" s="3326"/>
    </row>
    <row r="50" spans="1:77" s="609" customFormat="1" ht="12">
      <c r="A50" s="3324"/>
      <c r="B50" s="2205" t="s">
        <v>139</v>
      </c>
      <c r="C50" s="3336"/>
      <c r="D50" s="1926">
        <f>E50+F50+G50+H50+I50+J50+K50+L50</f>
        <v>15800729</v>
      </c>
      <c r="E50" s="1977">
        <v>0</v>
      </c>
      <c r="F50" s="2206">
        <f>350000-252560</f>
        <v>97440</v>
      </c>
      <c r="G50" s="2206">
        <f>1800000+252560</f>
        <v>2052560</v>
      </c>
      <c r="H50" s="2206">
        <v>6000000</v>
      </c>
      <c r="I50" s="2206">
        <v>4000000</v>
      </c>
      <c r="J50" s="2206">
        <v>2000000</v>
      </c>
      <c r="K50" s="2206">
        <v>1650729</v>
      </c>
      <c r="L50" s="2206"/>
      <c r="M50" s="3340"/>
      <c r="N50" s="3340"/>
      <c r="O50" s="3326"/>
      <c r="Q50" s="611">
        <v>10989251</v>
      </c>
    </row>
    <row r="51" spans="1:77" s="385" customFormat="1" ht="13.5" customHeight="1">
      <c r="A51" s="3324"/>
      <c r="B51" s="2208" t="s">
        <v>18</v>
      </c>
      <c r="C51" s="3348" t="s">
        <v>23</v>
      </c>
      <c r="D51" s="2154">
        <f>+D52</f>
        <v>60200000</v>
      </c>
      <c r="E51" s="2154">
        <f t="shared" ref="E51:K51" si="37">+E52</f>
        <v>0</v>
      </c>
      <c r="F51" s="2154">
        <f t="shared" si="37"/>
        <v>0</v>
      </c>
      <c r="G51" s="2154">
        <f t="shared" si="37"/>
        <v>9265000</v>
      </c>
      <c r="H51" s="2154">
        <f t="shared" si="37"/>
        <v>20400000</v>
      </c>
      <c r="I51" s="2154">
        <f t="shared" si="37"/>
        <v>11942500</v>
      </c>
      <c r="J51" s="2154">
        <f t="shared" si="37"/>
        <v>8500000</v>
      </c>
      <c r="K51" s="2154">
        <f t="shared" si="37"/>
        <v>10092500</v>
      </c>
      <c r="L51" s="2154"/>
      <c r="M51" s="3340"/>
      <c r="N51" s="3340"/>
      <c r="O51" s="3326"/>
    </row>
    <row r="52" spans="1:77" s="385" customFormat="1" ht="13.5" customHeight="1" thickBot="1">
      <c r="A52" s="3333"/>
      <c r="B52" s="2221" t="s">
        <v>35</v>
      </c>
      <c r="C52" s="3342"/>
      <c r="D52" s="2222">
        <f>E52+F52+G52+H52+I52+J52+K52+L52</f>
        <v>60200000</v>
      </c>
      <c r="E52" s="2402">
        <v>0</v>
      </c>
      <c r="F52" s="2224">
        <v>0</v>
      </c>
      <c r="G52" s="2224">
        <v>9265000</v>
      </c>
      <c r="H52" s="2224">
        <v>20400000</v>
      </c>
      <c r="I52" s="2224">
        <v>11942500</v>
      </c>
      <c r="J52" s="2224">
        <v>8500000</v>
      </c>
      <c r="K52" s="2224">
        <v>10092500</v>
      </c>
      <c r="L52" s="2224"/>
      <c r="M52" s="3341"/>
      <c r="N52" s="3341"/>
      <c r="O52" s="3334"/>
    </row>
    <row r="53" spans="1:77" s="331" customFormat="1" ht="27" hidden="1" customHeight="1">
      <c r="A53" s="3323" t="s">
        <v>65</v>
      </c>
      <c r="B53" s="603"/>
      <c r="C53" s="604" t="s">
        <v>81</v>
      </c>
      <c r="D53" s="613"/>
      <c r="E53" s="614"/>
      <c r="F53" s="614"/>
      <c r="G53" s="614"/>
      <c r="H53" s="615"/>
      <c r="I53" s="615"/>
      <c r="J53" s="615"/>
      <c r="K53" s="615"/>
      <c r="L53" s="615"/>
      <c r="M53" s="616"/>
      <c r="N53" s="616"/>
      <c r="O53" s="3325" t="s">
        <v>162</v>
      </c>
      <c r="BY53" s="602"/>
    </row>
    <row r="54" spans="1:77" s="331" customFormat="1" ht="14.25" hidden="1" customHeight="1">
      <c r="A54" s="3324"/>
      <c r="B54" s="554" t="s">
        <v>10</v>
      </c>
      <c r="C54" s="605"/>
      <c r="D54" s="592"/>
      <c r="E54" s="592">
        <v>0</v>
      </c>
      <c r="F54" s="592">
        <f t="shared" ref="F54:I54" si="38">+F55+F58</f>
        <v>0</v>
      </c>
      <c r="G54" s="592">
        <f t="shared" si="38"/>
        <v>0</v>
      </c>
      <c r="H54" s="592">
        <f t="shared" si="38"/>
        <v>0</v>
      </c>
      <c r="I54" s="592">
        <f t="shared" si="38"/>
        <v>0</v>
      </c>
      <c r="J54" s="592"/>
      <c r="K54" s="592"/>
      <c r="L54" s="592"/>
      <c r="M54" s="595">
        <f>+M55</f>
        <v>0</v>
      </c>
      <c r="N54" s="595">
        <f>+N55</f>
        <v>0</v>
      </c>
      <c r="O54" s="3326"/>
    </row>
    <row r="55" spans="1:77" s="331" customFormat="1" ht="14.25" hidden="1" customHeight="1">
      <c r="A55" s="3324"/>
      <c r="B55" s="610" t="s">
        <v>24</v>
      </c>
      <c r="C55" s="3331" t="s">
        <v>163</v>
      </c>
      <c r="D55" s="544"/>
      <c r="E55" s="544">
        <v>0</v>
      </c>
      <c r="F55" s="544">
        <f t="shared" ref="F55:G55" si="39">F56+F57</f>
        <v>0</v>
      </c>
      <c r="G55" s="544">
        <f t="shared" si="39"/>
        <v>0</v>
      </c>
      <c r="H55" s="544">
        <f>H56+H57</f>
        <v>0</v>
      </c>
      <c r="I55" s="544">
        <f>I56+I57</f>
        <v>0</v>
      </c>
      <c r="J55" s="544"/>
      <c r="K55" s="544"/>
      <c r="L55" s="544"/>
      <c r="M55" s="597">
        <f>+M56</f>
        <v>0</v>
      </c>
      <c r="N55" s="597">
        <f>+N56</f>
        <v>0</v>
      </c>
      <c r="O55" s="3326"/>
    </row>
    <row r="56" spans="1:77" s="331" customFormat="1" ht="14.25" hidden="1" customHeight="1">
      <c r="A56" s="3324"/>
      <c r="B56" s="608" t="s">
        <v>122</v>
      </c>
      <c r="C56" s="3332"/>
      <c r="D56" s="542"/>
      <c r="E56" s="540"/>
      <c r="F56" s="540">
        <v>0</v>
      </c>
      <c r="G56" s="540">
        <v>0</v>
      </c>
      <c r="H56" s="540">
        <v>0</v>
      </c>
      <c r="I56" s="540">
        <v>0</v>
      </c>
      <c r="J56" s="540"/>
      <c r="K56" s="540"/>
      <c r="L56" s="540"/>
      <c r="M56" s="590">
        <f>SUM(E56:H56)</f>
        <v>0</v>
      </c>
      <c r="N56" s="590">
        <f>SUM(F56:I56)</f>
        <v>0</v>
      </c>
      <c r="O56" s="3326"/>
    </row>
    <row r="57" spans="1:77" s="331" customFormat="1" ht="14.25" hidden="1" customHeight="1">
      <c r="A57" s="3324"/>
      <c r="B57" s="617" t="s">
        <v>32</v>
      </c>
      <c r="C57" s="3329" t="s">
        <v>23</v>
      </c>
      <c r="D57" s="542"/>
      <c r="E57" s="540"/>
      <c r="F57" s="464"/>
      <c r="G57" s="464">
        <v>0</v>
      </c>
      <c r="H57" s="464">
        <v>0</v>
      </c>
      <c r="I57" s="464">
        <v>0</v>
      </c>
      <c r="J57" s="464"/>
      <c r="K57" s="464"/>
      <c r="L57" s="464"/>
      <c r="M57" s="618" t="s">
        <v>61</v>
      </c>
      <c r="N57" s="618" t="s">
        <v>61</v>
      </c>
      <c r="O57" s="3326"/>
    </row>
    <row r="58" spans="1:77" s="331" customFormat="1" ht="14.25" hidden="1" customHeight="1">
      <c r="A58" s="3324"/>
      <c r="B58" s="619" t="s">
        <v>18</v>
      </c>
      <c r="C58" s="3369"/>
      <c r="D58" s="600"/>
      <c r="E58" s="600">
        <v>0</v>
      </c>
      <c r="F58" s="600">
        <f t="shared" ref="F58:N58" si="40">+F59</f>
        <v>0</v>
      </c>
      <c r="G58" s="600">
        <f t="shared" si="40"/>
        <v>0</v>
      </c>
      <c r="H58" s="600">
        <f t="shared" si="40"/>
        <v>0</v>
      </c>
      <c r="I58" s="600">
        <f t="shared" si="40"/>
        <v>0</v>
      </c>
      <c r="J58" s="600"/>
      <c r="K58" s="600"/>
      <c r="L58" s="600"/>
      <c r="M58" s="607" t="str">
        <f t="shared" si="40"/>
        <v>x</v>
      </c>
      <c r="N58" s="607" t="str">
        <f t="shared" si="40"/>
        <v>x</v>
      </c>
      <c r="O58" s="3326"/>
    </row>
    <row r="59" spans="1:77" s="331" customFormat="1" ht="14.25" hidden="1" customHeight="1">
      <c r="A59" s="3324"/>
      <c r="B59" s="617" t="s">
        <v>35</v>
      </c>
      <c r="C59" s="3330"/>
      <c r="D59" s="542"/>
      <c r="E59" s="540"/>
      <c r="F59" s="540">
        <v>0</v>
      </c>
      <c r="G59" s="540">
        <v>0</v>
      </c>
      <c r="H59" s="540">
        <v>0</v>
      </c>
      <c r="I59" s="540">
        <v>0</v>
      </c>
      <c r="J59" s="540"/>
      <c r="K59" s="540"/>
      <c r="L59" s="540"/>
      <c r="M59" s="620" t="s">
        <v>61</v>
      </c>
      <c r="N59" s="620" t="s">
        <v>61</v>
      </c>
      <c r="O59" s="3326"/>
    </row>
    <row r="60" spans="1:77" s="602" customFormat="1" ht="14.25" hidden="1" customHeight="1">
      <c r="A60" s="3324"/>
      <c r="B60" s="554" t="s">
        <v>22</v>
      </c>
      <c r="C60" s="605"/>
      <c r="D60" s="592"/>
      <c r="E60" s="592">
        <v>0</v>
      </c>
      <c r="F60" s="592">
        <f>F63+F61</f>
        <v>0</v>
      </c>
      <c r="G60" s="592">
        <f>G63+G61</f>
        <v>0</v>
      </c>
      <c r="H60" s="592">
        <f>H63+H61</f>
        <v>0</v>
      </c>
      <c r="I60" s="592">
        <f>I63+I61</f>
        <v>0</v>
      </c>
      <c r="J60" s="592"/>
      <c r="K60" s="592"/>
      <c r="L60" s="592"/>
      <c r="M60" s="3370" t="s">
        <v>61</v>
      </c>
      <c r="N60" s="3370" t="s">
        <v>61</v>
      </c>
      <c r="O60" s="3326"/>
    </row>
    <row r="61" spans="1:77" s="602" customFormat="1" ht="14.25" hidden="1" customHeight="1">
      <c r="A61" s="3324"/>
      <c r="B61" s="610" t="s">
        <v>24</v>
      </c>
      <c r="C61" s="3331" t="s">
        <v>163</v>
      </c>
      <c r="D61" s="621"/>
      <c r="E61" s="621">
        <v>0</v>
      </c>
      <c r="F61" s="621">
        <f t="shared" ref="F61:I61" si="41">+F62</f>
        <v>0</v>
      </c>
      <c r="G61" s="621">
        <f t="shared" si="41"/>
        <v>0</v>
      </c>
      <c r="H61" s="621">
        <f t="shared" si="41"/>
        <v>0</v>
      </c>
      <c r="I61" s="621">
        <f t="shared" si="41"/>
        <v>0</v>
      </c>
      <c r="J61" s="621"/>
      <c r="K61" s="621"/>
      <c r="L61" s="621"/>
      <c r="M61" s="3371"/>
      <c r="N61" s="3371"/>
      <c r="O61" s="3326"/>
    </row>
    <row r="62" spans="1:77" s="602" customFormat="1" ht="14.25" hidden="1" customHeight="1">
      <c r="A62" s="3324"/>
      <c r="B62" s="617" t="s">
        <v>139</v>
      </c>
      <c r="C62" s="3332"/>
      <c r="D62" s="542"/>
      <c r="E62" s="540"/>
      <c r="F62" s="540">
        <v>0</v>
      </c>
      <c r="G62" s="540">
        <v>0</v>
      </c>
      <c r="H62" s="540">
        <v>0</v>
      </c>
      <c r="I62" s="540">
        <v>0</v>
      </c>
      <c r="J62" s="540"/>
      <c r="K62" s="540"/>
      <c r="L62" s="540"/>
      <c r="M62" s="3371"/>
      <c r="N62" s="3371"/>
      <c r="O62" s="3326"/>
      <c r="Q62" s="622">
        <v>-13525758</v>
      </c>
    </row>
    <row r="63" spans="1:77" s="331" customFormat="1" ht="14.25" hidden="1" customHeight="1">
      <c r="A63" s="3324"/>
      <c r="B63" s="619" t="s">
        <v>18</v>
      </c>
      <c r="C63" s="3329" t="s">
        <v>23</v>
      </c>
      <c r="D63" s="544"/>
      <c r="E63" s="544">
        <v>0</v>
      </c>
      <c r="F63" s="544">
        <f t="shared" ref="F63:I63" si="42">+F64</f>
        <v>0</v>
      </c>
      <c r="G63" s="544">
        <f t="shared" si="42"/>
        <v>0</v>
      </c>
      <c r="H63" s="544">
        <f t="shared" si="42"/>
        <v>0</v>
      </c>
      <c r="I63" s="544">
        <f t="shared" si="42"/>
        <v>0</v>
      </c>
      <c r="J63" s="544"/>
      <c r="K63" s="544"/>
      <c r="L63" s="544"/>
      <c r="M63" s="3371"/>
      <c r="N63" s="3371"/>
      <c r="O63" s="3326"/>
    </row>
    <row r="64" spans="1:77" s="331" customFormat="1" ht="14.25" hidden="1" customHeight="1" thickBot="1">
      <c r="A64" s="3333"/>
      <c r="B64" s="623" t="s">
        <v>35</v>
      </c>
      <c r="C64" s="3342"/>
      <c r="D64" s="612"/>
      <c r="E64" s="598"/>
      <c r="F64" s="598">
        <v>0</v>
      </c>
      <c r="G64" s="598">
        <v>0</v>
      </c>
      <c r="H64" s="598">
        <v>0</v>
      </c>
      <c r="I64" s="598">
        <v>0</v>
      </c>
      <c r="J64" s="598"/>
      <c r="K64" s="598"/>
      <c r="L64" s="598"/>
      <c r="M64" s="3372"/>
      <c r="N64" s="3372"/>
      <c r="O64" s="3334"/>
    </row>
    <row r="65" spans="1:77" s="331" customFormat="1" ht="39" hidden="1" customHeight="1">
      <c r="A65" s="3323" t="s">
        <v>66</v>
      </c>
      <c r="B65" s="603"/>
      <c r="C65" s="604" t="s">
        <v>81</v>
      </c>
      <c r="D65" s="613"/>
      <c r="E65" s="614"/>
      <c r="F65" s="614"/>
      <c r="G65" s="614"/>
      <c r="H65" s="615"/>
      <c r="I65" s="615"/>
      <c r="J65" s="615"/>
      <c r="K65" s="615"/>
      <c r="L65" s="615"/>
      <c r="M65" s="624"/>
      <c r="N65" s="624"/>
      <c r="O65" s="3325" t="s">
        <v>164</v>
      </c>
      <c r="BY65" s="602"/>
    </row>
    <row r="66" spans="1:77" s="331" customFormat="1" ht="13.5" hidden="1" customHeight="1">
      <c r="A66" s="3324"/>
      <c r="B66" s="554" t="s">
        <v>10</v>
      </c>
      <c r="C66" s="605"/>
      <c r="D66" s="592"/>
      <c r="E66" s="592">
        <v>0</v>
      </c>
      <c r="F66" s="592">
        <f t="shared" ref="F66:I66" si="43">+F67+F70</f>
        <v>0</v>
      </c>
      <c r="G66" s="592">
        <f t="shared" si="43"/>
        <v>0</v>
      </c>
      <c r="H66" s="592">
        <f t="shared" si="43"/>
        <v>0</v>
      </c>
      <c r="I66" s="592">
        <f t="shared" si="43"/>
        <v>0</v>
      </c>
      <c r="J66" s="592"/>
      <c r="K66" s="592"/>
      <c r="L66" s="592"/>
      <c r="M66" s="595">
        <f>+M67</f>
        <v>0</v>
      </c>
      <c r="N66" s="595">
        <f>+N67</f>
        <v>0</v>
      </c>
      <c r="O66" s="3326"/>
    </row>
    <row r="67" spans="1:77" s="331" customFormat="1" ht="13.5" hidden="1" customHeight="1">
      <c r="A67" s="3324"/>
      <c r="B67" s="596" t="s">
        <v>24</v>
      </c>
      <c r="C67" s="3331" t="s">
        <v>278</v>
      </c>
      <c r="D67" s="544"/>
      <c r="E67" s="544">
        <v>0</v>
      </c>
      <c r="F67" s="544">
        <f t="shared" ref="F67:G67" si="44">+F68+F69</f>
        <v>0</v>
      </c>
      <c r="G67" s="544">
        <f t="shared" si="44"/>
        <v>0</v>
      </c>
      <c r="H67" s="544">
        <f>+H68+H69</f>
        <v>0</v>
      </c>
      <c r="I67" s="544">
        <f>+I68+I69</f>
        <v>0</v>
      </c>
      <c r="J67" s="544"/>
      <c r="K67" s="544"/>
      <c r="L67" s="544"/>
      <c r="M67" s="625">
        <f>+M68</f>
        <v>0</v>
      </c>
      <c r="N67" s="625">
        <f>+N68</f>
        <v>0</v>
      </c>
      <c r="O67" s="3326"/>
    </row>
    <row r="68" spans="1:77" s="331" customFormat="1" ht="13.5" hidden="1" customHeight="1">
      <c r="A68" s="3324"/>
      <c r="B68" s="626" t="s">
        <v>122</v>
      </c>
      <c r="C68" s="3332"/>
      <c r="D68" s="542"/>
      <c r="E68" s="540"/>
      <c r="F68" s="540">
        <v>0</v>
      </c>
      <c r="G68" s="540">
        <v>0</v>
      </c>
      <c r="H68" s="540">
        <v>0</v>
      </c>
      <c r="I68" s="540">
        <v>0</v>
      </c>
      <c r="J68" s="540"/>
      <c r="K68" s="540"/>
      <c r="L68" s="540"/>
      <c r="M68" s="590">
        <f>SUM(E68:H68)</f>
        <v>0</v>
      </c>
      <c r="N68" s="590">
        <f>SUM(F68:I68)</f>
        <v>0</v>
      </c>
      <c r="O68" s="3326"/>
    </row>
    <row r="69" spans="1:77" s="331" customFormat="1" ht="13.5" hidden="1" customHeight="1">
      <c r="A69" s="3324"/>
      <c r="B69" s="562" t="s">
        <v>32</v>
      </c>
      <c r="C69" s="2558"/>
      <c r="D69" s="542"/>
      <c r="E69" s="540"/>
      <c r="F69" s="540"/>
      <c r="G69" s="540"/>
      <c r="H69" s="540"/>
      <c r="I69" s="540"/>
      <c r="J69" s="540"/>
      <c r="K69" s="540"/>
      <c r="L69" s="540"/>
      <c r="M69" s="591" t="s">
        <v>61</v>
      </c>
      <c r="N69" s="591" t="s">
        <v>61</v>
      </c>
      <c r="O69" s="3326"/>
    </row>
    <row r="70" spans="1:77" s="331" customFormat="1" ht="13.5" hidden="1" customHeight="1">
      <c r="A70" s="3324"/>
      <c r="B70" s="599" t="s">
        <v>18</v>
      </c>
      <c r="C70" s="3329" t="s">
        <v>23</v>
      </c>
      <c r="D70" s="621"/>
      <c r="E70" s="621">
        <v>0</v>
      </c>
      <c r="F70" s="621">
        <f t="shared" ref="F70:N70" si="45">+F71</f>
        <v>0</v>
      </c>
      <c r="G70" s="621">
        <f t="shared" si="45"/>
        <v>0</v>
      </c>
      <c r="H70" s="621">
        <f t="shared" si="45"/>
        <v>0</v>
      </c>
      <c r="I70" s="621">
        <f t="shared" si="45"/>
        <v>0</v>
      </c>
      <c r="J70" s="627"/>
      <c r="K70" s="627"/>
      <c r="L70" s="627"/>
      <c r="M70" s="607" t="str">
        <f t="shared" si="45"/>
        <v>x</v>
      </c>
      <c r="N70" s="607" t="str">
        <f t="shared" si="45"/>
        <v>x</v>
      </c>
      <c r="O70" s="3326"/>
    </row>
    <row r="71" spans="1:77" s="331" customFormat="1" ht="13.5" hidden="1" customHeight="1">
      <c r="A71" s="3324"/>
      <c r="B71" s="628" t="s">
        <v>35</v>
      </c>
      <c r="C71" s="3330"/>
      <c r="D71" s="542"/>
      <c r="E71" s="540"/>
      <c r="F71" s="540">
        <v>0</v>
      </c>
      <c r="G71" s="540">
        <v>0</v>
      </c>
      <c r="H71" s="540">
        <v>0</v>
      </c>
      <c r="I71" s="540">
        <v>0</v>
      </c>
      <c r="J71" s="540"/>
      <c r="K71" s="540"/>
      <c r="L71" s="540"/>
      <c r="M71" s="620" t="s">
        <v>61</v>
      </c>
      <c r="N71" s="620" t="s">
        <v>61</v>
      </c>
      <c r="O71" s="3326"/>
    </row>
    <row r="72" spans="1:77" s="331" customFormat="1" ht="13.5" hidden="1" customHeight="1">
      <c r="A72" s="3324"/>
      <c r="B72" s="554" t="s">
        <v>22</v>
      </c>
      <c r="C72" s="629"/>
      <c r="D72" s="592"/>
      <c r="E72" s="592">
        <v>0</v>
      </c>
      <c r="F72" s="592">
        <f t="shared" ref="F72:G72" si="46">+F73+F75</f>
        <v>0</v>
      </c>
      <c r="G72" s="592">
        <f t="shared" si="46"/>
        <v>0</v>
      </c>
      <c r="H72" s="592">
        <f>+H73+H75</f>
        <v>0</v>
      </c>
      <c r="I72" s="592">
        <f>+I73+I75</f>
        <v>0</v>
      </c>
      <c r="J72" s="592"/>
      <c r="K72" s="592"/>
      <c r="L72" s="592"/>
      <c r="M72" s="3258" t="s">
        <v>61</v>
      </c>
      <c r="N72" s="3258" t="s">
        <v>61</v>
      </c>
      <c r="O72" s="3326"/>
    </row>
    <row r="73" spans="1:77" s="331" customFormat="1" ht="13.5" hidden="1" customHeight="1">
      <c r="A73" s="3324"/>
      <c r="B73" s="596" t="s">
        <v>24</v>
      </c>
      <c r="C73" s="3331" t="s">
        <v>278</v>
      </c>
      <c r="D73" s="621"/>
      <c r="E73" s="544">
        <v>0</v>
      </c>
      <c r="F73" s="544">
        <f t="shared" ref="F73:I73" si="47">+F74</f>
        <v>0</v>
      </c>
      <c r="G73" s="544">
        <f t="shared" si="47"/>
        <v>0</v>
      </c>
      <c r="H73" s="544">
        <f t="shared" si="47"/>
        <v>0</v>
      </c>
      <c r="I73" s="544">
        <f t="shared" si="47"/>
        <v>0</v>
      </c>
      <c r="J73" s="544"/>
      <c r="K73" s="544"/>
      <c r="L73" s="544"/>
      <c r="M73" s="3177"/>
      <c r="N73" s="3177"/>
      <c r="O73" s="3326"/>
    </row>
    <row r="74" spans="1:77" s="331" customFormat="1" ht="13.5" hidden="1" customHeight="1">
      <c r="A74" s="3324"/>
      <c r="B74" s="628" t="s">
        <v>139</v>
      </c>
      <c r="C74" s="3332"/>
      <c r="D74" s="542"/>
      <c r="E74" s="540"/>
      <c r="F74" s="540">
        <v>0</v>
      </c>
      <c r="G74" s="540">
        <v>0</v>
      </c>
      <c r="H74" s="540">
        <v>0</v>
      </c>
      <c r="I74" s="540">
        <v>0</v>
      </c>
      <c r="J74" s="540"/>
      <c r="K74" s="540"/>
      <c r="L74" s="540"/>
      <c r="M74" s="3177"/>
      <c r="N74" s="3177"/>
      <c r="O74" s="3326"/>
    </row>
    <row r="75" spans="1:77" s="331" customFormat="1" ht="13.5" hidden="1" customHeight="1">
      <c r="A75" s="3324"/>
      <c r="B75" s="630" t="s">
        <v>18</v>
      </c>
      <c r="C75" s="3329" t="s">
        <v>23</v>
      </c>
      <c r="D75" s="621"/>
      <c r="E75" s="621">
        <v>0</v>
      </c>
      <c r="F75" s="621">
        <f t="shared" ref="F75:I75" si="48">+F76</f>
        <v>0</v>
      </c>
      <c r="G75" s="621">
        <f t="shared" si="48"/>
        <v>0</v>
      </c>
      <c r="H75" s="621">
        <f t="shared" si="48"/>
        <v>0</v>
      </c>
      <c r="I75" s="621">
        <f t="shared" si="48"/>
        <v>0</v>
      </c>
      <c r="J75" s="621"/>
      <c r="K75" s="621"/>
      <c r="L75" s="621"/>
      <c r="M75" s="3177"/>
      <c r="N75" s="3177"/>
      <c r="O75" s="3326"/>
    </row>
    <row r="76" spans="1:77" s="331" customFormat="1" ht="13.5" hidden="1" customHeight="1" thickBot="1">
      <c r="A76" s="3333"/>
      <c r="B76" s="631" t="s">
        <v>35</v>
      </c>
      <c r="C76" s="3330"/>
      <c r="D76" s="542"/>
      <c r="E76" s="540"/>
      <c r="F76" s="422">
        <v>0</v>
      </c>
      <c r="G76" s="422">
        <v>0</v>
      </c>
      <c r="H76" s="422">
        <v>0</v>
      </c>
      <c r="I76" s="422">
        <v>0</v>
      </c>
      <c r="J76" s="422"/>
      <c r="K76" s="422"/>
      <c r="L76" s="422"/>
      <c r="M76" s="3178"/>
      <c r="N76" s="3178"/>
      <c r="O76" s="3334"/>
    </row>
    <row r="77" spans="1:77" s="331" customFormat="1" ht="27.75" hidden="1" customHeight="1">
      <c r="A77" s="3323" t="s">
        <v>66</v>
      </c>
      <c r="B77" s="603"/>
      <c r="C77" s="604" t="s">
        <v>81</v>
      </c>
      <c r="D77" s="613"/>
      <c r="E77" s="614"/>
      <c r="F77" s="614"/>
      <c r="G77" s="614"/>
      <c r="H77" s="615"/>
      <c r="I77" s="615"/>
      <c r="J77" s="615"/>
      <c r="K77" s="615"/>
      <c r="L77" s="615"/>
      <c r="M77" s="624"/>
      <c r="N77" s="624"/>
      <c r="O77" s="3325" t="s">
        <v>160</v>
      </c>
    </row>
    <row r="78" spans="1:77" s="331" customFormat="1" ht="13.5" hidden="1" customHeight="1">
      <c r="A78" s="3324"/>
      <c r="B78" s="554" t="s">
        <v>10</v>
      </c>
      <c r="C78" s="629"/>
      <c r="D78" s="592"/>
      <c r="E78" s="592">
        <v>0</v>
      </c>
      <c r="F78" s="592">
        <f>+F79+F82</f>
        <v>0</v>
      </c>
      <c r="G78" s="592">
        <f>+G79+G82</f>
        <v>0</v>
      </c>
      <c r="H78" s="592">
        <f>+H79+H82</f>
        <v>0</v>
      </c>
      <c r="I78" s="592">
        <f>+I79+I82</f>
        <v>0</v>
      </c>
      <c r="J78" s="592"/>
      <c r="K78" s="592"/>
      <c r="L78" s="592"/>
      <c r="M78" s="595">
        <f>+M79</f>
        <v>0</v>
      </c>
      <c r="N78" s="595">
        <f>+N79</f>
        <v>0</v>
      </c>
      <c r="O78" s="3326"/>
      <c r="Q78" s="182"/>
    </row>
    <row r="79" spans="1:77" s="331" customFormat="1" ht="13.5" hidden="1" customHeight="1">
      <c r="A79" s="3324"/>
      <c r="B79" s="596" t="s">
        <v>24</v>
      </c>
      <c r="C79" s="3329" t="s">
        <v>23</v>
      </c>
      <c r="D79" s="544"/>
      <c r="E79" s="544">
        <v>0</v>
      </c>
      <c r="F79" s="544">
        <f>F81+F80</f>
        <v>0</v>
      </c>
      <c r="G79" s="544">
        <f>G81+G80</f>
        <v>0</v>
      </c>
      <c r="H79" s="544">
        <f>H81+H80</f>
        <v>0</v>
      </c>
      <c r="I79" s="544">
        <f>I81+I80</f>
        <v>0</v>
      </c>
      <c r="J79" s="544"/>
      <c r="K79" s="544"/>
      <c r="L79" s="544"/>
      <c r="M79" s="597">
        <f>+M81</f>
        <v>0</v>
      </c>
      <c r="N79" s="597">
        <f>+N81</f>
        <v>0</v>
      </c>
      <c r="O79" s="3326"/>
    </row>
    <row r="80" spans="1:77" s="331" customFormat="1" ht="13.5" hidden="1" customHeight="1">
      <c r="A80" s="3324"/>
      <c r="B80" s="626" t="s">
        <v>32</v>
      </c>
      <c r="C80" s="3330"/>
      <c r="D80" s="542"/>
      <c r="E80" s="540"/>
      <c r="F80" s="606">
        <v>0</v>
      </c>
      <c r="G80" s="606">
        <v>0</v>
      </c>
      <c r="H80" s="606">
        <v>0</v>
      </c>
      <c r="I80" s="606">
        <v>0</v>
      </c>
      <c r="J80" s="606"/>
      <c r="K80" s="606"/>
      <c r="L80" s="606"/>
      <c r="M80" s="620" t="s">
        <v>61</v>
      </c>
      <c r="N80" s="620" t="s">
        <v>61</v>
      </c>
      <c r="O80" s="3326"/>
    </row>
    <row r="81" spans="1:17" s="331" customFormat="1" ht="22.5" hidden="1" customHeight="1">
      <c r="A81" s="3324"/>
      <c r="B81" s="632" t="s">
        <v>122</v>
      </c>
      <c r="C81" s="633" t="s">
        <v>161</v>
      </c>
      <c r="D81" s="542"/>
      <c r="E81" s="542">
        <v>0</v>
      </c>
      <c r="F81" s="543">
        <v>0</v>
      </c>
      <c r="G81" s="543">
        <v>0</v>
      </c>
      <c r="H81" s="543">
        <v>0</v>
      </c>
      <c r="I81" s="543">
        <v>0</v>
      </c>
      <c r="J81" s="543"/>
      <c r="K81" s="543"/>
      <c r="L81" s="543"/>
      <c r="M81" s="563">
        <f>SUM(E81:H81)</f>
        <v>0</v>
      </c>
      <c r="N81" s="563">
        <f>SUM(F81:I81)</f>
        <v>0</v>
      </c>
      <c r="O81" s="3326"/>
    </row>
    <row r="82" spans="1:17" s="331" customFormat="1" ht="13.5" hidden="1" customHeight="1">
      <c r="A82" s="3324"/>
      <c r="B82" s="634" t="s">
        <v>18</v>
      </c>
      <c r="C82" s="3329" t="s">
        <v>23</v>
      </c>
      <c r="D82" s="544"/>
      <c r="E82" s="544">
        <v>0</v>
      </c>
      <c r="F82" s="544">
        <f t="shared" ref="F82:N82" si="49">+F83</f>
        <v>0</v>
      </c>
      <c r="G82" s="544">
        <f t="shared" si="49"/>
        <v>0</v>
      </c>
      <c r="H82" s="544">
        <f t="shared" si="49"/>
        <v>0</v>
      </c>
      <c r="I82" s="544">
        <f t="shared" si="49"/>
        <v>0</v>
      </c>
      <c r="J82" s="600"/>
      <c r="K82" s="600"/>
      <c r="L82" s="600"/>
      <c r="M82" s="607" t="str">
        <f t="shared" si="49"/>
        <v>x</v>
      </c>
      <c r="N82" s="607" t="str">
        <f t="shared" si="49"/>
        <v>x</v>
      </c>
      <c r="O82" s="3326"/>
    </row>
    <row r="83" spans="1:17" s="331" customFormat="1" ht="12" hidden="1">
      <c r="A83" s="3324"/>
      <c r="B83" s="626" t="s">
        <v>35</v>
      </c>
      <c r="C83" s="3330"/>
      <c r="D83" s="542"/>
      <c r="E83" s="540"/>
      <c r="F83" s="606">
        <v>0</v>
      </c>
      <c r="G83" s="606">
        <v>0</v>
      </c>
      <c r="H83" s="606">
        <v>0</v>
      </c>
      <c r="I83" s="606">
        <v>0</v>
      </c>
      <c r="J83" s="606"/>
      <c r="K83" s="606"/>
      <c r="L83" s="606"/>
      <c r="M83" s="620" t="s">
        <v>61</v>
      </c>
      <c r="N83" s="620" t="s">
        <v>61</v>
      </c>
      <c r="O83" s="3326"/>
    </row>
    <row r="84" spans="1:17" s="331" customFormat="1" ht="13.5" hidden="1" customHeight="1">
      <c r="A84" s="3324"/>
      <c r="B84" s="554" t="s">
        <v>22</v>
      </c>
      <c r="C84" s="629"/>
      <c r="D84" s="592"/>
      <c r="E84" s="592">
        <v>0</v>
      </c>
      <c r="F84" s="592">
        <f>+F85+F87</f>
        <v>0</v>
      </c>
      <c r="G84" s="592">
        <f>+G85+G87</f>
        <v>0</v>
      </c>
      <c r="H84" s="592">
        <f>+H85+H87</f>
        <v>0</v>
      </c>
      <c r="I84" s="592">
        <f>+I85+I87</f>
        <v>0</v>
      </c>
      <c r="J84" s="592"/>
      <c r="K84" s="592"/>
      <c r="L84" s="592"/>
      <c r="M84" s="3258" t="s">
        <v>61</v>
      </c>
      <c r="N84" s="3258" t="s">
        <v>61</v>
      </c>
      <c r="O84" s="3326"/>
    </row>
    <row r="85" spans="1:17" s="331" customFormat="1" ht="13.5" hidden="1" customHeight="1">
      <c r="A85" s="3324"/>
      <c r="B85" s="596" t="s">
        <v>24</v>
      </c>
      <c r="C85" s="3331" t="s">
        <v>161</v>
      </c>
      <c r="D85" s="635"/>
      <c r="E85" s="635">
        <v>0</v>
      </c>
      <c r="F85" s="635">
        <f t="shared" ref="F85:I85" si="50">+F86</f>
        <v>0</v>
      </c>
      <c r="G85" s="635">
        <f t="shared" si="50"/>
        <v>0</v>
      </c>
      <c r="H85" s="635">
        <f t="shared" si="50"/>
        <v>0</v>
      </c>
      <c r="I85" s="635">
        <f t="shared" si="50"/>
        <v>0</v>
      </c>
      <c r="J85" s="635"/>
      <c r="K85" s="635"/>
      <c r="L85" s="635"/>
      <c r="M85" s="3177"/>
      <c r="N85" s="3177"/>
      <c r="O85" s="3327"/>
    </row>
    <row r="86" spans="1:17" s="331" customFormat="1" ht="13.5" hidden="1" customHeight="1">
      <c r="A86" s="3324"/>
      <c r="B86" s="626" t="s">
        <v>139</v>
      </c>
      <c r="C86" s="3332"/>
      <c r="D86" s="542"/>
      <c r="E86" s="540"/>
      <c r="F86" s="606">
        <v>0</v>
      </c>
      <c r="G86" s="606">
        <v>0</v>
      </c>
      <c r="H86" s="606">
        <v>0</v>
      </c>
      <c r="I86" s="606">
        <v>0</v>
      </c>
      <c r="J86" s="606"/>
      <c r="K86" s="606"/>
      <c r="L86" s="606"/>
      <c r="M86" s="3177"/>
      <c r="N86" s="3177"/>
      <c r="O86" s="3327"/>
      <c r="Q86" s="182">
        <v>-1488145</v>
      </c>
    </row>
    <row r="87" spans="1:17" s="331" customFormat="1" ht="13.5" hidden="1" customHeight="1">
      <c r="A87" s="3324"/>
      <c r="B87" s="626" t="s">
        <v>18</v>
      </c>
      <c r="C87" s="3329" t="s">
        <v>23</v>
      </c>
      <c r="D87" s="544"/>
      <c r="E87" s="544">
        <v>0</v>
      </c>
      <c r="F87" s="544">
        <f t="shared" ref="F87:I87" si="51">+F88</f>
        <v>0</v>
      </c>
      <c r="G87" s="544">
        <f t="shared" si="51"/>
        <v>0</v>
      </c>
      <c r="H87" s="544">
        <f t="shared" si="51"/>
        <v>0</v>
      </c>
      <c r="I87" s="544">
        <f t="shared" si="51"/>
        <v>0</v>
      </c>
      <c r="J87" s="544"/>
      <c r="K87" s="544"/>
      <c r="L87" s="544"/>
      <c r="M87" s="3177"/>
      <c r="N87" s="3177"/>
      <c r="O87" s="3327"/>
    </row>
    <row r="88" spans="1:17" s="331" customFormat="1" ht="13.5" hidden="1" customHeight="1" thickBot="1">
      <c r="A88" s="3148"/>
      <c r="B88" s="601" t="s">
        <v>35</v>
      </c>
      <c r="C88" s="3330"/>
      <c r="D88" s="542"/>
      <c r="E88" s="540">
        <v>0</v>
      </c>
      <c r="F88" s="598">
        <v>0</v>
      </c>
      <c r="G88" s="598">
        <v>0</v>
      </c>
      <c r="H88" s="598">
        <v>0</v>
      </c>
      <c r="I88" s="598">
        <v>0</v>
      </c>
      <c r="J88" s="598"/>
      <c r="K88" s="598"/>
      <c r="L88" s="598"/>
      <c r="M88" s="3178"/>
      <c r="N88" s="3178"/>
      <c r="O88" s="3328"/>
    </row>
    <row r="89" spans="1:17" s="331" customFormat="1" ht="39" hidden="1" customHeight="1">
      <c r="A89" s="3343" t="s">
        <v>67</v>
      </c>
      <c r="B89" s="603" t="s">
        <v>276</v>
      </c>
      <c r="C89" s="604" t="s">
        <v>81</v>
      </c>
      <c r="D89" s="613"/>
      <c r="E89" s="614"/>
      <c r="F89" s="614"/>
      <c r="G89" s="614"/>
      <c r="H89" s="615"/>
      <c r="I89" s="615"/>
      <c r="J89" s="615"/>
      <c r="K89" s="615"/>
      <c r="L89" s="615"/>
      <c r="M89" s="624"/>
      <c r="N89" s="624"/>
      <c r="O89" s="3325" t="s">
        <v>165</v>
      </c>
    </row>
    <row r="90" spans="1:17" s="385" customFormat="1" ht="16.5" hidden="1" customHeight="1">
      <c r="A90" s="3344"/>
      <c r="B90" s="554" t="s">
        <v>10</v>
      </c>
      <c r="C90" s="629"/>
      <c r="D90" s="545"/>
      <c r="E90" s="545">
        <v>0</v>
      </c>
      <c r="F90" s="545">
        <f t="shared" ref="F90:G90" si="52">+F91+F94</f>
        <v>0</v>
      </c>
      <c r="G90" s="545">
        <f t="shared" si="52"/>
        <v>0</v>
      </c>
      <c r="H90" s="545">
        <f>+H91+H94</f>
        <v>0</v>
      </c>
      <c r="I90" s="545">
        <f>+I91+I94</f>
        <v>0</v>
      </c>
      <c r="J90" s="545"/>
      <c r="K90" s="545"/>
      <c r="L90" s="545"/>
      <c r="M90" s="573">
        <f>+M91</f>
        <v>0</v>
      </c>
      <c r="N90" s="573">
        <f>+N91</f>
        <v>0</v>
      </c>
      <c r="O90" s="3326"/>
    </row>
    <row r="91" spans="1:17" s="331" customFormat="1" ht="13.5" hidden="1" customHeight="1">
      <c r="A91" s="3344"/>
      <c r="B91" s="596" t="s">
        <v>24</v>
      </c>
      <c r="C91" s="3346" t="s">
        <v>166</v>
      </c>
      <c r="D91" s="544"/>
      <c r="E91" s="544">
        <v>0</v>
      </c>
      <c r="F91" s="544">
        <f t="shared" ref="F91:I91" si="53">F93</f>
        <v>0</v>
      </c>
      <c r="G91" s="544">
        <f t="shared" si="53"/>
        <v>0</v>
      </c>
      <c r="H91" s="544">
        <f t="shared" si="53"/>
        <v>0</v>
      </c>
      <c r="I91" s="544">
        <f t="shared" si="53"/>
        <v>0</v>
      </c>
      <c r="J91" s="544"/>
      <c r="K91" s="544"/>
      <c r="L91" s="544"/>
      <c r="M91" s="597">
        <f>+M93</f>
        <v>0</v>
      </c>
      <c r="N91" s="597">
        <f>+N93</f>
        <v>0</v>
      </c>
      <c r="O91" s="3326"/>
    </row>
    <row r="92" spans="1:17" s="331" customFormat="1" ht="13.5" hidden="1" customHeight="1">
      <c r="A92" s="3344"/>
      <c r="B92" s="617" t="s">
        <v>32</v>
      </c>
      <c r="C92" s="3336"/>
      <c r="D92" s="542"/>
      <c r="E92" s="540"/>
      <c r="F92" s="544"/>
      <c r="G92" s="544"/>
      <c r="H92" s="544"/>
      <c r="I92" s="544"/>
      <c r="J92" s="544"/>
      <c r="K92" s="544"/>
      <c r="L92" s="544"/>
      <c r="M92" s="597">
        <v>0</v>
      </c>
      <c r="N92" s="597">
        <v>0</v>
      </c>
      <c r="O92" s="3326"/>
    </row>
    <row r="93" spans="1:17" s="331" customFormat="1" ht="13.5" hidden="1" customHeight="1">
      <c r="A93" s="3344"/>
      <c r="B93" s="626" t="s">
        <v>122</v>
      </c>
      <c r="C93" s="3337"/>
      <c r="D93" s="542"/>
      <c r="E93" s="540"/>
      <c r="F93" s="540">
        <v>0</v>
      </c>
      <c r="G93" s="540">
        <v>0</v>
      </c>
      <c r="H93" s="540">
        <v>0</v>
      </c>
      <c r="I93" s="540">
        <v>0</v>
      </c>
      <c r="J93" s="540"/>
      <c r="K93" s="540"/>
      <c r="L93" s="540"/>
      <c r="M93" s="590">
        <f>SUM(E93:H93)</f>
        <v>0</v>
      </c>
      <c r="N93" s="590">
        <f>SUM(F93:I93)</f>
        <v>0</v>
      </c>
      <c r="O93" s="3326"/>
    </row>
    <row r="94" spans="1:17" s="331" customFormat="1" ht="13.5" hidden="1" customHeight="1">
      <c r="A94" s="3344"/>
      <c r="B94" s="634" t="s">
        <v>18</v>
      </c>
      <c r="C94" s="3329" t="s">
        <v>23</v>
      </c>
      <c r="D94" s="544"/>
      <c r="E94" s="544">
        <v>0</v>
      </c>
      <c r="F94" s="544">
        <f t="shared" ref="F94:N94" si="54">+F95</f>
        <v>0</v>
      </c>
      <c r="G94" s="544">
        <f t="shared" si="54"/>
        <v>0</v>
      </c>
      <c r="H94" s="544">
        <f t="shared" si="54"/>
        <v>0</v>
      </c>
      <c r="I94" s="544">
        <f t="shared" si="54"/>
        <v>0</v>
      </c>
      <c r="J94" s="600"/>
      <c r="K94" s="600"/>
      <c r="L94" s="600"/>
      <c r="M94" s="607" t="str">
        <f t="shared" si="54"/>
        <v>x</v>
      </c>
      <c r="N94" s="607" t="str">
        <f t="shared" si="54"/>
        <v>x</v>
      </c>
      <c r="O94" s="3326"/>
    </row>
    <row r="95" spans="1:17" s="331" customFormat="1" ht="13.5" hidden="1" customHeight="1">
      <c r="A95" s="3344"/>
      <c r="B95" s="626" t="s">
        <v>35</v>
      </c>
      <c r="C95" s="3330"/>
      <c r="D95" s="542"/>
      <c r="E95" s="540"/>
      <c r="F95" s="540">
        <v>0</v>
      </c>
      <c r="G95" s="540">
        <v>0</v>
      </c>
      <c r="H95" s="540">
        <v>0</v>
      </c>
      <c r="I95" s="540">
        <v>0</v>
      </c>
      <c r="J95" s="464"/>
      <c r="K95" s="464"/>
      <c r="L95" s="464"/>
      <c r="M95" s="607" t="s">
        <v>61</v>
      </c>
      <c r="N95" s="607" t="s">
        <v>61</v>
      </c>
      <c r="O95" s="3326"/>
    </row>
    <row r="96" spans="1:17" s="385" customFormat="1" ht="16.5" hidden="1" customHeight="1">
      <c r="A96" s="3344"/>
      <c r="B96" s="554" t="s">
        <v>22</v>
      </c>
      <c r="C96" s="629"/>
      <c r="D96" s="545"/>
      <c r="E96" s="545">
        <v>0</v>
      </c>
      <c r="F96" s="545">
        <f t="shared" ref="F96:G96" si="55">F99+F97</f>
        <v>0</v>
      </c>
      <c r="G96" s="545">
        <f t="shared" si="55"/>
        <v>0</v>
      </c>
      <c r="H96" s="545">
        <f>H99+H97</f>
        <v>0</v>
      </c>
      <c r="I96" s="545">
        <f>I99+I97</f>
        <v>0</v>
      </c>
      <c r="J96" s="545"/>
      <c r="K96" s="545"/>
      <c r="L96" s="545"/>
      <c r="M96" s="3258" t="s">
        <v>61</v>
      </c>
      <c r="N96" s="3258" t="s">
        <v>61</v>
      </c>
      <c r="O96" s="3326"/>
    </row>
    <row r="97" spans="1:17" s="331" customFormat="1" ht="13.5" hidden="1" customHeight="1">
      <c r="A97" s="3344"/>
      <c r="B97" s="596" t="s">
        <v>24</v>
      </c>
      <c r="C97" s="3346" t="s">
        <v>166</v>
      </c>
      <c r="D97" s="635"/>
      <c r="E97" s="635">
        <v>0</v>
      </c>
      <c r="F97" s="635">
        <f t="shared" ref="F97:I97" si="56">+F98</f>
        <v>0</v>
      </c>
      <c r="G97" s="635">
        <f t="shared" si="56"/>
        <v>0</v>
      </c>
      <c r="H97" s="635">
        <f t="shared" si="56"/>
        <v>0</v>
      </c>
      <c r="I97" s="635">
        <f t="shared" si="56"/>
        <v>0</v>
      </c>
      <c r="J97" s="635"/>
      <c r="K97" s="635"/>
      <c r="L97" s="635"/>
      <c r="M97" s="3177"/>
      <c r="N97" s="3177"/>
      <c r="O97" s="3327"/>
      <c r="Q97" s="182">
        <v>-4922063</v>
      </c>
    </row>
    <row r="98" spans="1:17" s="331" customFormat="1" ht="13.5" hidden="1" customHeight="1">
      <c r="A98" s="3344"/>
      <c r="B98" s="626" t="s">
        <v>139</v>
      </c>
      <c r="C98" s="3337"/>
      <c r="D98" s="542"/>
      <c r="E98" s="540"/>
      <c r="F98" s="606">
        <v>0</v>
      </c>
      <c r="G98" s="606">
        <v>0</v>
      </c>
      <c r="H98" s="606">
        <v>0</v>
      </c>
      <c r="I98" s="606">
        <v>0</v>
      </c>
      <c r="J98" s="606"/>
      <c r="K98" s="606"/>
      <c r="L98" s="606"/>
      <c r="M98" s="3177"/>
      <c r="N98" s="3177"/>
      <c r="O98" s="3327"/>
    </row>
    <row r="99" spans="1:17" s="331" customFormat="1" ht="13.5" hidden="1" customHeight="1">
      <c r="A99" s="3344"/>
      <c r="B99" s="634" t="s">
        <v>18</v>
      </c>
      <c r="C99" s="3329" t="s">
        <v>23</v>
      </c>
      <c r="D99" s="544"/>
      <c r="E99" s="544">
        <v>0</v>
      </c>
      <c r="F99" s="544">
        <f t="shared" ref="F99:I99" si="57">+F100</f>
        <v>0</v>
      </c>
      <c r="G99" s="544">
        <f t="shared" si="57"/>
        <v>0</v>
      </c>
      <c r="H99" s="544">
        <f t="shared" si="57"/>
        <v>0</v>
      </c>
      <c r="I99" s="544">
        <f t="shared" si="57"/>
        <v>0</v>
      </c>
      <c r="J99" s="544"/>
      <c r="K99" s="544"/>
      <c r="L99" s="544"/>
      <c r="M99" s="3177"/>
      <c r="N99" s="3177"/>
      <c r="O99" s="3327"/>
    </row>
    <row r="100" spans="1:17" s="331" customFormat="1" ht="13.5" hidden="1" customHeight="1" thickBot="1">
      <c r="A100" s="3345"/>
      <c r="B100" s="601" t="s">
        <v>35</v>
      </c>
      <c r="C100" s="3342"/>
      <c r="D100" s="612"/>
      <c r="E100" s="598"/>
      <c r="F100" s="598">
        <v>0</v>
      </c>
      <c r="G100" s="598">
        <v>0</v>
      </c>
      <c r="H100" s="598">
        <v>0</v>
      </c>
      <c r="I100" s="598">
        <v>0</v>
      </c>
      <c r="J100" s="598"/>
      <c r="K100" s="598"/>
      <c r="L100" s="598"/>
      <c r="M100" s="3178"/>
      <c r="N100" s="3178"/>
      <c r="O100" s="3328"/>
    </row>
    <row r="101" spans="1:17" s="331" customFormat="1" ht="29.25" customHeight="1">
      <c r="A101" s="3323" t="s">
        <v>66</v>
      </c>
      <c r="B101" s="603" t="s">
        <v>474</v>
      </c>
      <c r="C101" s="604" t="s">
        <v>81</v>
      </c>
      <c r="D101" s="539"/>
      <c r="E101" s="614"/>
      <c r="F101" s="614"/>
      <c r="G101" s="614"/>
      <c r="H101" s="614"/>
      <c r="I101" s="614"/>
      <c r="J101" s="614"/>
      <c r="K101" s="614"/>
      <c r="L101" s="614"/>
      <c r="M101" s="624"/>
      <c r="N101" s="624"/>
      <c r="O101" s="3325" t="s">
        <v>352</v>
      </c>
    </row>
    <row r="102" spans="1:17" s="331" customFormat="1" ht="13.5" customHeight="1">
      <c r="A102" s="3324"/>
      <c r="B102" s="2199" t="s">
        <v>10</v>
      </c>
      <c r="C102" s="2200"/>
      <c r="D102" s="2012">
        <f>+D103+D106</f>
        <v>3973222</v>
      </c>
      <c r="E102" s="2012">
        <f t="shared" ref="E102" si="58">+E103+E106</f>
        <v>0</v>
      </c>
      <c r="F102" s="2012">
        <f t="shared" ref="F102:G102" si="59">+F103+F106</f>
        <v>34809</v>
      </c>
      <c r="G102" s="2012">
        <f t="shared" si="59"/>
        <v>3938413</v>
      </c>
      <c r="H102" s="2012">
        <f>+H103+H106</f>
        <v>0</v>
      </c>
      <c r="I102" s="2012">
        <f>+I103+I106</f>
        <v>0</v>
      </c>
      <c r="J102" s="2012">
        <f t="shared" ref="J102:K102" si="60">+J103+J106</f>
        <v>0</v>
      </c>
      <c r="K102" s="2012">
        <f t="shared" si="60"/>
        <v>0</v>
      </c>
      <c r="L102" s="2012"/>
      <c r="M102" s="2201">
        <f>+M103</f>
        <v>1202512</v>
      </c>
      <c r="N102" s="2201">
        <f>+N103</f>
        <v>1202512</v>
      </c>
      <c r="O102" s="3326"/>
    </row>
    <row r="103" spans="1:17" s="331" customFormat="1" ht="12">
      <c r="A103" s="3324"/>
      <c r="B103" s="2202" t="s">
        <v>24</v>
      </c>
      <c r="C103" s="3335" t="s">
        <v>351</v>
      </c>
      <c r="D103" s="1996">
        <f>D105+D104</f>
        <v>1232217</v>
      </c>
      <c r="E103" s="1996">
        <f t="shared" ref="E103" si="61">E105+E104</f>
        <v>0</v>
      </c>
      <c r="F103" s="1996">
        <f t="shared" ref="F103:K103" si="62">F105+F104</f>
        <v>12454</v>
      </c>
      <c r="G103" s="1996">
        <f>G105+G104</f>
        <v>1219763</v>
      </c>
      <c r="H103" s="1996">
        <f t="shared" si="62"/>
        <v>0</v>
      </c>
      <c r="I103" s="1996">
        <f t="shared" si="62"/>
        <v>0</v>
      </c>
      <c r="J103" s="1996">
        <f t="shared" si="62"/>
        <v>0</v>
      </c>
      <c r="K103" s="1996">
        <f t="shared" si="62"/>
        <v>0</v>
      </c>
      <c r="L103" s="1996"/>
      <c r="M103" s="1966">
        <f>+M105</f>
        <v>1202512</v>
      </c>
      <c r="N103" s="1966">
        <f>+N105</f>
        <v>1202512</v>
      </c>
      <c r="O103" s="3326"/>
    </row>
    <row r="104" spans="1:17" s="331" customFormat="1" ht="12">
      <c r="A104" s="3324"/>
      <c r="B104" s="2203" t="s">
        <v>32</v>
      </c>
      <c r="C104" s="3336"/>
      <c r="D104" s="1034">
        <f>E104+F104+G104+H104+I104+J104+K104+L104</f>
        <v>29705</v>
      </c>
      <c r="E104" s="1977">
        <v>0</v>
      </c>
      <c r="F104" s="2204">
        <v>12454</v>
      </c>
      <c r="G104" s="2204">
        <v>17251</v>
      </c>
      <c r="H104" s="2204">
        <v>0</v>
      </c>
      <c r="I104" s="2204">
        <v>0</v>
      </c>
      <c r="J104" s="771"/>
      <c r="K104" s="771"/>
      <c r="L104" s="771"/>
      <c r="M104" s="607" t="s">
        <v>61</v>
      </c>
      <c r="N104" s="607" t="s">
        <v>61</v>
      </c>
      <c r="O104" s="3326"/>
    </row>
    <row r="105" spans="1:17" s="331" customFormat="1" ht="12">
      <c r="A105" s="3324"/>
      <c r="B105" s="2205" t="s">
        <v>122</v>
      </c>
      <c r="C105" s="3337"/>
      <c r="D105" s="1034">
        <f>E105+F105+G105+H105+I105+J105+K105+L105</f>
        <v>1202512</v>
      </c>
      <c r="E105" s="1977">
        <v>0</v>
      </c>
      <c r="F105" s="2206">
        <f>62454-62454</f>
        <v>0</v>
      </c>
      <c r="G105" s="2206">
        <f>1469763-267251</f>
        <v>1202512</v>
      </c>
      <c r="H105" s="2206"/>
      <c r="I105" s="2206"/>
      <c r="J105" s="2206"/>
      <c r="K105" s="2206"/>
      <c r="L105" s="2206"/>
      <c r="M105" s="2207">
        <f>SUM(F105:K105)</f>
        <v>1202512</v>
      </c>
      <c r="N105" s="2207">
        <f>SUM(G105:L105)</f>
        <v>1202512</v>
      </c>
      <c r="O105" s="3326"/>
    </row>
    <row r="106" spans="1:17" s="331" customFormat="1" ht="13.5" customHeight="1">
      <c r="A106" s="3324"/>
      <c r="B106" s="2208" t="s">
        <v>18</v>
      </c>
      <c r="C106" s="3338" t="s">
        <v>23</v>
      </c>
      <c r="D106" s="2154">
        <f>+D107</f>
        <v>2741005</v>
      </c>
      <c r="E106" s="2154">
        <f t="shared" ref="E106:N106" si="63">+E107</f>
        <v>0</v>
      </c>
      <c r="F106" s="2154">
        <f t="shared" si="63"/>
        <v>22355</v>
      </c>
      <c r="G106" s="2154">
        <f t="shared" si="63"/>
        <v>2718650</v>
      </c>
      <c r="H106" s="2154">
        <f t="shared" si="63"/>
        <v>0</v>
      </c>
      <c r="I106" s="2154">
        <f t="shared" si="63"/>
        <v>0</v>
      </c>
      <c r="J106" s="2154">
        <f t="shared" si="63"/>
        <v>0</v>
      </c>
      <c r="K106" s="2154">
        <f t="shared" si="63"/>
        <v>0</v>
      </c>
      <c r="L106" s="1498"/>
      <c r="M106" s="1499" t="str">
        <f t="shared" si="63"/>
        <v>x</v>
      </c>
      <c r="N106" s="1499" t="str">
        <f t="shared" si="63"/>
        <v>x</v>
      </c>
      <c r="O106" s="3326"/>
    </row>
    <row r="107" spans="1:17" s="331" customFormat="1" ht="12">
      <c r="A107" s="3324"/>
      <c r="B107" s="2205" t="s">
        <v>35</v>
      </c>
      <c r="C107" s="3330"/>
      <c r="D107" s="1034">
        <f>E107+F107+G107+H107+I107+J107+K107+L107</f>
        <v>2741005</v>
      </c>
      <c r="E107" s="1977">
        <v>0</v>
      </c>
      <c r="F107" s="2209">
        <v>22355</v>
      </c>
      <c r="G107" s="2209">
        <v>2718650</v>
      </c>
      <c r="H107" s="2209"/>
      <c r="I107" s="2209"/>
      <c r="J107" s="772"/>
      <c r="K107" s="772"/>
      <c r="L107" s="772"/>
      <c r="M107" s="1500" t="s">
        <v>61</v>
      </c>
      <c r="N107" s="1500" t="s">
        <v>61</v>
      </c>
      <c r="O107" s="3326"/>
    </row>
    <row r="108" spans="1:17" s="331" customFormat="1" ht="13.5" customHeight="1">
      <c r="A108" s="3324"/>
      <c r="B108" s="2199" t="s">
        <v>22</v>
      </c>
      <c r="C108" s="2210"/>
      <c r="D108" s="2007">
        <f>D111+D109</f>
        <v>2741005</v>
      </c>
      <c r="E108" s="2007">
        <f t="shared" ref="E108" si="64">E111+E109</f>
        <v>0</v>
      </c>
      <c r="F108" s="2007">
        <f t="shared" ref="F108:G108" si="65">F111+F109</f>
        <v>22355</v>
      </c>
      <c r="G108" s="2007">
        <f t="shared" si="65"/>
        <v>2718650</v>
      </c>
      <c r="H108" s="2007">
        <f>H111+H109</f>
        <v>0</v>
      </c>
      <c r="I108" s="2007">
        <f>I111+I109</f>
        <v>0</v>
      </c>
      <c r="J108" s="2007">
        <f t="shared" ref="J108:K108" si="66">J111+J109</f>
        <v>0</v>
      </c>
      <c r="K108" s="2007">
        <f t="shared" si="66"/>
        <v>0</v>
      </c>
      <c r="L108" s="2007"/>
      <c r="M108" s="3339" t="s">
        <v>61</v>
      </c>
      <c r="N108" s="3339" t="s">
        <v>61</v>
      </c>
      <c r="O108" s="3326"/>
    </row>
    <row r="109" spans="1:17" s="331" customFormat="1" ht="13.5" hidden="1" customHeight="1">
      <c r="A109" s="3324"/>
      <c r="B109" s="2211" t="s">
        <v>24</v>
      </c>
      <c r="C109" s="3335" t="s">
        <v>351</v>
      </c>
      <c r="D109" s="2161">
        <f>+D110</f>
        <v>0</v>
      </c>
      <c r="E109" s="2161">
        <f t="shared" ref="E109:K109" si="67">+E110</f>
        <v>0</v>
      </c>
      <c r="F109" s="2161">
        <f t="shared" si="67"/>
        <v>0</v>
      </c>
      <c r="G109" s="2161">
        <f t="shared" si="67"/>
        <v>0</v>
      </c>
      <c r="H109" s="2161">
        <f t="shared" si="67"/>
        <v>0</v>
      </c>
      <c r="I109" s="2161">
        <f t="shared" si="67"/>
        <v>0</v>
      </c>
      <c r="J109" s="2161">
        <f t="shared" si="67"/>
        <v>0</v>
      </c>
      <c r="K109" s="2161">
        <f t="shared" si="67"/>
        <v>0</v>
      </c>
      <c r="L109" s="2161"/>
      <c r="M109" s="3340"/>
      <c r="N109" s="3340"/>
      <c r="O109" s="3326"/>
    </row>
    <row r="110" spans="1:17" s="331" customFormat="1" ht="12" hidden="1">
      <c r="A110" s="3324"/>
      <c r="B110" s="2205" t="s">
        <v>139</v>
      </c>
      <c r="C110" s="3336"/>
      <c r="D110" s="1034">
        <f>E110+F110+G110+H110+I110+J110+K110+L110</f>
        <v>0</v>
      </c>
      <c r="E110" s="2206"/>
      <c r="F110" s="2206"/>
      <c r="G110" s="2206"/>
      <c r="H110" s="2206"/>
      <c r="I110" s="2206"/>
      <c r="J110" s="2206"/>
      <c r="K110" s="2206"/>
      <c r="L110" s="2206"/>
      <c r="M110" s="3340"/>
      <c r="N110" s="3340"/>
      <c r="O110" s="3326"/>
    </row>
    <row r="111" spans="1:17" s="331" customFormat="1" ht="13.5" customHeight="1">
      <c r="A111" s="3324"/>
      <c r="B111" s="2208" t="s">
        <v>18</v>
      </c>
      <c r="C111" s="3338" t="s">
        <v>23</v>
      </c>
      <c r="D111" s="2154">
        <f>+D112</f>
        <v>2741005</v>
      </c>
      <c r="E111" s="2154">
        <f t="shared" ref="E111:K111" si="68">+E112</f>
        <v>0</v>
      </c>
      <c r="F111" s="2154">
        <f t="shared" si="68"/>
        <v>22355</v>
      </c>
      <c r="G111" s="2154">
        <f t="shared" si="68"/>
        <v>2718650</v>
      </c>
      <c r="H111" s="2154">
        <f t="shared" si="68"/>
        <v>0</v>
      </c>
      <c r="I111" s="2154">
        <f t="shared" si="68"/>
        <v>0</v>
      </c>
      <c r="J111" s="2154">
        <f t="shared" si="68"/>
        <v>0</v>
      </c>
      <c r="K111" s="2154">
        <f t="shared" si="68"/>
        <v>0</v>
      </c>
      <c r="L111" s="2154"/>
      <c r="M111" s="3340"/>
      <c r="N111" s="3340"/>
      <c r="O111" s="3326"/>
    </row>
    <row r="112" spans="1:17" s="331" customFormat="1" ht="12.75" thickBot="1">
      <c r="A112" s="3333"/>
      <c r="B112" s="623" t="s">
        <v>35</v>
      </c>
      <c r="C112" s="3342"/>
      <c r="D112" s="1034">
        <f>E112+F112+G112+H112+I112+J112+K112+L112</f>
        <v>2741005</v>
      </c>
      <c r="E112" s="1977">
        <v>0</v>
      </c>
      <c r="F112" s="612">
        <v>22355</v>
      </c>
      <c r="G112" s="612">
        <v>2718650</v>
      </c>
      <c r="H112" s="612"/>
      <c r="I112" s="612"/>
      <c r="J112" s="612"/>
      <c r="K112" s="612"/>
      <c r="L112" s="612"/>
      <c r="M112" s="3341"/>
      <c r="N112" s="3341"/>
      <c r="O112" s="3334"/>
    </row>
    <row r="113" spans="1:15" s="331" customFormat="1" ht="30" customHeight="1">
      <c r="A113" s="3323" t="s">
        <v>67</v>
      </c>
      <c r="B113" s="603" t="s">
        <v>409</v>
      </c>
      <c r="C113" s="604" t="s">
        <v>81</v>
      </c>
      <c r="D113" s="539"/>
      <c r="E113" s="614"/>
      <c r="F113" s="614"/>
      <c r="G113" s="614"/>
      <c r="H113" s="614"/>
      <c r="I113" s="614"/>
      <c r="J113" s="614"/>
      <c r="K113" s="614"/>
      <c r="L113" s="614"/>
      <c r="M113" s="624"/>
      <c r="N113" s="624"/>
      <c r="O113" s="3325" t="s">
        <v>352</v>
      </c>
    </row>
    <row r="114" spans="1:15" s="331" customFormat="1" ht="12">
      <c r="A114" s="3324"/>
      <c r="B114" s="2199" t="s">
        <v>10</v>
      </c>
      <c r="C114" s="2200"/>
      <c r="D114" s="2012">
        <f>+D115+D118</f>
        <v>300000</v>
      </c>
      <c r="E114" s="2012">
        <f t="shared" ref="E114" si="69">+E115+E118</f>
        <v>0</v>
      </c>
      <c r="F114" s="2012">
        <f t="shared" ref="F114:G114" si="70">+F115+F118</f>
        <v>50000</v>
      </c>
      <c r="G114" s="2012">
        <f t="shared" si="70"/>
        <v>250000</v>
      </c>
      <c r="H114" s="2012">
        <f>+H115+H118</f>
        <v>0</v>
      </c>
      <c r="I114" s="2012">
        <f>+I115+I118</f>
        <v>0</v>
      </c>
      <c r="J114" s="2012">
        <f t="shared" ref="J114:K114" si="71">+J115+J118</f>
        <v>0</v>
      </c>
      <c r="K114" s="2012">
        <f t="shared" si="71"/>
        <v>0</v>
      </c>
      <c r="L114" s="2012"/>
      <c r="M114" s="2201">
        <f>+M115</f>
        <v>300000</v>
      </c>
      <c r="N114" s="2201">
        <f>+N115</f>
        <v>250000</v>
      </c>
      <c r="O114" s="3326"/>
    </row>
    <row r="115" spans="1:15" s="331" customFormat="1" ht="12">
      <c r="A115" s="3324"/>
      <c r="B115" s="2202" t="s">
        <v>24</v>
      </c>
      <c r="C115" s="3335" t="s">
        <v>351</v>
      </c>
      <c r="D115" s="1996">
        <f>D117+D116</f>
        <v>300000</v>
      </c>
      <c r="E115" s="1996">
        <f t="shared" ref="E115" si="72">E117+E116</f>
        <v>0</v>
      </c>
      <c r="F115" s="1996">
        <f t="shared" ref="F115:K115" si="73">F117+F116</f>
        <v>50000</v>
      </c>
      <c r="G115" s="1996">
        <f t="shared" si="73"/>
        <v>250000</v>
      </c>
      <c r="H115" s="1996">
        <f t="shared" si="73"/>
        <v>0</v>
      </c>
      <c r="I115" s="1996">
        <f t="shared" si="73"/>
        <v>0</v>
      </c>
      <c r="J115" s="1996">
        <f t="shared" si="73"/>
        <v>0</v>
      </c>
      <c r="K115" s="1996">
        <f t="shared" si="73"/>
        <v>0</v>
      </c>
      <c r="L115" s="1996"/>
      <c r="M115" s="1966">
        <f>+M117</f>
        <v>300000</v>
      </c>
      <c r="N115" s="1966">
        <f>+N117</f>
        <v>250000</v>
      </c>
      <c r="O115" s="3326"/>
    </row>
    <row r="116" spans="1:15" s="331" customFormat="1" ht="13.5" hidden="1" customHeight="1">
      <c r="A116" s="3324"/>
      <c r="B116" s="2203" t="s">
        <v>32</v>
      </c>
      <c r="C116" s="3336"/>
      <c r="D116" s="1034">
        <f>E116+F116+G116+H116+I116+J116+K116+L116</f>
        <v>0</v>
      </c>
      <c r="E116" s="2142"/>
      <c r="F116" s="2204">
        <v>0</v>
      </c>
      <c r="G116" s="2204">
        <v>0</v>
      </c>
      <c r="H116" s="2204">
        <v>0</v>
      </c>
      <c r="I116" s="2204">
        <v>0</v>
      </c>
      <c r="J116" s="771"/>
      <c r="K116" s="771"/>
      <c r="L116" s="771"/>
      <c r="M116" s="607" t="s">
        <v>61</v>
      </c>
      <c r="N116" s="607" t="s">
        <v>61</v>
      </c>
      <c r="O116" s="3326"/>
    </row>
    <row r="117" spans="1:15" s="331" customFormat="1" ht="13.5" customHeight="1" thickBot="1">
      <c r="A117" s="3324"/>
      <c r="B117" s="2205" t="s">
        <v>122</v>
      </c>
      <c r="C117" s="3337"/>
      <c r="D117" s="1034">
        <f>E117+F117+G117+H117+I117+J117+K117+L117</f>
        <v>300000</v>
      </c>
      <c r="E117" s="2402">
        <v>0</v>
      </c>
      <c r="F117" s="2471">
        <v>50000</v>
      </c>
      <c r="G117" s="2471">
        <v>250000</v>
      </c>
      <c r="H117" s="2471"/>
      <c r="I117" s="2471"/>
      <c r="J117" s="2471"/>
      <c r="K117" s="2471"/>
      <c r="L117" s="2471"/>
      <c r="M117" s="2472">
        <f>SUM(F117:K117)</f>
        <v>300000</v>
      </c>
      <c r="N117" s="2207">
        <f>SUM(G117:L117)</f>
        <v>250000</v>
      </c>
      <c r="O117" s="3326"/>
    </row>
    <row r="118" spans="1:15" s="331" customFormat="1" ht="13.5" hidden="1" customHeight="1">
      <c r="A118" s="3324"/>
      <c r="B118" s="2208" t="s">
        <v>18</v>
      </c>
      <c r="C118" s="3338" t="s">
        <v>23</v>
      </c>
      <c r="D118" s="2154">
        <f>+D119</f>
        <v>0</v>
      </c>
      <c r="E118" s="1542">
        <f t="shared" ref="E118:N118" si="74">+E119</f>
        <v>0</v>
      </c>
      <c r="F118" s="1498">
        <f t="shared" si="74"/>
        <v>0</v>
      </c>
      <c r="G118" s="1498">
        <f t="shared" si="74"/>
        <v>0</v>
      </c>
      <c r="H118" s="1498">
        <f t="shared" si="74"/>
        <v>0</v>
      </c>
      <c r="I118" s="1498">
        <f t="shared" si="74"/>
        <v>0</v>
      </c>
      <c r="J118" s="1498">
        <f t="shared" si="74"/>
        <v>0</v>
      </c>
      <c r="K118" s="1498">
        <f t="shared" si="74"/>
        <v>0</v>
      </c>
      <c r="L118" s="1498"/>
      <c r="M118" s="1499" t="str">
        <f t="shared" si="74"/>
        <v>x</v>
      </c>
      <c r="N118" s="1499" t="str">
        <f t="shared" si="74"/>
        <v>x</v>
      </c>
      <c r="O118" s="3326"/>
    </row>
    <row r="119" spans="1:15" s="331" customFormat="1" ht="13.5" hidden="1" customHeight="1">
      <c r="A119" s="3324"/>
      <c r="B119" s="2205" t="s">
        <v>35</v>
      </c>
      <c r="C119" s="3330"/>
      <c r="D119" s="1034">
        <f>E119+F119+G119+H119+I119+J119+K119+L119</f>
        <v>0</v>
      </c>
      <c r="E119" s="1544"/>
      <c r="F119" s="1879">
        <v>0</v>
      </c>
      <c r="G119" s="1879">
        <v>0</v>
      </c>
      <c r="H119" s="1879"/>
      <c r="I119" s="1879"/>
      <c r="J119" s="772"/>
      <c r="K119" s="772"/>
      <c r="L119" s="772"/>
      <c r="M119" s="1500" t="s">
        <v>61</v>
      </c>
      <c r="N119" s="1500" t="s">
        <v>61</v>
      </c>
      <c r="O119" s="3326"/>
    </row>
    <row r="120" spans="1:15" s="331" customFormat="1" ht="13.5" hidden="1" customHeight="1">
      <c r="A120" s="3324"/>
      <c r="B120" s="2212" t="s">
        <v>22</v>
      </c>
      <c r="C120" s="2213"/>
      <c r="D120" s="2214">
        <f>D123+D121</f>
        <v>0</v>
      </c>
      <c r="E120" s="1543">
        <f>E123+E121</f>
        <v>0</v>
      </c>
      <c r="F120" s="2214">
        <f t="shared" ref="F120:G120" si="75">F123+F121</f>
        <v>0</v>
      </c>
      <c r="G120" s="2214">
        <f t="shared" si="75"/>
        <v>0</v>
      </c>
      <c r="H120" s="2214">
        <f>H123+H121</f>
        <v>0</v>
      </c>
      <c r="I120" s="2214">
        <f>I123+I121</f>
        <v>0</v>
      </c>
      <c r="J120" s="2214">
        <f t="shared" ref="J120:K120" si="76">J123+J121</f>
        <v>0</v>
      </c>
      <c r="K120" s="2214">
        <f t="shared" si="76"/>
        <v>0</v>
      </c>
      <c r="L120" s="2214"/>
      <c r="M120" s="3339" t="s">
        <v>61</v>
      </c>
      <c r="N120" s="3339" t="s">
        <v>61</v>
      </c>
      <c r="O120" s="3326"/>
    </row>
    <row r="121" spans="1:15" s="331" customFormat="1" ht="13.5" hidden="1" customHeight="1">
      <c r="A121" s="3324"/>
      <c r="B121" s="2215" t="s">
        <v>24</v>
      </c>
      <c r="C121" s="3335" t="s">
        <v>351</v>
      </c>
      <c r="D121" s="1878">
        <f>+D122</f>
        <v>0</v>
      </c>
      <c r="E121" s="2216">
        <f t="shared" ref="E121:K121" si="77">+E122</f>
        <v>0</v>
      </c>
      <c r="F121" s="1878">
        <f t="shared" si="77"/>
        <v>0</v>
      </c>
      <c r="G121" s="1878">
        <f t="shared" si="77"/>
        <v>0</v>
      </c>
      <c r="H121" s="1878">
        <f t="shared" si="77"/>
        <v>0</v>
      </c>
      <c r="I121" s="1878">
        <f t="shared" si="77"/>
        <v>0</v>
      </c>
      <c r="J121" s="1878">
        <f t="shared" si="77"/>
        <v>0</v>
      </c>
      <c r="K121" s="1878">
        <f t="shared" si="77"/>
        <v>0</v>
      </c>
      <c r="L121" s="1878"/>
      <c r="M121" s="3340"/>
      <c r="N121" s="3340"/>
      <c r="O121" s="3326"/>
    </row>
    <row r="122" spans="1:15" s="331" customFormat="1" ht="13.5" hidden="1" customHeight="1">
      <c r="A122" s="3324"/>
      <c r="B122" s="2217" t="s">
        <v>139</v>
      </c>
      <c r="C122" s="3336"/>
      <c r="D122" s="1034">
        <f>E122+F122+G122+H122+I122+J122+K122+L122</f>
        <v>0</v>
      </c>
      <c r="E122" s="1544"/>
      <c r="F122" s="2218"/>
      <c r="G122" s="2218"/>
      <c r="H122" s="2218"/>
      <c r="I122" s="2218"/>
      <c r="J122" s="2218"/>
      <c r="K122" s="2218"/>
      <c r="L122" s="2218"/>
      <c r="M122" s="3340"/>
      <c r="N122" s="3340"/>
      <c r="O122" s="3326"/>
    </row>
    <row r="123" spans="1:15" s="331" customFormat="1" ht="13.5" hidden="1" customHeight="1">
      <c r="A123" s="3324"/>
      <c r="B123" s="2219" t="s">
        <v>18</v>
      </c>
      <c r="C123" s="3338" t="s">
        <v>23</v>
      </c>
      <c r="D123" s="2220">
        <f>+D124</f>
        <v>0</v>
      </c>
      <c r="E123" s="1542">
        <f t="shared" ref="E123:K123" si="78">+E124</f>
        <v>0</v>
      </c>
      <c r="F123" s="2220">
        <f t="shared" si="78"/>
        <v>0</v>
      </c>
      <c r="G123" s="2220">
        <f t="shared" si="78"/>
        <v>0</v>
      </c>
      <c r="H123" s="2220">
        <f t="shared" si="78"/>
        <v>0</v>
      </c>
      <c r="I123" s="2220">
        <f t="shared" si="78"/>
        <v>0</v>
      </c>
      <c r="J123" s="2220">
        <f t="shared" si="78"/>
        <v>0</v>
      </c>
      <c r="K123" s="2220">
        <f t="shared" si="78"/>
        <v>0</v>
      </c>
      <c r="L123" s="2220"/>
      <c r="M123" s="3340"/>
      <c r="N123" s="3340"/>
      <c r="O123" s="3326"/>
    </row>
    <row r="124" spans="1:15" s="331" customFormat="1" ht="13.5" hidden="1" customHeight="1" thickBot="1">
      <c r="A124" s="3333"/>
      <c r="B124" s="2221" t="s">
        <v>35</v>
      </c>
      <c r="C124" s="3342"/>
      <c r="D124" s="2222">
        <f>E124+F124+G124+H124+I124+J124+K124+L124</f>
        <v>0</v>
      </c>
      <c r="E124" s="2223"/>
      <c r="F124" s="2224">
        <v>0</v>
      </c>
      <c r="G124" s="2224">
        <v>0</v>
      </c>
      <c r="H124" s="2224"/>
      <c r="I124" s="2224"/>
      <c r="J124" s="2224"/>
      <c r="K124" s="2224"/>
      <c r="L124" s="2224"/>
      <c r="M124" s="3341"/>
      <c r="N124" s="3341"/>
      <c r="O124" s="3334"/>
    </row>
    <row r="125" spans="1:15" s="331" customFormat="1" ht="39.75" customHeight="1">
      <c r="A125" s="3323" t="s">
        <v>115</v>
      </c>
      <c r="B125" s="603" t="s">
        <v>492</v>
      </c>
      <c r="C125" s="604" t="s">
        <v>81</v>
      </c>
      <c r="D125" s="539"/>
      <c r="E125" s="614"/>
      <c r="F125" s="614"/>
      <c r="G125" s="614"/>
      <c r="H125" s="614"/>
      <c r="I125" s="614"/>
      <c r="J125" s="614"/>
      <c r="K125" s="614"/>
      <c r="L125" s="614"/>
      <c r="M125" s="624"/>
      <c r="N125" s="624"/>
      <c r="O125" s="3325" t="s">
        <v>497</v>
      </c>
    </row>
    <row r="126" spans="1:15" s="331" customFormat="1" ht="13.5" customHeight="1">
      <c r="A126" s="3324"/>
      <c r="B126" s="2199" t="s">
        <v>10</v>
      </c>
      <c r="C126" s="2200"/>
      <c r="D126" s="2012">
        <f>+D127+D131</f>
        <v>3503619</v>
      </c>
      <c r="E126" s="2012">
        <f t="shared" ref="E126:G126" si="79">+E127+E131</f>
        <v>0</v>
      </c>
      <c r="F126" s="2012">
        <f t="shared" si="79"/>
        <v>41820</v>
      </c>
      <c r="G126" s="2012">
        <f t="shared" si="79"/>
        <v>1793294</v>
      </c>
      <c r="H126" s="2012">
        <f>+H127+H131</f>
        <v>1668505</v>
      </c>
      <c r="I126" s="2012">
        <f>+I127+I131</f>
        <v>0</v>
      </c>
      <c r="J126" s="2012">
        <f t="shared" ref="J126:K126" si="80">+J127+J131</f>
        <v>0</v>
      </c>
      <c r="K126" s="2012">
        <f t="shared" si="80"/>
        <v>0</v>
      </c>
      <c r="L126" s="2012"/>
      <c r="M126" s="2201">
        <f>+M127</f>
        <v>606910</v>
      </c>
      <c r="N126" s="2201">
        <f>+N127</f>
        <v>606910</v>
      </c>
      <c r="O126" s="3326"/>
    </row>
    <row r="127" spans="1:15" s="331" customFormat="1" ht="13.5" customHeight="1">
      <c r="A127" s="3324"/>
      <c r="B127" s="2202" t="s">
        <v>24</v>
      </c>
      <c r="C127" s="3349" t="s">
        <v>161</v>
      </c>
      <c r="D127" s="1996">
        <f>D129+D128+D130</f>
        <v>1052313</v>
      </c>
      <c r="E127" s="1996">
        <f t="shared" ref="E127:L127" si="81">E129+E128+E130</f>
        <v>0</v>
      </c>
      <c r="F127" s="1996">
        <f t="shared" si="81"/>
        <v>17170</v>
      </c>
      <c r="G127" s="1996">
        <f t="shared" si="81"/>
        <v>531303</v>
      </c>
      <c r="H127" s="1996">
        <f t="shared" si="81"/>
        <v>503840</v>
      </c>
      <c r="I127" s="1996">
        <f t="shared" si="81"/>
        <v>0</v>
      </c>
      <c r="J127" s="1996">
        <f t="shared" si="81"/>
        <v>0</v>
      </c>
      <c r="K127" s="1996">
        <f t="shared" si="81"/>
        <v>0</v>
      </c>
      <c r="L127" s="1996">
        <f t="shared" si="81"/>
        <v>0</v>
      </c>
      <c r="M127" s="1966">
        <f>+M129</f>
        <v>606910</v>
      </c>
      <c r="N127" s="1966">
        <f>+N129</f>
        <v>606910</v>
      </c>
      <c r="O127" s="3326"/>
    </row>
    <row r="128" spans="1:15" s="331" customFormat="1" ht="12">
      <c r="A128" s="3324"/>
      <c r="B128" s="2203" t="s">
        <v>32</v>
      </c>
      <c r="C128" s="3336"/>
      <c r="D128" s="1926">
        <f>E128+F128+G128+H128+I128+J128+K128+L128</f>
        <v>12820</v>
      </c>
      <c r="E128" s="1977"/>
      <c r="F128" s="2204">
        <v>12820</v>
      </c>
      <c r="G128" s="2204">
        <v>0</v>
      </c>
      <c r="H128" s="2204">
        <v>0</v>
      </c>
      <c r="I128" s="2204">
        <v>0</v>
      </c>
      <c r="J128" s="771"/>
      <c r="K128" s="771"/>
      <c r="L128" s="771"/>
      <c r="M128" s="607" t="s">
        <v>61</v>
      </c>
      <c r="N128" s="607" t="s">
        <v>61</v>
      </c>
      <c r="O128" s="3326"/>
    </row>
    <row r="129" spans="1:76" s="331" customFormat="1" ht="12">
      <c r="A129" s="3324"/>
      <c r="B129" s="2205" t="s">
        <v>122</v>
      </c>
      <c r="C129" s="3336"/>
      <c r="D129" s="1926">
        <f>E129+F129+G129+H129+I129+J129+K129+L129</f>
        <v>606910</v>
      </c>
      <c r="E129" s="1977"/>
      <c r="F129" s="2206">
        <v>0</v>
      </c>
      <c r="G129" s="2206">
        <v>308599</v>
      </c>
      <c r="H129" s="2206">
        <v>298311</v>
      </c>
      <c r="I129" s="2206"/>
      <c r="J129" s="2206"/>
      <c r="K129" s="2206"/>
      <c r="L129" s="2206"/>
      <c r="M129" s="2207">
        <f>SUM(F129:K129)</f>
        <v>606910</v>
      </c>
      <c r="N129" s="2207">
        <f>SUM(G129:L129)</f>
        <v>606910</v>
      </c>
      <c r="O129" s="3326"/>
    </row>
    <row r="130" spans="1:76" s="331" customFormat="1" ht="12">
      <c r="A130" s="3324"/>
      <c r="B130" s="2205" t="s">
        <v>493</v>
      </c>
      <c r="C130" s="3337"/>
      <c r="D130" s="1926">
        <f>E130+F130+G130+H130+I130+J130+K130+L130</f>
        <v>432583</v>
      </c>
      <c r="E130" s="1977"/>
      <c r="F130" s="2206">
        <v>4350</v>
      </c>
      <c r="G130" s="2206">
        <v>222704</v>
      </c>
      <c r="H130" s="2206">
        <v>205529</v>
      </c>
      <c r="I130" s="2206"/>
      <c r="J130" s="2206"/>
      <c r="K130" s="2206"/>
      <c r="L130" s="2786"/>
      <c r="M130" s="2473"/>
      <c r="N130" s="2473"/>
      <c r="O130" s="3326"/>
    </row>
    <row r="131" spans="1:76" s="331" customFormat="1" ht="13.5" customHeight="1">
      <c r="A131" s="3324"/>
      <c r="B131" s="2208" t="s">
        <v>18</v>
      </c>
      <c r="C131" s="3348" t="s">
        <v>23</v>
      </c>
      <c r="D131" s="2154">
        <f>+D132</f>
        <v>2451306</v>
      </c>
      <c r="E131" s="2154">
        <f t="shared" ref="E131:N131" si="82">+E132</f>
        <v>0</v>
      </c>
      <c r="F131" s="2154">
        <f t="shared" si="82"/>
        <v>24650</v>
      </c>
      <c r="G131" s="2154">
        <f t="shared" si="82"/>
        <v>1261991</v>
      </c>
      <c r="H131" s="2154">
        <f t="shared" si="82"/>
        <v>1164665</v>
      </c>
      <c r="I131" s="2154">
        <f t="shared" si="82"/>
        <v>0</v>
      </c>
      <c r="J131" s="2154">
        <f t="shared" si="82"/>
        <v>0</v>
      </c>
      <c r="K131" s="2154">
        <f t="shared" si="82"/>
        <v>0</v>
      </c>
      <c r="L131" s="1498"/>
      <c r="M131" s="1499" t="str">
        <f t="shared" si="82"/>
        <v>x</v>
      </c>
      <c r="N131" s="1499" t="str">
        <f t="shared" si="82"/>
        <v>x</v>
      </c>
      <c r="O131" s="3326"/>
    </row>
    <row r="132" spans="1:76" s="331" customFormat="1" ht="13.5" customHeight="1">
      <c r="A132" s="3324"/>
      <c r="B132" s="2205" t="s">
        <v>35</v>
      </c>
      <c r="C132" s="3330"/>
      <c r="D132" s="1926">
        <f>E132+F132+G132+H132+I132+J132+K132+L132</f>
        <v>2451306</v>
      </c>
      <c r="E132" s="1977">
        <v>0</v>
      </c>
      <c r="F132" s="2209">
        <v>24650</v>
      </c>
      <c r="G132" s="2209">
        <v>1261991</v>
      </c>
      <c r="H132" s="2209">
        <v>1164665</v>
      </c>
      <c r="I132" s="2209"/>
      <c r="J132" s="772"/>
      <c r="K132" s="772"/>
      <c r="L132" s="772"/>
      <c r="M132" s="1500" t="s">
        <v>61</v>
      </c>
      <c r="N132" s="1500" t="s">
        <v>61</v>
      </c>
      <c r="O132" s="3326"/>
    </row>
    <row r="133" spans="1:76" s="331" customFormat="1" ht="13.5" customHeight="1">
      <c r="A133" s="3324"/>
      <c r="B133" s="2199" t="s">
        <v>22</v>
      </c>
      <c r="C133" s="2210"/>
      <c r="D133" s="2007">
        <f>D137+D134</f>
        <v>3490799</v>
      </c>
      <c r="E133" s="2007">
        <f t="shared" ref="E133:G133" si="83">E137+E134</f>
        <v>0</v>
      </c>
      <c r="F133" s="2007">
        <f t="shared" si="83"/>
        <v>0</v>
      </c>
      <c r="G133" s="2007">
        <f t="shared" si="83"/>
        <v>1822294</v>
      </c>
      <c r="H133" s="2007">
        <f>H137+H134</f>
        <v>1668505</v>
      </c>
      <c r="I133" s="2007">
        <f>I137+I134</f>
        <v>0</v>
      </c>
      <c r="J133" s="2007">
        <f t="shared" ref="J133:K133" si="84">J137+J134</f>
        <v>0</v>
      </c>
      <c r="K133" s="2007">
        <f t="shared" si="84"/>
        <v>0</v>
      </c>
      <c r="L133" s="2007"/>
      <c r="M133" s="3339" t="s">
        <v>61</v>
      </c>
      <c r="N133" s="3339" t="s">
        <v>61</v>
      </c>
      <c r="O133" s="3326"/>
    </row>
    <row r="134" spans="1:76" s="331" customFormat="1" ht="13.5" customHeight="1">
      <c r="A134" s="3324"/>
      <c r="B134" s="2211" t="s">
        <v>24</v>
      </c>
      <c r="C134" s="3349" t="s">
        <v>161</v>
      </c>
      <c r="D134" s="2161">
        <f>+D135+D136</f>
        <v>1039493</v>
      </c>
      <c r="E134" s="2161">
        <f t="shared" ref="E134:K134" si="85">+E135+E136</f>
        <v>0</v>
      </c>
      <c r="F134" s="2161">
        <f t="shared" si="85"/>
        <v>0</v>
      </c>
      <c r="G134" s="2161">
        <f t="shared" si="85"/>
        <v>535653</v>
      </c>
      <c r="H134" s="2161">
        <f t="shared" si="85"/>
        <v>503840</v>
      </c>
      <c r="I134" s="2161">
        <f t="shared" si="85"/>
        <v>0</v>
      </c>
      <c r="J134" s="2161">
        <f t="shared" si="85"/>
        <v>0</v>
      </c>
      <c r="K134" s="2161">
        <f t="shared" si="85"/>
        <v>0</v>
      </c>
      <c r="L134" s="2161"/>
      <c r="M134" s="3340"/>
      <c r="N134" s="3340"/>
      <c r="O134" s="3326"/>
    </row>
    <row r="135" spans="1:76" s="331" customFormat="1" ht="12">
      <c r="A135" s="3324"/>
      <c r="B135" s="2205" t="s">
        <v>139</v>
      </c>
      <c r="C135" s="3336"/>
      <c r="D135" s="1926">
        <f>E135+F135+G135+H135+I135+J135+K135+L135</f>
        <v>606910</v>
      </c>
      <c r="E135" s="1977">
        <v>0</v>
      </c>
      <c r="F135" s="2206"/>
      <c r="G135" s="2206">
        <v>308599</v>
      </c>
      <c r="H135" s="2206">
        <v>298311</v>
      </c>
      <c r="I135" s="2206"/>
      <c r="J135" s="2206"/>
      <c r="K135" s="2206"/>
      <c r="L135" s="2206"/>
      <c r="M135" s="3340"/>
      <c r="N135" s="3340"/>
      <c r="O135" s="3326"/>
    </row>
    <row r="136" spans="1:76" s="331" customFormat="1" ht="12">
      <c r="A136" s="3324"/>
      <c r="B136" s="2205" t="s">
        <v>493</v>
      </c>
      <c r="C136" s="2559"/>
      <c r="D136" s="1926">
        <f>E136+F136+G136+H136+I136+J136+K136+L136</f>
        <v>432583</v>
      </c>
      <c r="E136" s="1977"/>
      <c r="F136" s="2206"/>
      <c r="G136" s="2206">
        <v>227054</v>
      </c>
      <c r="H136" s="2206">
        <v>205529</v>
      </c>
      <c r="I136" s="2206"/>
      <c r="J136" s="2206"/>
      <c r="K136" s="2206"/>
      <c r="L136" s="2206"/>
      <c r="M136" s="3340"/>
      <c r="N136" s="3340"/>
      <c r="O136" s="3326"/>
    </row>
    <row r="137" spans="1:76" ht="14.25" customHeight="1">
      <c r="A137" s="3324"/>
      <c r="B137" s="2208" t="s">
        <v>18</v>
      </c>
      <c r="C137" s="3348" t="s">
        <v>23</v>
      </c>
      <c r="D137" s="2154">
        <f>+D138</f>
        <v>2451306</v>
      </c>
      <c r="E137" s="2154">
        <f t="shared" ref="E137:K137" si="86">+E138</f>
        <v>0</v>
      </c>
      <c r="F137" s="2154">
        <f t="shared" si="86"/>
        <v>0</v>
      </c>
      <c r="G137" s="2154">
        <f t="shared" si="86"/>
        <v>1286641</v>
      </c>
      <c r="H137" s="2154">
        <f t="shared" si="86"/>
        <v>1164665</v>
      </c>
      <c r="I137" s="2154">
        <f t="shared" si="86"/>
        <v>0</v>
      </c>
      <c r="J137" s="2154">
        <f t="shared" si="86"/>
        <v>0</v>
      </c>
      <c r="K137" s="2154">
        <f t="shared" si="86"/>
        <v>0</v>
      </c>
      <c r="L137" s="2154"/>
      <c r="M137" s="3340"/>
      <c r="N137" s="3340"/>
      <c r="O137" s="3326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  <c r="AB137" s="331"/>
      <c r="AC137" s="331"/>
      <c r="AD137" s="331"/>
      <c r="AE137" s="331"/>
      <c r="AF137" s="331"/>
      <c r="AG137" s="331"/>
      <c r="AH137" s="331"/>
      <c r="AI137" s="331"/>
      <c r="AJ137" s="331"/>
      <c r="AK137" s="331"/>
      <c r="AL137" s="331"/>
      <c r="AM137" s="331"/>
      <c r="AN137" s="331"/>
      <c r="AO137" s="331"/>
      <c r="AP137" s="331"/>
      <c r="AQ137" s="331"/>
      <c r="AR137" s="331"/>
      <c r="AS137" s="331"/>
      <c r="AT137" s="331"/>
      <c r="AU137" s="331"/>
      <c r="AV137" s="331"/>
      <c r="AW137" s="331"/>
      <c r="AX137" s="331"/>
      <c r="AY137" s="331"/>
      <c r="AZ137" s="331"/>
      <c r="BA137" s="331"/>
      <c r="BB137" s="331"/>
      <c r="BC137" s="331"/>
      <c r="BD137" s="331"/>
      <c r="BE137" s="331"/>
      <c r="BF137" s="331"/>
      <c r="BG137" s="331"/>
      <c r="BH137" s="331"/>
      <c r="BI137" s="331"/>
      <c r="BJ137" s="331"/>
      <c r="BK137" s="331"/>
      <c r="BL137" s="331"/>
      <c r="BM137" s="331"/>
      <c r="BN137" s="331"/>
      <c r="BO137" s="331"/>
      <c r="BP137" s="331"/>
      <c r="BQ137" s="331"/>
      <c r="BR137" s="331"/>
      <c r="BS137" s="331"/>
      <c r="BT137" s="331"/>
      <c r="BU137" s="331"/>
      <c r="BV137" s="331"/>
      <c r="BW137" s="331"/>
      <c r="BX137" s="331"/>
    </row>
    <row r="138" spans="1:76" ht="12.75" thickBot="1">
      <c r="A138" s="3333"/>
      <c r="B138" s="2221" t="s">
        <v>35</v>
      </c>
      <c r="C138" s="3342"/>
      <c r="D138" s="2459">
        <f>E138+F138+G138+H138+I138+J138+K138+L138</f>
        <v>2451306</v>
      </c>
      <c r="E138" s="2402">
        <v>0</v>
      </c>
      <c r="F138" s="2224">
        <v>0</v>
      </c>
      <c r="G138" s="2224">
        <v>1286641</v>
      </c>
      <c r="H138" s="2224">
        <v>1164665</v>
      </c>
      <c r="I138" s="2224"/>
      <c r="J138" s="2224"/>
      <c r="K138" s="2224"/>
      <c r="L138" s="2224"/>
      <c r="M138" s="3341"/>
      <c r="N138" s="3341"/>
      <c r="O138" s="3334"/>
    </row>
    <row r="139" spans="1:76" ht="28.5" customHeight="1">
      <c r="A139" s="3323" t="s">
        <v>87</v>
      </c>
      <c r="B139" s="603" t="s">
        <v>522</v>
      </c>
      <c r="C139" s="604" t="s">
        <v>109</v>
      </c>
      <c r="D139" s="539"/>
      <c r="E139" s="593"/>
      <c r="F139" s="593"/>
      <c r="G139" s="593"/>
      <c r="H139" s="593"/>
      <c r="I139" s="593"/>
      <c r="J139" s="593"/>
      <c r="K139" s="593"/>
      <c r="L139" s="593"/>
      <c r="M139" s="594"/>
      <c r="N139" s="594"/>
      <c r="O139" s="3325" t="s">
        <v>160</v>
      </c>
    </row>
    <row r="140" spans="1:76" ht="14.25" customHeight="1">
      <c r="A140" s="3324"/>
      <c r="B140" s="2199" t="s">
        <v>10</v>
      </c>
      <c r="C140" s="2200"/>
      <c r="D140" s="2012">
        <f>+D141+D144</f>
        <v>4777476</v>
      </c>
      <c r="E140" s="2012">
        <f t="shared" ref="E140:G140" si="87">+E141+E144</f>
        <v>6055</v>
      </c>
      <c r="F140" s="2012">
        <f t="shared" si="87"/>
        <v>1200</v>
      </c>
      <c r="G140" s="2012">
        <f t="shared" si="87"/>
        <v>1650997</v>
      </c>
      <c r="H140" s="2012">
        <f>+H141+H144</f>
        <v>2110656</v>
      </c>
      <c r="I140" s="2012">
        <f>+I141+I144</f>
        <v>1008568</v>
      </c>
      <c r="J140" s="2012">
        <f t="shared" ref="J140:K140" si="88">+J141+J144</f>
        <v>0</v>
      </c>
      <c r="K140" s="2012">
        <f t="shared" si="88"/>
        <v>0</v>
      </c>
      <c r="L140" s="2012"/>
      <c r="M140" s="2201">
        <f>+M141</f>
        <v>1346936</v>
      </c>
      <c r="N140" s="2201">
        <f>+N141</f>
        <v>1346936</v>
      </c>
      <c r="O140" s="3326"/>
    </row>
    <row r="141" spans="1:76" ht="12">
      <c r="A141" s="3324"/>
      <c r="B141" s="2202" t="s">
        <v>24</v>
      </c>
      <c r="C141" s="3349" t="s">
        <v>161</v>
      </c>
      <c r="D141" s="1996">
        <f>D143+D142</f>
        <v>1354191</v>
      </c>
      <c r="E141" s="1996">
        <f t="shared" ref="E141:K141" si="89">E143+E142</f>
        <v>6055</v>
      </c>
      <c r="F141" s="1996">
        <f t="shared" si="89"/>
        <v>1200</v>
      </c>
      <c r="G141" s="1996">
        <f t="shared" si="89"/>
        <v>453927</v>
      </c>
      <c r="H141" s="1996">
        <f t="shared" si="89"/>
        <v>614097</v>
      </c>
      <c r="I141" s="1996">
        <f t="shared" si="89"/>
        <v>278912</v>
      </c>
      <c r="J141" s="1996">
        <f t="shared" si="89"/>
        <v>0</v>
      </c>
      <c r="K141" s="1996">
        <f t="shared" si="89"/>
        <v>0</v>
      </c>
      <c r="L141" s="1996"/>
      <c r="M141" s="1966">
        <f>+M143</f>
        <v>1346936</v>
      </c>
      <c r="N141" s="1966">
        <f>+N143</f>
        <v>1346936</v>
      </c>
      <c r="O141" s="3326"/>
    </row>
    <row r="142" spans="1:76" ht="12">
      <c r="A142" s="3324"/>
      <c r="B142" s="2203" t="s">
        <v>32</v>
      </c>
      <c r="C142" s="3336"/>
      <c r="D142" s="1926">
        <f>E142+F142+G142+H142+I142+J142+K142+L142</f>
        <v>7255</v>
      </c>
      <c r="E142" s="1977">
        <f>2279+3776</f>
        <v>6055</v>
      </c>
      <c r="F142" s="2204">
        <v>1200</v>
      </c>
      <c r="G142" s="2204">
        <v>0</v>
      </c>
      <c r="H142" s="2204">
        <v>0</v>
      </c>
      <c r="I142" s="2204">
        <v>0</v>
      </c>
      <c r="J142" s="771"/>
      <c r="K142" s="771"/>
      <c r="L142" s="771"/>
      <c r="M142" s="607" t="s">
        <v>61</v>
      </c>
      <c r="N142" s="607" t="s">
        <v>61</v>
      </c>
      <c r="O142" s="3326"/>
    </row>
    <row r="143" spans="1:76" ht="12">
      <c r="A143" s="3324"/>
      <c r="B143" s="2205" t="s">
        <v>122</v>
      </c>
      <c r="C143" s="3337"/>
      <c r="D143" s="1926">
        <f>E143+F143+G143+H143+I143+J143+K143+L143</f>
        <v>1346936</v>
      </c>
      <c r="E143" s="1977"/>
      <c r="F143" s="2206">
        <v>0</v>
      </c>
      <c r="G143" s="2206">
        <v>453927</v>
      </c>
      <c r="H143" s="2206">
        <v>614097</v>
      </c>
      <c r="I143" s="2206">
        <v>278912</v>
      </c>
      <c r="J143" s="2206"/>
      <c r="K143" s="2206"/>
      <c r="L143" s="2206"/>
      <c r="M143" s="2207">
        <f>SUM(F143:K143)</f>
        <v>1346936</v>
      </c>
      <c r="N143" s="2207">
        <f>SUM(G143:L143)</f>
        <v>1346936</v>
      </c>
      <c r="O143" s="3326"/>
    </row>
    <row r="144" spans="1:76" ht="12">
      <c r="A144" s="3324"/>
      <c r="B144" s="2208" t="s">
        <v>18</v>
      </c>
      <c r="C144" s="3348" t="s">
        <v>23</v>
      </c>
      <c r="D144" s="2154">
        <f>+D145</f>
        <v>3423285</v>
      </c>
      <c r="E144" s="2154">
        <f t="shared" ref="E144:N144" si="90">+E145</f>
        <v>0</v>
      </c>
      <c r="F144" s="2154">
        <f t="shared" si="90"/>
        <v>0</v>
      </c>
      <c r="G144" s="2154">
        <f t="shared" si="90"/>
        <v>1197070</v>
      </c>
      <c r="H144" s="2154">
        <f t="shared" si="90"/>
        <v>1496559</v>
      </c>
      <c r="I144" s="2154">
        <f t="shared" si="90"/>
        <v>729656</v>
      </c>
      <c r="J144" s="2154">
        <f t="shared" si="90"/>
        <v>0</v>
      </c>
      <c r="K144" s="2154">
        <f t="shared" si="90"/>
        <v>0</v>
      </c>
      <c r="L144" s="1498"/>
      <c r="M144" s="1499" t="str">
        <f t="shared" si="90"/>
        <v>x</v>
      </c>
      <c r="N144" s="1499" t="str">
        <f t="shared" si="90"/>
        <v>x</v>
      </c>
      <c r="O144" s="3326"/>
    </row>
    <row r="145" spans="1:15" ht="12">
      <c r="A145" s="3324"/>
      <c r="B145" s="2205" t="s">
        <v>35</v>
      </c>
      <c r="C145" s="3330"/>
      <c r="D145" s="1926">
        <f>E145+F145+G145+H145+I145+J145+K145+L145</f>
        <v>3423285</v>
      </c>
      <c r="E145" s="1977">
        <v>0</v>
      </c>
      <c r="F145" s="2209">
        <v>0</v>
      </c>
      <c r="G145" s="2209">
        <v>1197070</v>
      </c>
      <c r="H145" s="2209">
        <v>1496559</v>
      </c>
      <c r="I145" s="2209">
        <v>729656</v>
      </c>
      <c r="J145" s="772"/>
      <c r="K145" s="772"/>
      <c r="L145" s="772"/>
      <c r="M145" s="1500" t="s">
        <v>61</v>
      </c>
      <c r="N145" s="1500" t="s">
        <v>61</v>
      </c>
      <c r="O145" s="3326"/>
    </row>
    <row r="146" spans="1:15" ht="13.5" customHeight="1">
      <c r="A146" s="3324"/>
      <c r="B146" s="2199" t="s">
        <v>22</v>
      </c>
      <c r="C146" s="2210"/>
      <c r="D146" s="2007">
        <f>D149+D147</f>
        <v>4173450</v>
      </c>
      <c r="E146" s="2007">
        <f t="shared" ref="E146:G146" si="91">E149+E147</f>
        <v>0</v>
      </c>
      <c r="F146" s="2007">
        <f t="shared" si="91"/>
        <v>0</v>
      </c>
      <c r="G146" s="2007">
        <f t="shared" si="91"/>
        <v>1450174</v>
      </c>
      <c r="H146" s="2007">
        <f>H149+H147</f>
        <v>1846557</v>
      </c>
      <c r="I146" s="2007">
        <f>I149+I147</f>
        <v>876719</v>
      </c>
      <c r="J146" s="2007">
        <f t="shared" ref="J146:K146" si="92">J149+J147</f>
        <v>0</v>
      </c>
      <c r="K146" s="2007">
        <f t="shared" si="92"/>
        <v>0</v>
      </c>
      <c r="L146" s="2007"/>
      <c r="M146" s="3339" t="s">
        <v>61</v>
      </c>
      <c r="N146" s="3339" t="s">
        <v>61</v>
      </c>
      <c r="O146" s="3326"/>
    </row>
    <row r="147" spans="1:15" ht="12">
      <c r="A147" s="3324"/>
      <c r="B147" s="2211" t="s">
        <v>24</v>
      </c>
      <c r="C147" s="3349" t="s">
        <v>161</v>
      </c>
      <c r="D147" s="2161">
        <f>+D148</f>
        <v>750165</v>
      </c>
      <c r="E147" s="2161">
        <f t="shared" ref="E147:K147" si="93">+E148</f>
        <v>0</v>
      </c>
      <c r="F147" s="2161">
        <f t="shared" si="93"/>
        <v>0</v>
      </c>
      <c r="G147" s="2161">
        <f t="shared" si="93"/>
        <v>253104</v>
      </c>
      <c r="H147" s="2161">
        <f t="shared" si="93"/>
        <v>349998</v>
      </c>
      <c r="I147" s="2161">
        <f t="shared" si="93"/>
        <v>147063</v>
      </c>
      <c r="J147" s="2161">
        <f t="shared" si="93"/>
        <v>0</v>
      </c>
      <c r="K147" s="2161">
        <f t="shared" si="93"/>
        <v>0</v>
      </c>
      <c r="L147" s="2161"/>
      <c r="M147" s="3340"/>
      <c r="N147" s="3340"/>
      <c r="O147" s="3326"/>
    </row>
    <row r="148" spans="1:15" ht="12">
      <c r="A148" s="3324"/>
      <c r="B148" s="2205" t="s">
        <v>139</v>
      </c>
      <c r="C148" s="3336"/>
      <c r="D148" s="1926">
        <f>E148+F148+G148+H148+I148+J148+K148+L148</f>
        <v>750165</v>
      </c>
      <c r="E148" s="1977">
        <v>0</v>
      </c>
      <c r="F148" s="2206"/>
      <c r="G148" s="2206">
        <v>253104</v>
      </c>
      <c r="H148" s="2206">
        <v>349998</v>
      </c>
      <c r="I148" s="2206">
        <v>147063</v>
      </c>
      <c r="J148" s="2206"/>
      <c r="K148" s="2206"/>
      <c r="L148" s="2206"/>
      <c r="M148" s="3340"/>
      <c r="N148" s="3340"/>
      <c r="O148" s="3326"/>
    </row>
    <row r="149" spans="1:15" ht="12">
      <c r="A149" s="3324"/>
      <c r="B149" s="2208" t="s">
        <v>18</v>
      </c>
      <c r="C149" s="3348" t="s">
        <v>23</v>
      </c>
      <c r="D149" s="2154">
        <f>+D150</f>
        <v>3423285</v>
      </c>
      <c r="E149" s="2154">
        <f t="shared" ref="E149:K149" si="94">+E150</f>
        <v>0</v>
      </c>
      <c r="F149" s="2154">
        <f t="shared" si="94"/>
        <v>0</v>
      </c>
      <c r="G149" s="2154">
        <f t="shared" si="94"/>
        <v>1197070</v>
      </c>
      <c r="H149" s="2154">
        <f t="shared" si="94"/>
        <v>1496559</v>
      </c>
      <c r="I149" s="2154">
        <f t="shared" si="94"/>
        <v>729656</v>
      </c>
      <c r="J149" s="2154">
        <f t="shared" si="94"/>
        <v>0</v>
      </c>
      <c r="K149" s="2154">
        <f t="shared" si="94"/>
        <v>0</v>
      </c>
      <c r="L149" s="2154"/>
      <c r="M149" s="3340"/>
      <c r="N149" s="3340"/>
      <c r="O149" s="3326"/>
    </row>
    <row r="150" spans="1:15" ht="12.75" thickBot="1">
      <c r="A150" s="3333"/>
      <c r="B150" s="2221" t="s">
        <v>35</v>
      </c>
      <c r="C150" s="3342"/>
      <c r="D150" s="2222">
        <f>E150+F150+G150+H150+I150+J150+K150+L150</f>
        <v>3423285</v>
      </c>
      <c r="E150" s="2402">
        <v>0</v>
      </c>
      <c r="F150" s="2224">
        <v>0</v>
      </c>
      <c r="G150" s="2224">
        <v>1197070</v>
      </c>
      <c r="H150" s="2224">
        <v>1496559</v>
      </c>
      <c r="I150" s="2224">
        <v>729656</v>
      </c>
      <c r="J150" s="2224"/>
      <c r="K150" s="2224"/>
      <c r="L150" s="2224"/>
      <c r="M150" s="3341"/>
      <c r="N150" s="3341"/>
      <c r="O150" s="3334"/>
    </row>
    <row r="151" spans="1:15" ht="29.25" customHeight="1">
      <c r="A151" s="3323" t="s">
        <v>88</v>
      </c>
      <c r="B151" s="603" t="s">
        <v>523</v>
      </c>
      <c r="C151" s="604" t="s">
        <v>81</v>
      </c>
      <c r="D151" s="539"/>
      <c r="E151" s="593"/>
      <c r="F151" s="593"/>
      <c r="G151" s="593"/>
      <c r="H151" s="593"/>
      <c r="I151" s="593"/>
      <c r="J151" s="593"/>
      <c r="K151" s="593"/>
      <c r="L151" s="593"/>
      <c r="M151" s="594"/>
      <c r="N151" s="594"/>
      <c r="O151" s="3325" t="s">
        <v>497</v>
      </c>
    </row>
    <row r="152" spans="1:15" ht="14.25" customHeight="1">
      <c r="A152" s="3324"/>
      <c r="B152" s="554" t="s">
        <v>10</v>
      </c>
      <c r="C152" s="605"/>
      <c r="D152" s="592">
        <f>+D153+D156</f>
        <v>2606667</v>
      </c>
      <c r="E152" s="592">
        <f t="shared" ref="E152:F152" si="95">+E153+E156</f>
        <v>6118</v>
      </c>
      <c r="F152" s="592">
        <f t="shared" si="95"/>
        <v>0</v>
      </c>
      <c r="G152" s="592">
        <f>+G153+G156</f>
        <v>676773</v>
      </c>
      <c r="H152" s="592">
        <f>+H153+H156</f>
        <v>1923776</v>
      </c>
      <c r="I152" s="592">
        <f>+I153+I156</f>
        <v>0</v>
      </c>
      <c r="J152" s="592">
        <f t="shared" ref="J152:K152" si="96">+J153+J156</f>
        <v>0</v>
      </c>
      <c r="K152" s="592">
        <f t="shared" si="96"/>
        <v>0</v>
      </c>
      <c r="L152" s="592"/>
      <c r="M152" s="595">
        <f>+M153</f>
        <v>792857</v>
      </c>
      <c r="N152" s="595">
        <f>+N153</f>
        <v>792857</v>
      </c>
      <c r="O152" s="3326"/>
    </row>
    <row r="153" spans="1:15" ht="12" customHeight="1">
      <c r="A153" s="3324"/>
      <c r="B153" s="2787" t="s">
        <v>24</v>
      </c>
      <c r="C153" s="3346" t="s">
        <v>161</v>
      </c>
      <c r="D153" s="544">
        <f>D155+D154</f>
        <v>798975</v>
      </c>
      <c r="E153" s="544">
        <f t="shared" ref="E153:K153" si="97">E155+E154</f>
        <v>6118</v>
      </c>
      <c r="F153" s="544">
        <f t="shared" si="97"/>
        <v>0</v>
      </c>
      <c r="G153" s="544">
        <f t="shared" si="97"/>
        <v>198520</v>
      </c>
      <c r="H153" s="544">
        <f t="shared" si="97"/>
        <v>594337</v>
      </c>
      <c r="I153" s="544">
        <f t="shared" si="97"/>
        <v>0</v>
      </c>
      <c r="J153" s="544">
        <f t="shared" si="97"/>
        <v>0</v>
      </c>
      <c r="K153" s="544">
        <f t="shared" si="97"/>
        <v>0</v>
      </c>
      <c r="L153" s="544"/>
      <c r="M153" s="597">
        <f>+M155</f>
        <v>792857</v>
      </c>
      <c r="N153" s="597">
        <f>+N155</f>
        <v>792857</v>
      </c>
      <c r="O153" s="3326"/>
    </row>
    <row r="154" spans="1:15" ht="12">
      <c r="A154" s="3324"/>
      <c r="B154" s="562" t="s">
        <v>32</v>
      </c>
      <c r="C154" s="3336"/>
      <c r="D154" s="251">
        <f>E154+F154+G154+H154+I154+J154+K154+L154</f>
        <v>6118</v>
      </c>
      <c r="E154" s="540">
        <v>6118</v>
      </c>
      <c r="F154" s="606">
        <v>0</v>
      </c>
      <c r="G154" s="606">
        <v>0</v>
      </c>
      <c r="H154" s="606">
        <v>0</v>
      </c>
      <c r="I154" s="606">
        <v>0</v>
      </c>
      <c r="J154" s="771"/>
      <c r="K154" s="771"/>
      <c r="L154" s="771"/>
      <c r="M154" s="607" t="s">
        <v>61</v>
      </c>
      <c r="N154" s="607" t="s">
        <v>61</v>
      </c>
      <c r="O154" s="3326"/>
    </row>
    <row r="155" spans="1:15" ht="12">
      <c r="A155" s="3324"/>
      <c r="B155" s="608" t="s">
        <v>122</v>
      </c>
      <c r="C155" s="3337"/>
      <c r="D155" s="251">
        <f>E155+F155+G155+H155+I155+J155+K155+L155</f>
        <v>792857</v>
      </c>
      <c r="E155" s="540"/>
      <c r="F155" s="543"/>
      <c r="G155" s="543">
        <v>198520</v>
      </c>
      <c r="H155" s="543">
        <v>594337</v>
      </c>
      <c r="I155" s="543"/>
      <c r="J155" s="543"/>
      <c r="K155" s="543"/>
      <c r="L155" s="543"/>
      <c r="M155" s="590">
        <f>SUM(F155:K155)</f>
        <v>792857</v>
      </c>
      <c r="N155" s="590">
        <f>SUM(G155:L155)</f>
        <v>792857</v>
      </c>
      <c r="O155" s="3326"/>
    </row>
    <row r="156" spans="1:15" ht="12">
      <c r="A156" s="3324"/>
      <c r="B156" s="2788" t="s">
        <v>18</v>
      </c>
      <c r="C156" s="3329" t="s">
        <v>23</v>
      </c>
      <c r="D156" s="2789">
        <f>+D157</f>
        <v>1807692</v>
      </c>
      <c r="E156" s="2789">
        <f t="shared" ref="E156:N156" si="98">+E157</f>
        <v>0</v>
      </c>
      <c r="F156" s="2789">
        <f t="shared" si="98"/>
        <v>0</v>
      </c>
      <c r="G156" s="2789">
        <f t="shared" si="98"/>
        <v>478253</v>
      </c>
      <c r="H156" s="2789">
        <f t="shared" si="98"/>
        <v>1329439</v>
      </c>
      <c r="I156" s="2789">
        <f t="shared" si="98"/>
        <v>0</v>
      </c>
      <c r="J156" s="2789">
        <f t="shared" si="98"/>
        <v>0</v>
      </c>
      <c r="K156" s="2789">
        <f t="shared" si="98"/>
        <v>0</v>
      </c>
      <c r="L156" s="1498"/>
      <c r="M156" s="1499" t="str">
        <f t="shared" si="98"/>
        <v>x</v>
      </c>
      <c r="N156" s="1499" t="str">
        <f t="shared" si="98"/>
        <v>x</v>
      </c>
      <c r="O156" s="3326"/>
    </row>
    <row r="157" spans="1:15" ht="12">
      <c r="A157" s="3324"/>
      <c r="B157" s="608" t="s">
        <v>35</v>
      </c>
      <c r="C157" s="3330"/>
      <c r="D157" s="251">
        <f>E157+F157+G157+H157+I157+J157+K157+L157</f>
        <v>1807692</v>
      </c>
      <c r="E157" s="540">
        <v>0</v>
      </c>
      <c r="F157" s="542">
        <v>0</v>
      </c>
      <c r="G157" s="542">
        <v>478253</v>
      </c>
      <c r="H157" s="542">
        <v>1329439</v>
      </c>
      <c r="I157" s="542"/>
      <c r="J157" s="772"/>
      <c r="K157" s="772"/>
      <c r="L157" s="772"/>
      <c r="M157" s="1500" t="s">
        <v>61</v>
      </c>
      <c r="N157" s="1500" t="s">
        <v>61</v>
      </c>
      <c r="O157" s="3326"/>
    </row>
    <row r="158" spans="1:15" ht="13.5" customHeight="1">
      <c r="A158" s="3324"/>
      <c r="B158" s="554" t="s">
        <v>22</v>
      </c>
      <c r="C158" s="2790"/>
      <c r="D158" s="545">
        <f>D161+D159</f>
        <v>2287580</v>
      </c>
      <c r="E158" s="545">
        <f t="shared" ref="E158:G158" si="99">E161+E159</f>
        <v>0</v>
      </c>
      <c r="F158" s="545">
        <f t="shared" si="99"/>
        <v>0</v>
      </c>
      <c r="G158" s="545">
        <f t="shared" si="99"/>
        <v>598410</v>
      </c>
      <c r="H158" s="545">
        <f>H161+H159</f>
        <v>1689170</v>
      </c>
      <c r="I158" s="545">
        <f>I161+I159</f>
        <v>0</v>
      </c>
      <c r="J158" s="545">
        <f t="shared" ref="J158:K158" si="100">J161+J159</f>
        <v>0</v>
      </c>
      <c r="K158" s="545">
        <f t="shared" si="100"/>
        <v>0</v>
      </c>
      <c r="L158" s="545"/>
      <c r="M158" s="3373" t="s">
        <v>61</v>
      </c>
      <c r="N158" s="3373" t="s">
        <v>61</v>
      </c>
      <c r="O158" s="3326"/>
    </row>
    <row r="159" spans="1:15" ht="12" customHeight="1">
      <c r="A159" s="3324"/>
      <c r="B159" s="610" t="s">
        <v>24</v>
      </c>
      <c r="C159" s="3346" t="s">
        <v>161</v>
      </c>
      <c r="D159" s="2791">
        <f>+D160</f>
        <v>479888</v>
      </c>
      <c r="E159" s="2791">
        <f t="shared" ref="E159:K159" si="101">+E160</f>
        <v>0</v>
      </c>
      <c r="F159" s="2791">
        <f t="shared" si="101"/>
        <v>0</v>
      </c>
      <c r="G159" s="2791">
        <f t="shared" si="101"/>
        <v>120157</v>
      </c>
      <c r="H159" s="2791">
        <f t="shared" si="101"/>
        <v>359731</v>
      </c>
      <c r="I159" s="2791">
        <f t="shared" si="101"/>
        <v>0</v>
      </c>
      <c r="J159" s="2791">
        <f t="shared" si="101"/>
        <v>0</v>
      </c>
      <c r="K159" s="2791">
        <f t="shared" si="101"/>
        <v>0</v>
      </c>
      <c r="L159" s="2791"/>
      <c r="M159" s="3340"/>
      <c r="N159" s="3340"/>
      <c r="O159" s="3326"/>
    </row>
    <row r="160" spans="1:15" ht="12">
      <c r="A160" s="3324"/>
      <c r="B160" s="608" t="s">
        <v>139</v>
      </c>
      <c r="C160" s="3336"/>
      <c r="D160" s="251">
        <f>E160+F160+G160+H160+I160+J160+K160+L160</f>
        <v>479888</v>
      </c>
      <c r="E160" s="540">
        <v>0</v>
      </c>
      <c r="F160" s="543"/>
      <c r="G160" s="543">
        <v>120157</v>
      </c>
      <c r="H160" s="543">
        <v>359731</v>
      </c>
      <c r="I160" s="543"/>
      <c r="J160" s="543"/>
      <c r="K160" s="543"/>
      <c r="L160" s="543"/>
      <c r="M160" s="3340"/>
      <c r="N160" s="3340"/>
      <c r="O160" s="3326"/>
    </row>
    <row r="161" spans="1:15" ht="12">
      <c r="A161" s="3324"/>
      <c r="B161" s="2788" t="s">
        <v>18</v>
      </c>
      <c r="C161" s="3329" t="s">
        <v>23</v>
      </c>
      <c r="D161" s="2789">
        <f>+D162</f>
        <v>1807692</v>
      </c>
      <c r="E161" s="2789">
        <f t="shared" ref="E161:K161" si="102">+E162</f>
        <v>0</v>
      </c>
      <c r="F161" s="2789">
        <f t="shared" si="102"/>
        <v>0</v>
      </c>
      <c r="G161" s="2789">
        <f t="shared" si="102"/>
        <v>478253</v>
      </c>
      <c r="H161" s="2789">
        <f t="shared" si="102"/>
        <v>1329439</v>
      </c>
      <c r="I161" s="2789">
        <f t="shared" si="102"/>
        <v>0</v>
      </c>
      <c r="J161" s="2789">
        <f t="shared" si="102"/>
        <v>0</v>
      </c>
      <c r="K161" s="2789">
        <f t="shared" si="102"/>
        <v>0</v>
      </c>
      <c r="L161" s="2789"/>
      <c r="M161" s="3340"/>
      <c r="N161" s="3340"/>
      <c r="O161" s="3326"/>
    </row>
    <row r="162" spans="1:15" ht="12.75" thickBot="1">
      <c r="A162" s="3333"/>
      <c r="B162" s="623" t="s">
        <v>35</v>
      </c>
      <c r="C162" s="3342"/>
      <c r="D162" s="2459">
        <f>E162+F162+G162+H162+I162+J162+K162+L162</f>
        <v>1807692</v>
      </c>
      <c r="E162" s="598">
        <v>0</v>
      </c>
      <c r="F162" s="612">
        <v>0</v>
      </c>
      <c r="G162" s="612">
        <v>478253</v>
      </c>
      <c r="H162" s="612">
        <v>1329439</v>
      </c>
      <c r="I162" s="612"/>
      <c r="J162" s="612"/>
      <c r="K162" s="612"/>
      <c r="L162" s="612"/>
      <c r="M162" s="3341"/>
      <c r="N162" s="3341"/>
      <c r="O162" s="3334"/>
    </row>
    <row r="163" spans="1:15" hidden="1">
      <c r="O163" s="2562"/>
    </row>
    <row r="164" spans="1:15" hidden="1">
      <c r="O164" s="2562"/>
    </row>
    <row r="165" spans="1:15" hidden="1">
      <c r="O165" s="2562"/>
    </row>
    <row r="166" spans="1:15" hidden="1">
      <c r="A166" s="424" t="s">
        <v>494</v>
      </c>
      <c r="O166" s="2562"/>
    </row>
    <row r="167" spans="1:15" hidden="1">
      <c r="O167" s="2562"/>
    </row>
    <row r="168" spans="1:15" hidden="1">
      <c r="D168" s="566"/>
      <c r="G168" s="566">
        <f>G152+G140+G126+G114+G102+G42+G33+G24</f>
        <v>27695146</v>
      </c>
      <c r="O168" s="2562"/>
    </row>
    <row r="169" spans="1:15" hidden="1">
      <c r="G169" s="566">
        <f>G168-G10</f>
        <v>0</v>
      </c>
      <c r="O169" s="2562"/>
    </row>
    <row r="170" spans="1:15" hidden="1">
      <c r="O170" s="2562"/>
    </row>
    <row r="171" spans="1:15" hidden="1">
      <c r="D171" s="566">
        <f>D155+D143+D129+D117+D105+D45+D35+D26</f>
        <v>40999681</v>
      </c>
      <c r="O171" s="2562"/>
    </row>
    <row r="172" spans="1:15" hidden="1">
      <c r="D172" s="566">
        <f>D7-D171</f>
        <v>0</v>
      </c>
      <c r="O172" s="2562"/>
    </row>
    <row r="173" spans="1:15" hidden="1">
      <c r="O173" s="2562"/>
    </row>
    <row r="174" spans="1:15" hidden="1">
      <c r="O174" s="2562"/>
    </row>
    <row r="175" spans="1:15" hidden="1">
      <c r="O175" s="2562"/>
    </row>
    <row r="176" spans="1:15" hidden="1">
      <c r="O176" s="2562"/>
    </row>
    <row r="177" spans="15:15" hidden="1">
      <c r="O177" s="2562"/>
    </row>
    <row r="178" spans="15:15">
      <c r="O178" s="2562"/>
    </row>
    <row r="179" spans="15:15">
      <c r="O179" s="2562"/>
    </row>
    <row r="180" spans="15:15">
      <c r="O180" s="2562"/>
    </row>
    <row r="181" spans="15:15">
      <c r="O181" s="2562"/>
    </row>
    <row r="182" spans="15:15">
      <c r="O182" s="2562"/>
    </row>
    <row r="183" spans="15:15">
      <c r="O183" s="2562"/>
    </row>
    <row r="184" spans="15:15">
      <c r="O184" s="2562"/>
    </row>
    <row r="185" spans="15:15">
      <c r="O185" s="2562"/>
    </row>
    <row r="186" spans="15:15">
      <c r="O186" s="2562"/>
    </row>
    <row r="187" spans="15:15">
      <c r="O187" s="2562"/>
    </row>
    <row r="188" spans="15:15">
      <c r="O188" s="2562"/>
    </row>
    <row r="189" spans="15:15">
      <c r="O189" s="2562"/>
    </row>
    <row r="190" spans="15:15">
      <c r="O190" s="2562"/>
    </row>
    <row r="191" spans="15:15">
      <c r="O191" s="2562"/>
    </row>
    <row r="192" spans="15:15">
      <c r="O192" s="2562"/>
    </row>
    <row r="193" spans="15:15">
      <c r="O193" s="2562"/>
    </row>
    <row r="194" spans="15:15">
      <c r="O194" s="2562"/>
    </row>
    <row r="195" spans="15:15">
      <c r="O195" s="2562"/>
    </row>
    <row r="196" spans="15:15">
      <c r="O196" s="2562"/>
    </row>
    <row r="197" spans="15:15">
      <c r="O197" s="2562"/>
    </row>
    <row r="198" spans="15:15">
      <c r="O198" s="2562"/>
    </row>
    <row r="199" spans="15:15">
      <c r="O199" s="2562"/>
    </row>
    <row r="200" spans="15:15">
      <c r="O200" s="2562"/>
    </row>
    <row r="201" spans="15:15">
      <c r="O201" s="2562"/>
    </row>
    <row r="202" spans="15:15">
      <c r="O202" s="2562"/>
    </row>
    <row r="203" spans="15:15">
      <c r="O203" s="2562"/>
    </row>
    <row r="204" spans="15:15">
      <c r="O204" s="2562"/>
    </row>
    <row r="205" spans="15:15">
      <c r="O205" s="2562"/>
    </row>
    <row r="206" spans="15:15">
      <c r="O206" s="2562"/>
    </row>
    <row r="207" spans="15:15">
      <c r="O207" s="2562"/>
    </row>
    <row r="208" spans="15:15">
      <c r="O208" s="2562"/>
    </row>
    <row r="209" spans="15:15">
      <c r="O209" s="2562"/>
    </row>
    <row r="210" spans="15:15">
      <c r="O210" s="2562"/>
    </row>
    <row r="211" spans="15:15">
      <c r="O211" s="2562"/>
    </row>
    <row r="212" spans="15:15">
      <c r="O212" s="2562"/>
    </row>
    <row r="213" spans="15:15">
      <c r="O213" s="2562"/>
    </row>
    <row r="214" spans="15:15">
      <c r="O214" s="2562"/>
    </row>
    <row r="215" spans="15:15">
      <c r="O215" s="2562"/>
    </row>
    <row r="216" spans="15:15">
      <c r="O216" s="2562"/>
    </row>
    <row r="217" spans="15:15">
      <c r="O217" s="2562"/>
    </row>
    <row r="218" spans="15:15">
      <c r="O218" s="2562"/>
    </row>
    <row r="219" spans="15:15">
      <c r="O219" s="2562"/>
    </row>
    <row r="220" spans="15:15">
      <c r="O220" s="2562"/>
    </row>
    <row r="221" spans="15:15">
      <c r="O221" s="2562"/>
    </row>
    <row r="222" spans="15:15">
      <c r="O222" s="2562"/>
    </row>
    <row r="223" spans="15:15">
      <c r="O223" s="2562"/>
    </row>
    <row r="224" spans="15:15">
      <c r="O224" s="2562"/>
    </row>
    <row r="225" spans="15:15">
      <c r="O225" s="2562"/>
    </row>
    <row r="226" spans="15:15">
      <c r="O226" s="2562"/>
    </row>
    <row r="227" spans="15:15">
      <c r="O227" s="2562"/>
    </row>
    <row r="228" spans="15:15">
      <c r="O228" s="2562"/>
    </row>
    <row r="229" spans="15:15">
      <c r="O229" s="2562"/>
    </row>
    <row r="230" spans="15:15">
      <c r="O230" s="2562"/>
    </row>
    <row r="231" spans="15:15">
      <c r="O231" s="2562"/>
    </row>
    <row r="232" spans="15:15">
      <c r="O232" s="2562"/>
    </row>
    <row r="233" spans="15:15">
      <c r="O233" s="2562"/>
    </row>
    <row r="234" spans="15:15">
      <c r="O234" s="2562"/>
    </row>
    <row r="235" spans="15:15">
      <c r="O235" s="2562"/>
    </row>
    <row r="236" spans="15:15">
      <c r="O236" s="2562"/>
    </row>
    <row r="237" spans="15:15">
      <c r="O237" s="2562"/>
    </row>
    <row r="238" spans="15:15">
      <c r="O238" s="2562"/>
    </row>
    <row r="239" spans="15:15">
      <c r="O239" s="2562"/>
    </row>
    <row r="240" spans="15:15">
      <c r="O240" s="2562"/>
    </row>
    <row r="241" spans="15:15">
      <c r="O241" s="2562"/>
    </row>
    <row r="242" spans="15:15">
      <c r="O242" s="2562"/>
    </row>
    <row r="243" spans="15:15">
      <c r="O243" s="2562"/>
    </row>
    <row r="244" spans="15:15">
      <c r="O244" s="2562"/>
    </row>
    <row r="245" spans="15:15">
      <c r="O245" s="2562"/>
    </row>
    <row r="246" spans="15:15">
      <c r="O246" s="2562"/>
    </row>
    <row r="247" spans="15:15">
      <c r="O247" s="2562"/>
    </row>
    <row r="248" spans="15:15">
      <c r="O248" s="2562"/>
    </row>
    <row r="249" spans="15:15">
      <c r="O249" s="2562"/>
    </row>
    <row r="250" spans="15:15">
      <c r="O250" s="2562"/>
    </row>
    <row r="251" spans="15:15">
      <c r="O251" s="2562"/>
    </row>
    <row r="252" spans="15:15">
      <c r="O252" s="2562"/>
    </row>
    <row r="253" spans="15:15">
      <c r="O253" s="2562"/>
    </row>
    <row r="254" spans="15:15">
      <c r="O254" s="2562"/>
    </row>
    <row r="255" spans="15:15">
      <c r="O255" s="2562"/>
    </row>
    <row r="256" spans="15:15">
      <c r="O256" s="2562"/>
    </row>
    <row r="257" spans="15:15">
      <c r="O257" s="2562"/>
    </row>
    <row r="258" spans="15:15">
      <c r="O258" s="2562"/>
    </row>
    <row r="259" spans="15:15">
      <c r="O259" s="2562"/>
    </row>
    <row r="260" spans="15:15">
      <c r="O260" s="2562"/>
    </row>
    <row r="261" spans="15:15">
      <c r="O261" s="2562"/>
    </row>
    <row r="262" spans="15:15">
      <c r="O262" s="2562"/>
    </row>
    <row r="263" spans="15:15">
      <c r="O263" s="2562"/>
    </row>
    <row r="264" spans="15:15">
      <c r="O264" s="2562"/>
    </row>
    <row r="265" spans="15:15">
      <c r="O265" s="2562"/>
    </row>
    <row r="266" spans="15:15">
      <c r="O266" s="2562"/>
    </row>
    <row r="267" spans="15:15">
      <c r="O267" s="2562"/>
    </row>
    <row r="268" spans="15:15">
      <c r="O268" s="2562"/>
    </row>
    <row r="269" spans="15:15">
      <c r="O269" s="2562"/>
    </row>
    <row r="270" spans="15:15">
      <c r="O270" s="2562"/>
    </row>
    <row r="271" spans="15:15">
      <c r="O271" s="2562"/>
    </row>
    <row r="272" spans="15:15">
      <c r="O272" s="2562"/>
    </row>
    <row r="273" spans="15:15">
      <c r="O273" s="2562"/>
    </row>
    <row r="274" spans="15:15">
      <c r="O274" s="2562"/>
    </row>
    <row r="275" spans="15:15">
      <c r="O275" s="2562"/>
    </row>
    <row r="276" spans="15:15">
      <c r="O276" s="2562"/>
    </row>
    <row r="277" spans="15:15">
      <c r="O277" s="2562"/>
    </row>
    <row r="278" spans="15:15">
      <c r="O278" s="2562"/>
    </row>
    <row r="279" spans="15:15">
      <c r="O279" s="2562"/>
    </row>
    <row r="280" spans="15:15">
      <c r="O280" s="2562"/>
    </row>
    <row r="281" spans="15:15">
      <c r="O281" s="2562"/>
    </row>
    <row r="282" spans="15:15">
      <c r="O282" s="2562"/>
    </row>
    <row r="283" spans="15:15">
      <c r="O283" s="2562"/>
    </row>
    <row r="284" spans="15:15">
      <c r="O284" s="2562"/>
    </row>
    <row r="285" spans="15:15">
      <c r="O285" s="2562"/>
    </row>
    <row r="286" spans="15:15">
      <c r="O286" s="2562"/>
    </row>
    <row r="287" spans="15:15">
      <c r="O287" s="2562"/>
    </row>
    <row r="288" spans="15:15">
      <c r="O288" s="2562"/>
    </row>
    <row r="493" spans="1:15" ht="12" thickBot="1"/>
    <row r="494" spans="1:15" ht="33.75">
      <c r="A494" s="637"/>
      <c r="B494" s="396" t="s">
        <v>69</v>
      </c>
      <c r="C494" s="396"/>
      <c r="D494" s="638"/>
      <c r="E494" s="639"/>
      <c r="F494" s="639"/>
      <c r="G494" s="639"/>
      <c r="H494" s="639"/>
      <c r="I494" s="639"/>
      <c r="J494" s="639"/>
      <c r="K494" s="639"/>
      <c r="L494" s="639"/>
      <c r="M494" s="639"/>
      <c r="N494" s="639"/>
      <c r="O494" s="640"/>
    </row>
    <row r="495" spans="1:15">
      <c r="A495" s="641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642"/>
    </row>
    <row r="496" spans="1:15">
      <c r="A496" s="641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642"/>
    </row>
    <row r="497" spans="1:15">
      <c r="A497" s="641"/>
      <c r="E497" s="575"/>
      <c r="F497" s="575"/>
      <c r="G497" s="575"/>
      <c r="H497" s="575"/>
      <c r="I497" s="575"/>
      <c r="J497" s="575"/>
      <c r="K497" s="575"/>
      <c r="L497" s="575"/>
      <c r="M497" s="575"/>
      <c r="N497" s="575"/>
      <c r="O497" s="642"/>
    </row>
    <row r="498" spans="1:15">
      <c r="A498" s="641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642"/>
    </row>
    <row r="499" spans="1:15">
      <c r="A499" s="641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642"/>
    </row>
    <row r="500" spans="1:15">
      <c r="A500" s="641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642"/>
    </row>
    <row r="501" spans="1:15">
      <c r="A501" s="641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642"/>
    </row>
    <row r="502" spans="1:15">
      <c r="A502" s="641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642"/>
    </row>
    <row r="503" spans="1:15">
      <c r="A503" s="641"/>
      <c r="E503" s="575"/>
      <c r="F503" s="575"/>
      <c r="G503" s="575"/>
      <c r="H503" s="575"/>
      <c r="I503" s="575"/>
      <c r="J503" s="575"/>
      <c r="K503" s="575"/>
      <c r="L503" s="575"/>
      <c r="M503" s="575"/>
      <c r="N503" s="575"/>
      <c r="O503" s="642"/>
    </row>
    <row r="504" spans="1:15">
      <c r="A504" s="641"/>
      <c r="E504" s="575"/>
      <c r="F504" s="575"/>
      <c r="G504" s="575"/>
      <c r="H504" s="575"/>
      <c r="I504" s="575"/>
      <c r="J504" s="575"/>
      <c r="K504" s="575"/>
      <c r="L504" s="575"/>
      <c r="M504" s="575"/>
      <c r="N504" s="575"/>
      <c r="O504" s="642"/>
    </row>
    <row r="505" spans="1:15" ht="12" thickBot="1">
      <c r="A505" s="643"/>
      <c r="B505" s="644"/>
      <c r="C505" s="644"/>
      <c r="D505" s="644"/>
      <c r="E505" s="645"/>
      <c r="F505" s="645"/>
      <c r="G505" s="645"/>
      <c r="H505" s="645"/>
      <c r="I505" s="645"/>
      <c r="J505" s="645"/>
      <c r="K505" s="645"/>
      <c r="L505" s="645"/>
      <c r="M505" s="645"/>
      <c r="N505" s="645"/>
      <c r="O505" s="646"/>
    </row>
  </sheetData>
  <mergeCells count="104">
    <mergeCell ref="A151:A162"/>
    <mergeCell ref="O151:O162"/>
    <mergeCell ref="C153:C155"/>
    <mergeCell ref="C156:C157"/>
    <mergeCell ref="M158:M162"/>
    <mergeCell ref="N158:N162"/>
    <mergeCell ref="C159:C160"/>
    <mergeCell ref="C161:C162"/>
    <mergeCell ref="A139:A150"/>
    <mergeCell ref="O139:O150"/>
    <mergeCell ref="C141:C143"/>
    <mergeCell ref="C144:C145"/>
    <mergeCell ref="M146:M150"/>
    <mergeCell ref="N146:N150"/>
    <mergeCell ref="C147:C148"/>
    <mergeCell ref="C149:C150"/>
    <mergeCell ref="A125:A138"/>
    <mergeCell ref="O125:O138"/>
    <mergeCell ref="C131:C132"/>
    <mergeCell ref="M133:M138"/>
    <mergeCell ref="N133:N138"/>
    <mergeCell ref="C134:C135"/>
    <mergeCell ref="C137:C138"/>
    <mergeCell ref="C127:C130"/>
    <mergeCell ref="A53:A64"/>
    <mergeCell ref="O53:O64"/>
    <mergeCell ref="C55:C56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M38:M40"/>
    <mergeCell ref="N38:N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A101:A112"/>
    <mergeCell ref="O101:O112"/>
    <mergeCell ref="C103:C105"/>
    <mergeCell ref="C106:C107"/>
    <mergeCell ref="N108:N112"/>
    <mergeCell ref="C109:C110"/>
    <mergeCell ref="C111:C112"/>
    <mergeCell ref="M108:M112"/>
    <mergeCell ref="O23:O31"/>
    <mergeCell ref="A41:A52"/>
    <mergeCell ref="O41:O52"/>
    <mergeCell ref="C46:C47"/>
    <mergeCell ref="C49:C50"/>
    <mergeCell ref="C51:C52"/>
    <mergeCell ref="N48:N52"/>
    <mergeCell ref="A23:A31"/>
    <mergeCell ref="N29:N31"/>
    <mergeCell ref="C43:C45"/>
    <mergeCell ref="C25:C31"/>
    <mergeCell ref="M29:M31"/>
    <mergeCell ref="M48:M52"/>
    <mergeCell ref="A32:A40"/>
    <mergeCell ref="O32:O40"/>
    <mergeCell ref="C34:C40"/>
    <mergeCell ref="A77:A88"/>
    <mergeCell ref="O77:O88"/>
    <mergeCell ref="C79:C80"/>
    <mergeCell ref="C82:C83"/>
    <mergeCell ref="C85:C86"/>
    <mergeCell ref="C87:C88"/>
    <mergeCell ref="N84:N88"/>
    <mergeCell ref="M84:M88"/>
    <mergeCell ref="A113:A124"/>
    <mergeCell ref="O113:O124"/>
    <mergeCell ref="C115:C117"/>
    <mergeCell ref="C118:C119"/>
    <mergeCell ref="N120:N124"/>
    <mergeCell ref="C121:C122"/>
    <mergeCell ref="C123:C124"/>
    <mergeCell ref="M120:M124"/>
    <mergeCell ref="A89:A100"/>
    <mergeCell ref="O89:O100"/>
    <mergeCell ref="C91:C93"/>
    <mergeCell ref="C94:C95"/>
    <mergeCell ref="C97:C98"/>
    <mergeCell ref="C99:C100"/>
    <mergeCell ref="N96:N100"/>
    <mergeCell ref="M96:M100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8" firstPageNumber="46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______________________________________________________________________________________________________________________________________</oddHeader>
    <oddFooter>&amp;C&amp;8&amp;P</oddFooter>
  </headerFooter>
  <rowBreaks count="2" manualBreakCount="2">
    <brk id="100" max="14" man="1"/>
    <brk id="15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N125"/>
  <sheetViews>
    <sheetView showGridLines="0" view="pageBreakPreview" zoomScaleNormal="100" zoomScaleSheetLayoutView="100" workbookViewId="0">
      <pane xSplit="3" ySplit="7" topLeftCell="D8" activePane="bottomRight" state="frozen"/>
      <selection activeCell="L250" sqref="L250"/>
      <selection pane="topRight" activeCell="L250" sqref="L250"/>
      <selection pane="bottomLeft" activeCell="L250" sqref="L250"/>
      <selection pane="bottomRight" activeCell="D8" sqref="D8"/>
    </sheetView>
  </sheetViews>
  <sheetFormatPr defaultColWidth="9.140625" defaultRowHeight="12" outlineLevelRow="1"/>
  <cols>
    <col min="1" max="1" width="3.7109375" style="565" customWidth="1"/>
    <col min="2" max="2" width="59" style="332" customWidth="1"/>
    <col min="3" max="3" width="9.7109375" style="332" customWidth="1"/>
    <col min="4" max="4" width="14.140625" style="332" customWidth="1"/>
    <col min="5" max="5" width="12.5703125" style="332" customWidth="1"/>
    <col min="6" max="12" width="10.85546875" style="332" customWidth="1"/>
    <col min="13" max="13" width="11.7109375" style="332" customWidth="1"/>
    <col min="14" max="14" width="11.7109375" style="332" hidden="1" customWidth="1"/>
    <col min="15" max="15" width="17.42578125" style="569" customWidth="1"/>
    <col min="16" max="16" width="15.140625" style="332" hidden="1" customWidth="1"/>
    <col min="17" max="17" width="11.7109375" style="332" hidden="1" customWidth="1"/>
    <col min="18" max="28" width="0" style="332" hidden="1" customWidth="1"/>
    <col min="29" max="16384" width="9.140625" style="332"/>
  </cols>
  <sheetData>
    <row r="1" spans="1:66" ht="16.5" customHeight="1">
      <c r="F1" s="3412"/>
      <c r="G1" s="3412"/>
      <c r="H1" s="328" t="s">
        <v>476</v>
      </c>
      <c r="I1" s="324"/>
      <c r="J1" s="324"/>
      <c r="K1" s="324"/>
      <c r="L1" s="324"/>
      <c r="M1" s="6"/>
      <c r="N1" s="6"/>
      <c r="O1" s="7"/>
    </row>
    <row r="2" spans="1:66" ht="15" hidden="1" customHeight="1">
      <c r="F2" s="327"/>
      <c r="G2" s="327"/>
      <c r="H2" s="327"/>
      <c r="I2" s="327"/>
      <c r="J2" s="327"/>
      <c r="K2" s="327"/>
      <c r="L2" s="327"/>
      <c r="M2" s="6"/>
      <c r="N2" s="6"/>
      <c r="O2" s="7"/>
    </row>
    <row r="3" spans="1:66" ht="9" customHeight="1">
      <c r="D3" s="566"/>
      <c r="F3" s="329"/>
      <c r="G3" s="329"/>
      <c r="H3" s="329"/>
      <c r="I3" s="329"/>
      <c r="J3" s="329"/>
      <c r="K3" s="329"/>
      <c r="L3" s="329"/>
      <c r="M3" s="6"/>
      <c r="N3" s="6"/>
      <c r="O3" s="7"/>
    </row>
    <row r="4" spans="1:66" s="568" customFormat="1" ht="40.5" customHeight="1" thickBot="1">
      <c r="A4" s="3413" t="s">
        <v>205</v>
      </c>
      <c r="B4" s="3413"/>
      <c r="C4" s="3413"/>
      <c r="D4" s="3413"/>
      <c r="E4" s="3413"/>
      <c r="F4" s="3413"/>
      <c r="G4" s="3413"/>
      <c r="H4" s="3413"/>
      <c r="I4" s="3413"/>
      <c r="J4" s="3413"/>
      <c r="K4" s="3413"/>
      <c r="L4" s="3413"/>
      <c r="M4" s="3413"/>
      <c r="N4" s="3413"/>
      <c r="O4" s="3413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7"/>
      <c r="AL4" s="331"/>
      <c r="AM4" s="331"/>
      <c r="AN4" s="331"/>
      <c r="AO4" s="331"/>
      <c r="AP4" s="331"/>
      <c r="AQ4" s="331"/>
      <c r="AR4" s="331"/>
      <c r="AS4" s="331"/>
      <c r="AT4" s="331"/>
      <c r="AU4" s="331"/>
      <c r="AV4" s="331"/>
      <c r="AW4" s="331"/>
      <c r="AX4" s="331"/>
      <c r="AY4" s="331"/>
      <c r="AZ4" s="331"/>
      <c r="BA4" s="331"/>
      <c r="BB4" s="331"/>
      <c r="BC4" s="331"/>
      <c r="BD4" s="331"/>
      <c r="BE4" s="331"/>
      <c r="BF4" s="331"/>
      <c r="BG4" s="331"/>
      <c r="BH4" s="331"/>
      <c r="BI4" s="331"/>
      <c r="BJ4" s="331"/>
      <c r="BK4" s="331"/>
      <c r="BL4" s="331"/>
      <c r="BM4" s="331"/>
      <c r="BN4" s="331"/>
    </row>
    <row r="5" spans="1:66" ht="72" customHeight="1">
      <c r="A5" s="1082"/>
      <c r="B5" s="3414" t="s">
        <v>75</v>
      </c>
      <c r="C5" s="3416" t="s">
        <v>71</v>
      </c>
      <c r="D5" s="3418" t="s">
        <v>72</v>
      </c>
      <c r="E5" s="1893" t="s">
        <v>239</v>
      </c>
      <c r="F5" s="2861" t="s">
        <v>461</v>
      </c>
      <c r="G5" s="2993" t="s">
        <v>456</v>
      </c>
      <c r="H5" s="2994"/>
      <c r="I5" s="2994"/>
      <c r="J5" s="2994"/>
      <c r="K5" s="2994"/>
      <c r="L5" s="2995"/>
      <c r="M5" s="3364" t="s">
        <v>479</v>
      </c>
      <c r="N5" s="3364" t="s">
        <v>457</v>
      </c>
      <c r="O5" s="3420" t="s">
        <v>73</v>
      </c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331"/>
      <c r="BI5" s="331"/>
      <c r="BJ5" s="331"/>
      <c r="BK5" s="331"/>
      <c r="BL5" s="331"/>
      <c r="BM5" s="331"/>
      <c r="BN5" s="331"/>
    </row>
    <row r="6" spans="1:66" ht="21" customHeight="1">
      <c r="A6" s="773"/>
      <c r="B6" s="3415"/>
      <c r="C6" s="3417"/>
      <c r="D6" s="3419"/>
      <c r="E6" s="1895" t="s">
        <v>433</v>
      </c>
      <c r="F6" s="3424"/>
      <c r="G6" s="2563" t="s">
        <v>6</v>
      </c>
      <c r="H6" s="2109" t="s">
        <v>184</v>
      </c>
      <c r="I6" s="2109" t="s">
        <v>185</v>
      </c>
      <c r="J6" s="2109" t="s">
        <v>232</v>
      </c>
      <c r="K6" s="2109" t="s">
        <v>233</v>
      </c>
      <c r="L6" s="2109" t="s">
        <v>234</v>
      </c>
      <c r="M6" s="3422"/>
      <c r="N6" s="3422"/>
      <c r="O6" s="342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</row>
    <row r="7" spans="1:66" ht="11.25">
      <c r="A7" s="1137">
        <v>1</v>
      </c>
      <c r="B7" s="1138">
        <v>2</v>
      </c>
      <c r="C7" s="1139" t="s">
        <v>119</v>
      </c>
      <c r="D7" s="1139" t="s">
        <v>120</v>
      </c>
      <c r="E7" s="1139">
        <v>5</v>
      </c>
      <c r="F7" s="1921">
        <v>6</v>
      </c>
      <c r="G7" s="1921">
        <v>7</v>
      </c>
      <c r="H7" s="1921">
        <v>8</v>
      </c>
      <c r="I7" s="1921">
        <v>9</v>
      </c>
      <c r="J7" s="1921">
        <v>10</v>
      </c>
      <c r="K7" s="1921">
        <v>11</v>
      </c>
      <c r="L7" s="1921">
        <v>12</v>
      </c>
      <c r="M7" s="1140">
        <v>13</v>
      </c>
      <c r="N7" s="1140">
        <v>13</v>
      </c>
      <c r="O7" s="1141">
        <v>14</v>
      </c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</row>
    <row r="8" spans="1:66" s="2065" customFormat="1" ht="16.5" customHeight="1">
      <c r="A8" s="1616"/>
      <c r="B8" s="774" t="s">
        <v>76</v>
      </c>
      <c r="C8" s="225"/>
      <c r="D8" s="226">
        <f>+D9+D10</f>
        <v>45905279</v>
      </c>
      <c r="E8" s="226">
        <f t="shared" ref="E8:L8" si="0">+E9+E10</f>
        <v>14991962</v>
      </c>
      <c r="F8" s="226">
        <f t="shared" si="0"/>
        <v>7325505</v>
      </c>
      <c r="G8" s="226">
        <f t="shared" si="0"/>
        <v>10244879</v>
      </c>
      <c r="H8" s="226">
        <f t="shared" si="0"/>
        <v>5868759</v>
      </c>
      <c r="I8" s="226">
        <f t="shared" si="0"/>
        <v>2898811</v>
      </c>
      <c r="J8" s="226">
        <f t="shared" si="0"/>
        <v>1607579</v>
      </c>
      <c r="K8" s="226">
        <f t="shared" si="0"/>
        <v>1607578</v>
      </c>
      <c r="L8" s="226">
        <f t="shared" si="0"/>
        <v>1360206</v>
      </c>
      <c r="M8" s="153">
        <f t="shared" ref="M8" si="1">+M9+M10</f>
        <v>30913317</v>
      </c>
      <c r="N8" s="153">
        <f t="shared" ref="N8" si="2">+N9+N10</f>
        <v>30913317</v>
      </c>
      <c r="O8" s="1617"/>
      <c r="P8" s="334">
        <f>+F8+G8+H8+I8+J8+K8+L8</f>
        <v>30913317</v>
      </c>
    </row>
    <row r="9" spans="1:66" s="2065" customFormat="1" ht="13.5" customHeight="1">
      <c r="A9" s="1618"/>
      <c r="B9" s="774" t="s">
        <v>77</v>
      </c>
      <c r="C9" s="225"/>
      <c r="D9" s="226">
        <f>+D44+D67</f>
        <v>25166036</v>
      </c>
      <c r="E9" s="226">
        <f t="shared" ref="E9:L9" si="3">+E44+E67</f>
        <v>5960282</v>
      </c>
      <c r="F9" s="226">
        <f t="shared" si="3"/>
        <v>3903380</v>
      </c>
      <c r="G9" s="226">
        <f t="shared" si="3"/>
        <v>5503300</v>
      </c>
      <c r="H9" s="226">
        <f t="shared" si="3"/>
        <v>2503300</v>
      </c>
      <c r="I9" s="226">
        <f t="shared" si="3"/>
        <v>2720411</v>
      </c>
      <c r="J9" s="226">
        <f t="shared" si="3"/>
        <v>1607579</v>
      </c>
      <c r="K9" s="226">
        <f t="shared" si="3"/>
        <v>1607578</v>
      </c>
      <c r="L9" s="226">
        <f t="shared" si="3"/>
        <v>1360206</v>
      </c>
      <c r="M9" s="153">
        <f>SUM(F9:L9)</f>
        <v>19205754</v>
      </c>
      <c r="N9" s="153">
        <f>SUM(F9:L9)</f>
        <v>19205754</v>
      </c>
      <c r="O9" s="1617"/>
      <c r="P9" s="334"/>
    </row>
    <row r="10" spans="1:66" s="2065" customFormat="1" ht="13.5" customHeight="1" thickBot="1">
      <c r="A10" s="1618"/>
      <c r="B10" s="230" t="s">
        <v>9</v>
      </c>
      <c r="C10" s="724"/>
      <c r="D10" s="228">
        <f>+D33+D58</f>
        <v>20739243</v>
      </c>
      <c r="E10" s="228">
        <f t="shared" ref="E10:L10" si="4">+E33+E58</f>
        <v>9031680</v>
      </c>
      <c r="F10" s="228">
        <f t="shared" si="4"/>
        <v>3422125</v>
      </c>
      <c r="G10" s="228">
        <f t="shared" si="4"/>
        <v>4741579</v>
      </c>
      <c r="H10" s="228">
        <f t="shared" si="4"/>
        <v>3365459</v>
      </c>
      <c r="I10" s="228">
        <f t="shared" si="4"/>
        <v>178400</v>
      </c>
      <c r="J10" s="228">
        <f t="shared" si="4"/>
        <v>0</v>
      </c>
      <c r="K10" s="228">
        <f t="shared" si="4"/>
        <v>0</v>
      </c>
      <c r="L10" s="228">
        <f t="shared" si="4"/>
        <v>0</v>
      </c>
      <c r="M10" s="2465">
        <f>SUM(F10:L10)</f>
        <v>11707563</v>
      </c>
      <c r="N10" s="155">
        <f>SUM(F10:L10)</f>
        <v>11707563</v>
      </c>
      <c r="O10" s="1619"/>
    </row>
    <row r="11" spans="1:66" s="1625" customFormat="1" ht="14.25" customHeight="1">
      <c r="A11" s="1620"/>
      <c r="B11" s="83" t="s">
        <v>10</v>
      </c>
      <c r="C11" s="191"/>
      <c r="D11" s="104">
        <f t="shared" ref="D11:N11" si="5">+D12+D16</f>
        <v>45905279</v>
      </c>
      <c r="E11" s="104">
        <f t="shared" si="5"/>
        <v>14991962</v>
      </c>
      <c r="F11" s="104">
        <f t="shared" si="5"/>
        <v>7325505</v>
      </c>
      <c r="G11" s="104">
        <f t="shared" si="5"/>
        <v>10244879</v>
      </c>
      <c r="H11" s="104">
        <f t="shared" si="5"/>
        <v>5868759</v>
      </c>
      <c r="I11" s="104">
        <f t="shared" si="5"/>
        <v>2898811</v>
      </c>
      <c r="J11" s="104">
        <f t="shared" si="5"/>
        <v>1607579</v>
      </c>
      <c r="K11" s="104">
        <f t="shared" si="5"/>
        <v>1607578</v>
      </c>
      <c r="L11" s="104">
        <f t="shared" si="5"/>
        <v>1360206</v>
      </c>
      <c r="M11" s="1621">
        <f t="shared" si="5"/>
        <v>30913317</v>
      </c>
      <c r="N11" s="1621" t="e">
        <f t="shared" si="5"/>
        <v>#REF!</v>
      </c>
      <c r="O11" s="1622"/>
      <c r="P11" s="1623"/>
      <c r="Q11" s="377"/>
      <c r="R11" s="1624"/>
      <c r="S11" s="1624"/>
      <c r="T11" s="1624"/>
      <c r="U11" s="1624"/>
      <c r="V11" s="1624"/>
      <c r="W11" s="1624"/>
      <c r="X11" s="1624"/>
      <c r="Y11" s="1624"/>
      <c r="Z11" s="1624"/>
      <c r="AA11" s="1624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1624"/>
      <c r="AM11" s="1624"/>
      <c r="AN11" s="1624"/>
      <c r="AO11" s="1624"/>
      <c r="AP11" s="1624"/>
      <c r="AQ11" s="1624"/>
      <c r="AR11" s="1624"/>
      <c r="AS11" s="1624"/>
      <c r="AT11" s="1624"/>
      <c r="AU11" s="1624"/>
      <c r="AV11" s="1624"/>
      <c r="AW11" s="1624"/>
      <c r="AX11" s="1624"/>
      <c r="AY11" s="1624"/>
      <c r="AZ11" s="1624"/>
      <c r="BA11" s="1624"/>
      <c r="BB11" s="1624"/>
      <c r="BC11" s="1624"/>
      <c r="BD11" s="1624"/>
      <c r="BE11" s="1624"/>
      <c r="BF11" s="1624"/>
      <c r="BG11" s="1624"/>
      <c r="BH11" s="1624"/>
      <c r="BI11" s="1624"/>
      <c r="BJ11" s="1624"/>
      <c r="BK11" s="1624"/>
      <c r="BL11" s="1624"/>
      <c r="BM11" s="1624"/>
      <c r="BN11" s="1624"/>
    </row>
    <row r="12" spans="1:66" s="1630" customFormat="1" ht="14.25" customHeight="1">
      <c r="A12" s="1626"/>
      <c r="B12" s="775" t="s">
        <v>11</v>
      </c>
      <c r="C12" s="1627"/>
      <c r="D12" s="1628">
        <f t="shared" ref="D12:N12" si="6">SUM(D13:D15)</f>
        <v>18667851</v>
      </c>
      <c r="E12" s="1628">
        <f t="shared" si="6"/>
        <v>4393251</v>
      </c>
      <c r="F12" s="1628">
        <f t="shared" si="6"/>
        <v>4642632</v>
      </c>
      <c r="G12" s="1628">
        <f t="shared" si="6"/>
        <v>4745756</v>
      </c>
      <c r="H12" s="1628">
        <f t="shared" si="6"/>
        <v>2205179</v>
      </c>
      <c r="I12" s="1628">
        <f t="shared" si="6"/>
        <v>1016174</v>
      </c>
      <c r="J12" s="1628">
        <f t="shared" si="6"/>
        <v>585076</v>
      </c>
      <c r="K12" s="1628">
        <f t="shared" si="6"/>
        <v>585076</v>
      </c>
      <c r="L12" s="1628">
        <f t="shared" si="6"/>
        <v>494707</v>
      </c>
      <c r="M12" s="1629">
        <f t="shared" si="6"/>
        <v>14274600</v>
      </c>
      <c r="N12" s="1629" t="e">
        <f t="shared" si="6"/>
        <v>#REF!</v>
      </c>
      <c r="O12" s="2560"/>
      <c r="Q12" s="2065"/>
    </row>
    <row r="13" spans="1:66" s="1630" customFormat="1" ht="14.25" customHeight="1">
      <c r="A13" s="1631"/>
      <c r="B13" s="776" t="s">
        <v>12</v>
      </c>
      <c r="C13" s="1632"/>
      <c r="D13" s="1633">
        <f>+D46+D60+D69</f>
        <v>176001</v>
      </c>
      <c r="E13" s="1633">
        <f t="shared" ref="E13:L13" si="7">+E46+E60+E69</f>
        <v>29465</v>
      </c>
      <c r="F13" s="1633">
        <f t="shared" si="7"/>
        <v>507</v>
      </c>
      <c r="G13" s="1633">
        <f t="shared" si="7"/>
        <v>67055</v>
      </c>
      <c r="H13" s="1633">
        <f t="shared" si="7"/>
        <v>52214</v>
      </c>
      <c r="I13" s="1633">
        <f t="shared" si="7"/>
        <v>26760</v>
      </c>
      <c r="J13" s="1633">
        <f t="shared" si="7"/>
        <v>0</v>
      </c>
      <c r="K13" s="1633">
        <f t="shared" si="7"/>
        <v>0</v>
      </c>
      <c r="L13" s="1633">
        <f t="shared" si="7"/>
        <v>0</v>
      </c>
      <c r="M13" s="1634">
        <f>+M46+M60+M69</f>
        <v>146536</v>
      </c>
      <c r="N13" s="1634" t="e">
        <f>+#REF!+#REF!+#REF!+N46+#REF!</f>
        <v>#REF!</v>
      </c>
      <c r="O13" s="2560"/>
      <c r="P13" s="1635"/>
      <c r="Q13" s="1636"/>
    </row>
    <row r="14" spans="1:66" s="1630" customFormat="1" ht="13.5" customHeight="1" outlineLevel="1">
      <c r="A14" s="1631"/>
      <c r="B14" s="777" t="s">
        <v>13</v>
      </c>
      <c r="C14" s="1632"/>
      <c r="D14" s="1633">
        <f>+D47</f>
        <v>9149279</v>
      </c>
      <c r="E14" s="1633">
        <f t="shared" ref="E14:L14" si="8">+E47</f>
        <v>2167756</v>
      </c>
      <c r="F14" s="1633">
        <f t="shared" si="8"/>
        <v>1418000</v>
      </c>
      <c r="G14" s="1633">
        <f t="shared" si="8"/>
        <v>2000000</v>
      </c>
      <c r="H14" s="1633">
        <f t="shared" si="8"/>
        <v>909250</v>
      </c>
      <c r="I14" s="1633">
        <f t="shared" si="8"/>
        <v>989414</v>
      </c>
      <c r="J14" s="1633">
        <f t="shared" si="8"/>
        <v>585076</v>
      </c>
      <c r="K14" s="1633">
        <f t="shared" si="8"/>
        <v>585076</v>
      </c>
      <c r="L14" s="1633">
        <f t="shared" si="8"/>
        <v>494707</v>
      </c>
      <c r="M14" s="1634">
        <f>+M47</f>
        <v>6981523</v>
      </c>
      <c r="N14" s="1634" t="e">
        <f>#REF!+#REF!+#REF!+N47+#REF!</f>
        <v>#REF!</v>
      </c>
      <c r="O14" s="2560"/>
      <c r="P14" s="1635">
        <f>D14-D23</f>
        <v>0</v>
      </c>
      <c r="Q14" s="1636"/>
    </row>
    <row r="15" spans="1:66" s="1630" customFormat="1" ht="14.25" customHeight="1" outlineLevel="1">
      <c r="A15" s="1631"/>
      <c r="B15" s="776" t="s">
        <v>16</v>
      </c>
      <c r="C15" s="778"/>
      <c r="D15" s="1633">
        <f>+D35</f>
        <v>9342571</v>
      </c>
      <c r="E15" s="1633">
        <f t="shared" ref="E15:M15" si="9">+E35</f>
        <v>2196030</v>
      </c>
      <c r="F15" s="1633">
        <f t="shared" si="9"/>
        <v>3224125</v>
      </c>
      <c r="G15" s="1633">
        <f t="shared" si="9"/>
        <v>2678701</v>
      </c>
      <c r="H15" s="1633">
        <f t="shared" si="9"/>
        <v>1243715</v>
      </c>
      <c r="I15" s="1633">
        <f t="shared" si="9"/>
        <v>0</v>
      </c>
      <c r="J15" s="1633">
        <f t="shared" si="9"/>
        <v>0</v>
      </c>
      <c r="K15" s="1633">
        <f t="shared" si="9"/>
        <v>0</v>
      </c>
      <c r="L15" s="1633">
        <f t="shared" si="9"/>
        <v>0</v>
      </c>
      <c r="M15" s="1634">
        <f t="shared" si="9"/>
        <v>7146541</v>
      </c>
      <c r="N15" s="1634" t="e">
        <f>+#REF!+N35</f>
        <v>#REF!</v>
      </c>
      <c r="O15" s="2560"/>
      <c r="P15" s="1635">
        <f>D15-D25</f>
        <v>0</v>
      </c>
      <c r="Q15" s="1636"/>
    </row>
    <row r="16" spans="1:66" s="1630" customFormat="1" ht="14.25" customHeight="1" outlineLevel="1">
      <c r="A16" s="1626"/>
      <c r="B16" s="1637" t="s">
        <v>18</v>
      </c>
      <c r="C16" s="1638"/>
      <c r="D16" s="1639">
        <f>+D18+D19+D20+D17</f>
        <v>27237428</v>
      </c>
      <c r="E16" s="1639">
        <f t="shared" ref="E16:L16" si="10">+E18+E19+E20+E17</f>
        <v>10598711</v>
      </c>
      <c r="F16" s="1639">
        <f t="shared" si="10"/>
        <v>2682873</v>
      </c>
      <c r="G16" s="1639">
        <f t="shared" si="10"/>
        <v>5499123</v>
      </c>
      <c r="H16" s="1639">
        <f t="shared" si="10"/>
        <v>3663580</v>
      </c>
      <c r="I16" s="1639">
        <f t="shared" si="10"/>
        <v>1882637</v>
      </c>
      <c r="J16" s="1639">
        <f t="shared" si="10"/>
        <v>1022503</v>
      </c>
      <c r="K16" s="1639">
        <f t="shared" si="10"/>
        <v>1022502</v>
      </c>
      <c r="L16" s="1639">
        <f t="shared" si="10"/>
        <v>865499</v>
      </c>
      <c r="M16" s="1640">
        <f>+M18+M19+M20+M17</f>
        <v>16638717</v>
      </c>
      <c r="N16" s="1640" t="e">
        <f>+N18+N19+N20+N17</f>
        <v>#REF!</v>
      </c>
      <c r="O16" s="2560"/>
      <c r="P16" s="1636">
        <f>D18-D29</f>
        <v>0</v>
      </c>
      <c r="Q16" s="1636"/>
    </row>
    <row r="17" spans="1:17" s="1630" customFormat="1" ht="14.25" hidden="1" customHeight="1" outlineLevel="1">
      <c r="A17" s="1626"/>
      <c r="B17" s="776" t="s">
        <v>12</v>
      </c>
      <c r="C17" s="1627"/>
      <c r="D17" s="1633"/>
      <c r="E17" s="1633"/>
      <c r="F17" s="1633"/>
      <c r="G17" s="1633"/>
      <c r="H17" s="1633"/>
      <c r="I17" s="1633"/>
      <c r="J17" s="1633"/>
      <c r="K17" s="1633"/>
      <c r="L17" s="1633"/>
      <c r="M17" s="1634"/>
      <c r="N17" s="1634" t="e">
        <f>+#REF!</f>
        <v>#REF!</v>
      </c>
      <c r="O17" s="2560"/>
      <c r="P17" s="1636"/>
      <c r="Q17" s="1636"/>
    </row>
    <row r="18" spans="1:17" s="1630" customFormat="1" ht="14.25" customHeight="1" outlineLevel="1">
      <c r="A18" s="1626"/>
      <c r="B18" s="777" t="s">
        <v>21</v>
      </c>
      <c r="C18" s="1632"/>
      <c r="D18" s="1633">
        <f>+D49+D62+D71</f>
        <v>16856776</v>
      </c>
      <c r="E18" s="1633">
        <f t="shared" ref="E18:M18" si="11">+E49+E62+E71</f>
        <v>3812161</v>
      </c>
      <c r="F18" s="1633">
        <f t="shared" si="11"/>
        <v>2484873</v>
      </c>
      <c r="G18" s="1633">
        <f t="shared" si="11"/>
        <v>3879975</v>
      </c>
      <c r="H18" s="1633">
        <f t="shared" si="11"/>
        <v>1886626</v>
      </c>
      <c r="I18" s="1633">
        <f t="shared" si="11"/>
        <v>1882637</v>
      </c>
      <c r="J18" s="1633">
        <f t="shared" si="11"/>
        <v>1022503</v>
      </c>
      <c r="K18" s="1633">
        <f t="shared" si="11"/>
        <v>1022502</v>
      </c>
      <c r="L18" s="1633">
        <f t="shared" si="11"/>
        <v>865499</v>
      </c>
      <c r="M18" s="1634">
        <f t="shared" si="11"/>
        <v>13044615</v>
      </c>
      <c r="N18" s="1634" t="e">
        <f>#REF!+#REF!+#REF!+#REF!+N49+#REF!</f>
        <v>#REF!</v>
      </c>
      <c r="O18" s="2560"/>
      <c r="P18" s="1635"/>
      <c r="Q18" s="1636"/>
    </row>
    <row r="19" spans="1:17" s="1630" customFormat="1" ht="14.25" hidden="1" customHeight="1" outlineLevel="1">
      <c r="A19" s="1626"/>
      <c r="B19" s="776" t="s">
        <v>14</v>
      </c>
      <c r="C19" s="1641"/>
      <c r="D19" s="1633"/>
      <c r="E19" s="1633"/>
      <c r="F19" s="1633"/>
      <c r="G19" s="1633"/>
      <c r="H19" s="1633"/>
      <c r="I19" s="1633"/>
      <c r="J19" s="1633"/>
      <c r="K19" s="1633"/>
      <c r="L19" s="1633"/>
      <c r="M19" s="1634"/>
      <c r="N19" s="1634" t="e">
        <f>+#REF!+#REF!+#REF!+#REF!+#REF!</f>
        <v>#REF!</v>
      </c>
      <c r="O19" s="2560"/>
      <c r="P19" s="1635"/>
      <c r="Q19" s="1636"/>
    </row>
    <row r="20" spans="1:17" s="1630" customFormat="1" ht="14.25" customHeight="1" outlineLevel="1">
      <c r="A20" s="1626"/>
      <c r="B20" s="777" t="s">
        <v>20</v>
      </c>
      <c r="C20" s="1641"/>
      <c r="D20" s="1633">
        <f>+D37</f>
        <v>10380652</v>
      </c>
      <c r="E20" s="1633">
        <f t="shared" ref="E20:M20" si="12">+E37</f>
        <v>6786550</v>
      </c>
      <c r="F20" s="1633">
        <f t="shared" si="12"/>
        <v>198000</v>
      </c>
      <c r="G20" s="1633">
        <f t="shared" si="12"/>
        <v>1619148</v>
      </c>
      <c r="H20" s="1633">
        <f t="shared" si="12"/>
        <v>1776954</v>
      </c>
      <c r="I20" s="1633">
        <f t="shared" si="12"/>
        <v>0</v>
      </c>
      <c r="J20" s="1633">
        <f t="shared" si="12"/>
        <v>0</v>
      </c>
      <c r="K20" s="1633">
        <f t="shared" si="12"/>
        <v>0</v>
      </c>
      <c r="L20" s="1633">
        <f t="shared" si="12"/>
        <v>0</v>
      </c>
      <c r="M20" s="1634">
        <f t="shared" si="12"/>
        <v>3594102</v>
      </c>
      <c r="N20" s="1634" t="e">
        <f>#REF!+N37+#REF!</f>
        <v>#REF!</v>
      </c>
      <c r="O20" s="2194"/>
      <c r="P20" s="1635"/>
      <c r="Q20" s="1636"/>
    </row>
    <row r="21" spans="1:17" s="1630" customFormat="1" ht="14.25" customHeight="1" outlineLevel="1">
      <c r="A21" s="1618"/>
      <c r="B21" s="83" t="s">
        <v>22</v>
      </c>
      <c r="C21" s="92"/>
      <c r="D21" s="1642">
        <f>+D22+D28</f>
        <v>45729278</v>
      </c>
      <c r="E21" s="1642">
        <f t="shared" ref="E21:L21" si="13">+E22+E28</f>
        <v>17257433</v>
      </c>
      <c r="F21" s="1642">
        <f t="shared" si="13"/>
        <v>7218959</v>
      </c>
      <c r="G21" s="1642">
        <f t="shared" si="13"/>
        <v>6026065</v>
      </c>
      <c r="H21" s="1642">
        <f t="shared" si="13"/>
        <v>7779407</v>
      </c>
      <c r="I21" s="1642">
        <f t="shared" si="13"/>
        <v>2872051</v>
      </c>
      <c r="J21" s="1642">
        <f t="shared" si="13"/>
        <v>1607579</v>
      </c>
      <c r="K21" s="1642">
        <f t="shared" si="13"/>
        <v>1607578</v>
      </c>
      <c r="L21" s="1642">
        <f t="shared" si="13"/>
        <v>1360206</v>
      </c>
      <c r="M21" s="3423" t="s">
        <v>61</v>
      </c>
      <c r="N21" s="3423" t="s">
        <v>61</v>
      </c>
      <c r="O21" s="2195"/>
      <c r="P21" s="1636">
        <f>D31-D20-D17</f>
        <v>0</v>
      </c>
    </row>
    <row r="22" spans="1:17" s="1630" customFormat="1" ht="14.25" customHeight="1" outlineLevel="1">
      <c r="A22" s="1626"/>
      <c r="B22" s="775" t="s">
        <v>11</v>
      </c>
      <c r="C22" s="1627"/>
      <c r="D22" s="1628">
        <f t="shared" ref="D22:L22" si="14">SUM(D23:D27)</f>
        <v>18491850</v>
      </c>
      <c r="E22" s="1628">
        <f t="shared" si="14"/>
        <v>4363786</v>
      </c>
      <c r="F22" s="1628">
        <f t="shared" si="14"/>
        <v>4642125</v>
      </c>
      <c r="G22" s="1628">
        <f t="shared" si="14"/>
        <v>2218416</v>
      </c>
      <c r="H22" s="1628">
        <f t="shared" si="14"/>
        <v>4613250</v>
      </c>
      <c r="I22" s="1628">
        <f t="shared" si="14"/>
        <v>989414</v>
      </c>
      <c r="J22" s="1628">
        <f t="shared" si="14"/>
        <v>585076</v>
      </c>
      <c r="K22" s="1628">
        <f t="shared" si="14"/>
        <v>585076</v>
      </c>
      <c r="L22" s="1628">
        <f t="shared" si="14"/>
        <v>494707</v>
      </c>
      <c r="M22" s="3377"/>
      <c r="N22" s="3377"/>
      <c r="O22" s="2560"/>
      <c r="P22" s="1636"/>
    </row>
    <row r="23" spans="1:17" s="1630" customFormat="1" ht="14.25" customHeight="1" outlineLevel="1">
      <c r="A23" s="1631"/>
      <c r="B23" s="777" t="s">
        <v>13</v>
      </c>
      <c r="C23" s="778"/>
      <c r="D23" s="1633">
        <f>+D52</f>
        <v>9149279</v>
      </c>
      <c r="E23" s="1633">
        <f t="shared" ref="E23:L23" si="15">+E52</f>
        <v>2167756</v>
      </c>
      <c r="F23" s="1633">
        <f t="shared" si="15"/>
        <v>1418000</v>
      </c>
      <c r="G23" s="1633">
        <f t="shared" si="15"/>
        <v>2000000</v>
      </c>
      <c r="H23" s="1633">
        <f t="shared" si="15"/>
        <v>909250</v>
      </c>
      <c r="I23" s="1633">
        <f t="shared" si="15"/>
        <v>989414</v>
      </c>
      <c r="J23" s="1633">
        <f t="shared" si="15"/>
        <v>585076</v>
      </c>
      <c r="K23" s="1633">
        <f t="shared" si="15"/>
        <v>585076</v>
      </c>
      <c r="L23" s="1633">
        <f t="shared" si="15"/>
        <v>494707</v>
      </c>
      <c r="M23" s="3377"/>
      <c r="N23" s="3377"/>
      <c r="O23" s="2560"/>
      <c r="P23" s="1636">
        <f>D23-D14</f>
        <v>0</v>
      </c>
    </row>
    <row r="24" spans="1:17" s="1630" customFormat="1" ht="14.25" hidden="1" customHeight="1" outlineLevel="1">
      <c r="A24" s="1631"/>
      <c r="B24" s="776" t="s">
        <v>14</v>
      </c>
      <c r="C24" s="1632"/>
      <c r="D24" s="1633"/>
      <c r="E24" s="1633"/>
      <c r="F24" s="1633"/>
      <c r="G24" s="1633"/>
      <c r="H24" s="1633"/>
      <c r="I24" s="1633"/>
      <c r="J24" s="1633"/>
      <c r="K24" s="1633"/>
      <c r="L24" s="1633"/>
      <c r="M24" s="3377"/>
      <c r="N24" s="3377"/>
      <c r="O24" s="2560"/>
      <c r="P24" s="1636" t="e">
        <f>D24-#REF!</f>
        <v>#REF!</v>
      </c>
    </row>
    <row r="25" spans="1:17" s="1630" customFormat="1" ht="14.25" customHeight="1" outlineLevel="1">
      <c r="A25" s="1631"/>
      <c r="B25" s="776" t="s">
        <v>62</v>
      </c>
      <c r="C25" s="1632"/>
      <c r="D25" s="1633">
        <f>+D40</f>
        <v>9342571</v>
      </c>
      <c r="E25" s="1633">
        <f t="shared" ref="E25:L25" si="16">+E40</f>
        <v>2196030</v>
      </c>
      <c r="F25" s="1633">
        <f t="shared" si="16"/>
        <v>3224125</v>
      </c>
      <c r="G25" s="1633">
        <f t="shared" si="16"/>
        <v>218416</v>
      </c>
      <c r="H25" s="1633">
        <f t="shared" si="16"/>
        <v>3704000</v>
      </c>
      <c r="I25" s="1633">
        <f t="shared" si="16"/>
        <v>0</v>
      </c>
      <c r="J25" s="1633">
        <f t="shared" si="16"/>
        <v>0</v>
      </c>
      <c r="K25" s="1633">
        <f t="shared" si="16"/>
        <v>0</v>
      </c>
      <c r="L25" s="1633">
        <f t="shared" si="16"/>
        <v>0</v>
      </c>
      <c r="M25" s="3377"/>
      <c r="N25" s="3377"/>
      <c r="O25" s="2560"/>
      <c r="P25" s="1636">
        <f>D25-D15</f>
        <v>0</v>
      </c>
    </row>
    <row r="26" spans="1:17" s="1630" customFormat="1" ht="14.25" hidden="1" customHeight="1" outlineLevel="1">
      <c r="A26" s="1631"/>
      <c r="B26" s="776" t="s">
        <v>25</v>
      </c>
      <c r="C26" s="1632"/>
      <c r="D26" s="1633"/>
      <c r="E26" s="1633"/>
      <c r="F26" s="1633"/>
      <c r="G26" s="1633"/>
      <c r="H26" s="1633"/>
      <c r="I26" s="1633"/>
      <c r="J26" s="1633"/>
      <c r="K26" s="1633"/>
      <c r="L26" s="1633"/>
      <c r="M26" s="3377"/>
      <c r="N26" s="3377"/>
      <c r="O26" s="2560"/>
    </row>
    <row r="27" spans="1:17" s="1630" customFormat="1" ht="12.75" hidden="1" customHeight="1" outlineLevel="1">
      <c r="A27" s="1631"/>
      <c r="B27" s="779" t="s">
        <v>12</v>
      </c>
      <c r="C27" s="1643"/>
      <c r="D27" s="1644"/>
      <c r="E27" s="1644"/>
      <c r="F27" s="1644"/>
      <c r="G27" s="1644"/>
      <c r="H27" s="1644"/>
      <c r="I27" s="1644"/>
      <c r="J27" s="1644"/>
      <c r="K27" s="1644"/>
      <c r="L27" s="1644"/>
      <c r="M27" s="3377"/>
      <c r="N27" s="3377"/>
      <c r="O27" s="2560"/>
    </row>
    <row r="28" spans="1:17" s="1630" customFormat="1" ht="14.25" customHeight="1" outlineLevel="1">
      <c r="A28" s="1626"/>
      <c r="B28" s="1637" t="s">
        <v>18</v>
      </c>
      <c r="C28" s="1645"/>
      <c r="D28" s="1639">
        <f>+D29+D31+D30</f>
        <v>27237428</v>
      </c>
      <c r="E28" s="1639">
        <f t="shared" ref="E28:L28" si="17">+E29+E31+E30</f>
        <v>12893647</v>
      </c>
      <c r="F28" s="1639">
        <f t="shared" si="17"/>
        <v>2576834</v>
      </c>
      <c r="G28" s="1639">
        <f t="shared" si="17"/>
        <v>3807649</v>
      </c>
      <c r="H28" s="1639">
        <f t="shared" si="17"/>
        <v>3166157</v>
      </c>
      <c r="I28" s="1639">
        <f t="shared" si="17"/>
        <v>1882637</v>
      </c>
      <c r="J28" s="1639">
        <f t="shared" si="17"/>
        <v>1022503</v>
      </c>
      <c r="K28" s="1639">
        <f t="shared" si="17"/>
        <v>1022502</v>
      </c>
      <c r="L28" s="1639">
        <f t="shared" si="17"/>
        <v>865499</v>
      </c>
      <c r="M28" s="3377"/>
      <c r="N28" s="3377"/>
      <c r="O28" s="2560"/>
    </row>
    <row r="29" spans="1:17" s="1630" customFormat="1" ht="14.25" customHeight="1" outlineLevel="1">
      <c r="A29" s="1631"/>
      <c r="B29" s="777" t="s">
        <v>21</v>
      </c>
      <c r="C29" s="1646"/>
      <c r="D29" s="1633">
        <f>+D55+D62+D74</f>
        <v>16856776</v>
      </c>
      <c r="E29" s="1633">
        <f>+E55+E65+E74</f>
        <v>3792526</v>
      </c>
      <c r="F29" s="1633">
        <f t="shared" ref="F29:L29" si="18">+F55+F65+F74</f>
        <v>2576834</v>
      </c>
      <c r="G29" s="1633">
        <f t="shared" si="18"/>
        <v>3807649</v>
      </c>
      <c r="H29" s="1633">
        <f t="shared" si="18"/>
        <v>1886626</v>
      </c>
      <c r="I29" s="1633">
        <f t="shared" si="18"/>
        <v>1882637</v>
      </c>
      <c r="J29" s="1633">
        <f t="shared" si="18"/>
        <v>1022503</v>
      </c>
      <c r="K29" s="1633">
        <f t="shared" si="18"/>
        <v>1022502</v>
      </c>
      <c r="L29" s="1633">
        <f t="shared" si="18"/>
        <v>865499</v>
      </c>
      <c r="M29" s="3377"/>
      <c r="N29" s="3377"/>
      <c r="O29" s="2560"/>
      <c r="P29" s="1636">
        <f>D29-D18</f>
        <v>0</v>
      </c>
    </row>
    <row r="30" spans="1:17" s="1630" customFormat="1" ht="14.25" hidden="1" customHeight="1" outlineLevel="1">
      <c r="A30" s="1631"/>
      <c r="B30" s="776" t="s">
        <v>14</v>
      </c>
      <c r="C30" s="1646"/>
      <c r="D30" s="1633"/>
      <c r="E30" s="1633"/>
      <c r="F30" s="1633"/>
      <c r="G30" s="1633"/>
      <c r="H30" s="1633"/>
      <c r="I30" s="1633"/>
      <c r="J30" s="1633"/>
      <c r="K30" s="1633"/>
      <c r="L30" s="1633"/>
      <c r="M30" s="3377"/>
      <c r="N30" s="3377"/>
      <c r="O30" s="2560"/>
      <c r="P30" s="1636">
        <f>D30-D19</f>
        <v>0</v>
      </c>
      <c r="Q30" s="1636"/>
    </row>
    <row r="31" spans="1:17" s="1630" customFormat="1" ht="14.25" customHeight="1" collapsed="1" thickBot="1">
      <c r="A31" s="1647"/>
      <c r="B31" s="1648" t="s">
        <v>20</v>
      </c>
      <c r="C31" s="1649"/>
      <c r="D31" s="1650">
        <f>+D42</f>
        <v>10380652</v>
      </c>
      <c r="E31" s="1650">
        <f t="shared" ref="E31:L31" si="19">+E42</f>
        <v>9101121</v>
      </c>
      <c r="F31" s="1650">
        <f t="shared" si="19"/>
        <v>0</v>
      </c>
      <c r="G31" s="1650">
        <f t="shared" si="19"/>
        <v>0</v>
      </c>
      <c r="H31" s="1650">
        <f t="shared" si="19"/>
        <v>1279531</v>
      </c>
      <c r="I31" s="1650">
        <f t="shared" si="19"/>
        <v>0</v>
      </c>
      <c r="J31" s="1650">
        <f t="shared" si="19"/>
        <v>0</v>
      </c>
      <c r="K31" s="1650">
        <f t="shared" si="19"/>
        <v>0</v>
      </c>
      <c r="L31" s="1650">
        <f t="shared" si="19"/>
        <v>0</v>
      </c>
      <c r="M31" s="3378"/>
      <c r="N31" s="3378"/>
      <c r="O31" s="2561"/>
      <c r="P31" s="1636">
        <f>D31-D20-D17</f>
        <v>0</v>
      </c>
    </row>
    <row r="32" spans="1:17" s="806" customFormat="1" ht="28.5" customHeight="1">
      <c r="A32" s="3385" t="s">
        <v>63</v>
      </c>
      <c r="B32" s="2792" t="s">
        <v>345</v>
      </c>
      <c r="C32" s="1455" t="s">
        <v>81</v>
      </c>
      <c r="D32" s="1455"/>
      <c r="E32" s="62"/>
      <c r="F32" s="1456"/>
      <c r="G32" s="1456"/>
      <c r="H32" s="1456"/>
      <c r="I32" s="1456"/>
      <c r="J32" s="1456"/>
      <c r="K32" s="1456"/>
      <c r="L32" s="1456"/>
      <c r="M32" s="1457"/>
      <c r="N32" s="1457"/>
      <c r="O32" s="3404" t="s">
        <v>472</v>
      </c>
    </row>
    <row r="33" spans="1:15" s="806" customFormat="1" ht="14.25" customHeight="1">
      <c r="A33" s="3383"/>
      <c r="B33" s="538" t="s">
        <v>10</v>
      </c>
      <c r="C33" s="1922"/>
      <c r="D33" s="1923">
        <f t="shared" ref="D33" si="20">+D34+D36</f>
        <v>19723223</v>
      </c>
      <c r="E33" s="1924">
        <f t="shared" ref="E33" si="21">+E34+E36</f>
        <v>8982580</v>
      </c>
      <c r="F33" s="1533">
        <f>+F34+F36</f>
        <v>3422125</v>
      </c>
      <c r="G33" s="1533">
        <f>+G34+G36</f>
        <v>4297849</v>
      </c>
      <c r="H33" s="1533">
        <f>+H34+H36</f>
        <v>3020669</v>
      </c>
      <c r="I33" s="1586"/>
      <c r="J33" s="1586"/>
      <c r="K33" s="1586"/>
      <c r="L33" s="1586"/>
      <c r="M33" s="1538">
        <f>+M34+M36</f>
        <v>10740643</v>
      </c>
      <c r="N33" s="1538">
        <f>+N34+N36</f>
        <v>7318518</v>
      </c>
      <c r="O33" s="3405"/>
    </row>
    <row r="34" spans="1:15" s="806" customFormat="1" ht="14.25" customHeight="1">
      <c r="A34" s="3383"/>
      <c r="B34" s="783" t="s">
        <v>11</v>
      </c>
      <c r="C34" s="3407" t="s">
        <v>168</v>
      </c>
      <c r="D34" s="1540">
        <f>D35</f>
        <v>9342571</v>
      </c>
      <c r="E34" s="1925">
        <f t="shared" ref="E34" si="22">E35</f>
        <v>2196030</v>
      </c>
      <c r="F34" s="1539">
        <f>F35</f>
        <v>3224125</v>
      </c>
      <c r="G34" s="1539">
        <f>G35</f>
        <v>2678701</v>
      </c>
      <c r="H34" s="1539">
        <f>H35</f>
        <v>1243715</v>
      </c>
      <c r="I34" s="1540"/>
      <c r="J34" s="1540"/>
      <c r="K34" s="1540"/>
      <c r="L34" s="1540"/>
      <c r="M34" s="1541">
        <f>M35</f>
        <v>7146541</v>
      </c>
      <c r="N34" s="1541">
        <f>N35</f>
        <v>3922416</v>
      </c>
      <c r="O34" s="3405"/>
    </row>
    <row r="35" spans="1:15" s="813" customFormat="1">
      <c r="A35" s="3383"/>
      <c r="B35" s="2793" t="s">
        <v>62</v>
      </c>
      <c r="C35" s="3408"/>
      <c r="D35" s="1926">
        <f>E35+F35+G35+H35+I35+J35+K35+L35</f>
        <v>9342571</v>
      </c>
      <c r="E35" s="2794">
        <v>2196030</v>
      </c>
      <c r="F35" s="2171">
        <f>260379+120178+1+1420927+3225430-1802790</f>
        <v>3224125</v>
      </c>
      <c r="G35" s="1769">
        <f>1438588+1240113</f>
        <v>2678701</v>
      </c>
      <c r="H35" s="1769">
        <f>681038+562677</f>
        <v>1243715</v>
      </c>
      <c r="I35" s="1927"/>
      <c r="J35" s="1927"/>
      <c r="K35" s="1927"/>
      <c r="L35" s="1927"/>
      <c r="M35" s="1913">
        <f>SUM(F35:K35)</f>
        <v>7146541</v>
      </c>
      <c r="N35" s="1913">
        <f>SUM(G35:L35)</f>
        <v>3922416</v>
      </c>
      <c r="O35" s="3405"/>
    </row>
    <row r="36" spans="1:15" s="806" customFormat="1" ht="14.25" customHeight="1">
      <c r="A36" s="3383"/>
      <c r="B36" s="791" t="s">
        <v>18</v>
      </c>
      <c r="C36" s="3409"/>
      <c r="D36" s="1928">
        <f>D37</f>
        <v>10380652</v>
      </c>
      <c r="E36" s="2482">
        <f t="shared" ref="E36:H36" si="23">E37</f>
        <v>6786550</v>
      </c>
      <c r="F36" s="2483">
        <f t="shared" si="23"/>
        <v>198000</v>
      </c>
      <c r="G36" s="1929">
        <f t="shared" si="23"/>
        <v>1619148</v>
      </c>
      <c r="H36" s="1929">
        <f t="shared" si="23"/>
        <v>1776954</v>
      </c>
      <c r="I36" s="1928"/>
      <c r="J36" s="1928"/>
      <c r="K36" s="1928"/>
      <c r="L36" s="1928"/>
      <c r="M36" s="1930">
        <f>M37</f>
        <v>3594102</v>
      </c>
      <c r="N36" s="1930">
        <f>N37</f>
        <v>3396102</v>
      </c>
      <c r="O36" s="3405"/>
    </row>
    <row r="37" spans="1:15" s="806" customFormat="1">
      <c r="A37" s="3383"/>
      <c r="B37" s="786" t="s">
        <v>20</v>
      </c>
      <c r="C37" s="3409"/>
      <c r="D37" s="1926">
        <f>E37+F37+G37+H37+I37+J37+K37+L37</f>
        <v>10380652</v>
      </c>
      <c r="E37" s="2794">
        <v>6786550</v>
      </c>
      <c r="F37" s="2597">
        <f>139157+4982+2237372-1274751-908760</f>
        <v>198000</v>
      </c>
      <c r="G37" s="2795">
        <f>1780473+158867-320192</f>
        <v>1619148</v>
      </c>
      <c r="H37" s="2795">
        <f>548002+1228952</f>
        <v>1776954</v>
      </c>
      <c r="I37" s="1931"/>
      <c r="J37" s="1931"/>
      <c r="K37" s="1931"/>
      <c r="L37" s="1931"/>
      <c r="M37" s="1913">
        <f>SUM(F37:K37)</f>
        <v>3594102</v>
      </c>
      <c r="N37" s="1913">
        <f>SUM(G37:L37)</f>
        <v>3396102</v>
      </c>
      <c r="O37" s="3405"/>
    </row>
    <row r="38" spans="1:15" s="815" customFormat="1" ht="14.25" customHeight="1">
      <c r="A38" s="3383"/>
      <c r="B38" s="538" t="s">
        <v>22</v>
      </c>
      <c r="C38" s="1932"/>
      <c r="D38" s="1933">
        <f t="shared" ref="D38" si="24">+D39+D42</f>
        <v>19723223</v>
      </c>
      <c r="E38" s="1934">
        <f t="shared" ref="E38" si="25">+E39+E42</f>
        <v>11297151</v>
      </c>
      <c r="F38" s="1935">
        <f>+F39+F42</f>
        <v>3224125</v>
      </c>
      <c r="G38" s="1935">
        <f>+G39+G42</f>
        <v>218416</v>
      </c>
      <c r="H38" s="1935">
        <f>+H39+H42</f>
        <v>4983531</v>
      </c>
      <c r="I38" s="1935"/>
      <c r="J38" s="1935"/>
      <c r="K38" s="1935"/>
      <c r="L38" s="1935"/>
      <c r="M38" s="3374" t="s">
        <v>61</v>
      </c>
      <c r="N38" s="3374" t="s">
        <v>61</v>
      </c>
      <c r="O38" s="3405"/>
    </row>
    <row r="39" spans="1:15" s="806" customFormat="1" ht="14.25" customHeight="1">
      <c r="A39" s="3383"/>
      <c r="B39" s="783" t="s">
        <v>11</v>
      </c>
      <c r="C39" s="3410" t="s">
        <v>168</v>
      </c>
      <c r="D39" s="1936">
        <f>D40</f>
        <v>9342571</v>
      </c>
      <c r="E39" s="1937">
        <f t="shared" ref="E39:H39" si="26">E40</f>
        <v>2196030</v>
      </c>
      <c r="F39" s="1936">
        <f t="shared" si="26"/>
        <v>3224125</v>
      </c>
      <c r="G39" s="1936">
        <f t="shared" si="26"/>
        <v>218416</v>
      </c>
      <c r="H39" s="1936">
        <f t="shared" si="26"/>
        <v>3704000</v>
      </c>
      <c r="I39" s="1936"/>
      <c r="J39" s="1936"/>
      <c r="K39" s="1936"/>
      <c r="L39" s="1936"/>
      <c r="M39" s="3374"/>
      <c r="N39" s="3374"/>
      <c r="O39" s="3405"/>
    </row>
    <row r="40" spans="1:15" s="806" customFormat="1" ht="12.75" customHeight="1">
      <c r="A40" s="3383"/>
      <c r="B40" s="786" t="s">
        <v>16</v>
      </c>
      <c r="C40" s="3409"/>
      <c r="D40" s="1926">
        <f>E40+F40+G40+H40+I40+J40+K40+L40</f>
        <v>9342571</v>
      </c>
      <c r="E40" s="1769">
        <v>2196030</v>
      </c>
      <c r="F40" s="1938">
        <f>3442541-218416</f>
        <v>3224125</v>
      </c>
      <c r="G40" s="1938">
        <f>3704000-3704000+218416</f>
        <v>218416</v>
      </c>
      <c r="H40" s="1938">
        <v>3704000</v>
      </c>
      <c r="I40" s="1938"/>
      <c r="J40" s="1938"/>
      <c r="K40" s="1938"/>
      <c r="L40" s="1938"/>
      <c r="M40" s="3374"/>
      <c r="N40" s="3374"/>
      <c r="O40" s="3405"/>
    </row>
    <row r="41" spans="1:15" s="806" customFormat="1" ht="14.25" customHeight="1">
      <c r="A41" s="3383"/>
      <c r="B41" s="791" t="s">
        <v>18</v>
      </c>
      <c r="C41" s="3409"/>
      <c r="D41" s="1936">
        <f>D42</f>
        <v>10380652</v>
      </c>
      <c r="E41" s="1937">
        <f t="shared" ref="E41:H41" si="27">E42</f>
        <v>9101121</v>
      </c>
      <c r="F41" s="1936">
        <f t="shared" si="27"/>
        <v>0</v>
      </c>
      <c r="G41" s="1936">
        <f t="shared" si="27"/>
        <v>0</v>
      </c>
      <c r="H41" s="1936">
        <f t="shared" si="27"/>
        <v>1279531</v>
      </c>
      <c r="I41" s="1936"/>
      <c r="J41" s="1936"/>
      <c r="K41" s="1936"/>
      <c r="L41" s="1936"/>
      <c r="M41" s="3374"/>
      <c r="N41" s="3374"/>
      <c r="O41" s="3405"/>
    </row>
    <row r="42" spans="1:15" s="806" customFormat="1" ht="12.75" thickBot="1">
      <c r="A42" s="3384"/>
      <c r="B42" s="82" t="s">
        <v>20</v>
      </c>
      <c r="C42" s="3411"/>
      <c r="D42" s="1026">
        <f>E42+F42+G42+H42+I42+J42+K42+L42</f>
        <v>10380652</v>
      </c>
      <c r="E42" s="1030">
        <v>9101121</v>
      </c>
      <c r="F42" s="796">
        <v>0</v>
      </c>
      <c r="G42" s="1467">
        <f>1569940-1569940</f>
        <v>0</v>
      </c>
      <c r="H42" s="1467">
        <v>1279531</v>
      </c>
      <c r="I42" s="1467"/>
      <c r="J42" s="1467"/>
      <c r="K42" s="1467"/>
      <c r="L42" s="1467"/>
      <c r="M42" s="3375"/>
      <c r="N42" s="3375"/>
      <c r="O42" s="3406"/>
    </row>
    <row r="43" spans="1:15" ht="18.75" customHeight="1">
      <c r="A43" s="3383" t="s">
        <v>64</v>
      </c>
      <c r="B43" s="803" t="s">
        <v>349</v>
      </c>
      <c r="C43" s="2164" t="s">
        <v>109</v>
      </c>
      <c r="D43" s="2164"/>
      <c r="E43" s="2164"/>
      <c r="F43" s="2165"/>
      <c r="G43" s="2165"/>
      <c r="H43" s="2165"/>
      <c r="I43" s="2165"/>
      <c r="J43" s="2165"/>
      <c r="K43" s="2165"/>
      <c r="L43" s="2165"/>
      <c r="M43" s="2166"/>
      <c r="N43" s="2166"/>
      <c r="O43" s="3398" t="s">
        <v>306</v>
      </c>
    </row>
    <row r="44" spans="1:15" ht="13.5" customHeight="1">
      <c r="A44" s="3383"/>
      <c r="B44" s="538" t="s">
        <v>10</v>
      </c>
      <c r="C44" s="2167"/>
      <c r="D44" s="2018">
        <f t="shared" ref="D44:L44" si="28">+D45+D48</f>
        <v>25156056</v>
      </c>
      <c r="E44" s="2018">
        <f t="shared" ref="E44" si="29">+E45+E48</f>
        <v>5960282</v>
      </c>
      <c r="F44" s="2129">
        <f t="shared" si="28"/>
        <v>3900000</v>
      </c>
      <c r="G44" s="2129">
        <f t="shared" si="28"/>
        <v>5500000</v>
      </c>
      <c r="H44" s="2129">
        <f t="shared" si="28"/>
        <v>2500000</v>
      </c>
      <c r="I44" s="2129">
        <f t="shared" si="28"/>
        <v>2720411</v>
      </c>
      <c r="J44" s="2129">
        <f t="shared" si="28"/>
        <v>1607579</v>
      </c>
      <c r="K44" s="2129">
        <f t="shared" si="28"/>
        <v>1607578</v>
      </c>
      <c r="L44" s="2129">
        <f t="shared" si="28"/>
        <v>1360206</v>
      </c>
      <c r="M44" s="2168">
        <f>+M45+M48</f>
        <v>19195774</v>
      </c>
      <c r="N44" s="2168">
        <f>+N45+N48</f>
        <v>15295774</v>
      </c>
      <c r="O44" s="3398"/>
    </row>
    <row r="45" spans="1:15" ht="13.5" customHeight="1">
      <c r="A45" s="3383"/>
      <c r="B45" s="783" t="s">
        <v>11</v>
      </c>
      <c r="C45" s="3400" t="s">
        <v>169</v>
      </c>
      <c r="D45" s="2083">
        <f>+D46+D47</f>
        <v>9149279</v>
      </c>
      <c r="E45" s="2083">
        <f t="shared" ref="E45" si="30">+E46+E47</f>
        <v>2167756</v>
      </c>
      <c r="F45" s="2169">
        <f t="shared" ref="F45:L45" si="31">+F46+F47</f>
        <v>1418000</v>
      </c>
      <c r="G45" s="2169">
        <f t="shared" si="31"/>
        <v>2000000</v>
      </c>
      <c r="H45" s="2169">
        <f t="shared" si="31"/>
        <v>909250</v>
      </c>
      <c r="I45" s="2169">
        <f t="shared" si="31"/>
        <v>989414</v>
      </c>
      <c r="J45" s="2169">
        <f t="shared" si="31"/>
        <v>585076</v>
      </c>
      <c r="K45" s="2169">
        <f t="shared" si="31"/>
        <v>585076</v>
      </c>
      <c r="L45" s="2169">
        <f t="shared" si="31"/>
        <v>494707</v>
      </c>
      <c r="M45" s="2170">
        <f>SUM(M46:M47)</f>
        <v>6981523</v>
      </c>
      <c r="N45" s="2170">
        <f>SUM(N46:N47)</f>
        <v>5563523</v>
      </c>
      <c r="O45" s="3398"/>
    </row>
    <row r="46" spans="1:15" ht="12.6" hidden="1" customHeight="1">
      <c r="A46" s="3383"/>
      <c r="B46" s="786" t="s">
        <v>12</v>
      </c>
      <c r="C46" s="3400"/>
      <c r="D46" s="1034">
        <f>E46+F46+G46+H46+I46+J46+K46+L46</f>
        <v>0</v>
      </c>
      <c r="E46" s="2171">
        <v>0</v>
      </c>
      <c r="F46" s="2172">
        <f>450000-450000</f>
        <v>0</v>
      </c>
      <c r="G46" s="2172">
        <f>500000-500000</f>
        <v>0</v>
      </c>
      <c r="H46" s="2172">
        <v>0</v>
      </c>
      <c r="I46" s="2172"/>
      <c r="J46" s="2172"/>
      <c r="K46" s="2172"/>
      <c r="L46" s="2172"/>
      <c r="M46" s="2173">
        <f>SUM(F46:K46)</f>
        <v>0</v>
      </c>
      <c r="N46" s="2173">
        <f>SUM(G46:L46)</f>
        <v>0</v>
      </c>
      <c r="O46" s="3398"/>
    </row>
    <row r="47" spans="1:15" ht="13.5" customHeight="1">
      <c r="A47" s="3383"/>
      <c r="B47" s="1450" t="s">
        <v>212</v>
      </c>
      <c r="C47" s="3400"/>
      <c r="D47" s="1034">
        <f>E47+F47+G47+H47+I47+J47+K47+L47</f>
        <v>9149279</v>
      </c>
      <c r="E47" s="2171">
        <v>2167756</v>
      </c>
      <c r="F47" s="2172">
        <f>2546000-1636750+205354+303396</f>
        <v>1418000</v>
      </c>
      <c r="G47" s="2172">
        <f>2910000-2000750-303396+585470+808676</f>
        <v>2000000</v>
      </c>
      <c r="H47" s="2172">
        <v>909250</v>
      </c>
      <c r="I47" s="2172">
        <v>989414</v>
      </c>
      <c r="J47" s="2172">
        <f>989414-404338</f>
        <v>585076</v>
      </c>
      <c r="K47" s="2172">
        <f>989414-404338</f>
        <v>585076</v>
      </c>
      <c r="L47" s="2172">
        <v>494707</v>
      </c>
      <c r="M47" s="2173">
        <f>SUM(F47:L47)</f>
        <v>6981523</v>
      </c>
      <c r="N47" s="2173">
        <f>SUM(G47:L47)</f>
        <v>5563523</v>
      </c>
      <c r="O47" s="3398"/>
    </row>
    <row r="48" spans="1:15" ht="13.5" customHeight="1">
      <c r="A48" s="3383"/>
      <c r="B48" s="791" t="s">
        <v>18</v>
      </c>
      <c r="C48" s="3400"/>
      <c r="D48" s="2083">
        <f>+D49</f>
        <v>16006777</v>
      </c>
      <c r="E48" s="2083">
        <f t="shared" ref="E48:L48" si="32">+E49</f>
        <v>3792526</v>
      </c>
      <c r="F48" s="2083">
        <f t="shared" si="32"/>
        <v>2482000</v>
      </c>
      <c r="G48" s="2083">
        <f t="shared" si="32"/>
        <v>3500000</v>
      </c>
      <c r="H48" s="2083">
        <f t="shared" si="32"/>
        <v>1590750</v>
      </c>
      <c r="I48" s="2083">
        <f t="shared" si="32"/>
        <v>1730997</v>
      </c>
      <c r="J48" s="2083">
        <f t="shared" si="32"/>
        <v>1022503</v>
      </c>
      <c r="K48" s="2083">
        <f t="shared" si="32"/>
        <v>1022502</v>
      </c>
      <c r="L48" s="2083">
        <f t="shared" si="32"/>
        <v>865499</v>
      </c>
      <c r="M48" s="2084">
        <f>+M49</f>
        <v>12214251</v>
      </c>
      <c r="N48" s="2084">
        <f>+N49</f>
        <v>9732251</v>
      </c>
      <c r="O48" s="3398"/>
    </row>
    <row r="49" spans="1:16" ht="13.5" customHeight="1">
      <c r="A49" s="3383"/>
      <c r="B49" s="1450" t="s">
        <v>320</v>
      </c>
      <c r="C49" s="3400"/>
      <c r="D49" s="1034">
        <f>E49+F49+G49+H49+I49+J49+K49+L49</f>
        <v>16006777</v>
      </c>
      <c r="E49" s="2171">
        <v>3792526</v>
      </c>
      <c r="F49" s="2172">
        <f>4454000-2863250+358256+532994</f>
        <v>2482000</v>
      </c>
      <c r="G49" s="2172">
        <f>5090000-3499250-532994+1025255+1416989</f>
        <v>3500000</v>
      </c>
      <c r="H49" s="2172">
        <v>1590750</v>
      </c>
      <c r="I49" s="2172">
        <v>1730997</v>
      </c>
      <c r="J49" s="2172">
        <f>1730997-708494</f>
        <v>1022503</v>
      </c>
      <c r="K49" s="2172">
        <f>1730997-708495</f>
        <v>1022502</v>
      </c>
      <c r="L49" s="2172">
        <v>865499</v>
      </c>
      <c r="M49" s="2173">
        <f>SUM(F49:L49)</f>
        <v>12214251</v>
      </c>
      <c r="N49" s="2173">
        <f>SUM(G49:L49)</f>
        <v>9732251</v>
      </c>
      <c r="O49" s="3398"/>
    </row>
    <row r="50" spans="1:16" ht="14.25" customHeight="1">
      <c r="A50" s="3383"/>
      <c r="B50" s="538" t="s">
        <v>22</v>
      </c>
      <c r="C50" s="2167"/>
      <c r="D50" s="2129">
        <f>+D51+D54</f>
        <v>25156056</v>
      </c>
      <c r="E50" s="2129">
        <f t="shared" ref="E50" si="33">+E51+E54</f>
        <v>5960282</v>
      </c>
      <c r="F50" s="2129">
        <f t="shared" ref="F50:L50" si="34">+F51+F54</f>
        <v>3900000</v>
      </c>
      <c r="G50" s="2129">
        <f t="shared" si="34"/>
        <v>5500000</v>
      </c>
      <c r="H50" s="2129">
        <f t="shared" si="34"/>
        <v>2500000</v>
      </c>
      <c r="I50" s="2129">
        <f t="shared" si="34"/>
        <v>2720411</v>
      </c>
      <c r="J50" s="2129">
        <f t="shared" si="34"/>
        <v>1607579</v>
      </c>
      <c r="K50" s="2129">
        <f t="shared" si="34"/>
        <v>1607578</v>
      </c>
      <c r="L50" s="2129">
        <f t="shared" si="34"/>
        <v>1360206</v>
      </c>
      <c r="M50" s="3403" t="s">
        <v>61</v>
      </c>
      <c r="N50" s="3403" t="s">
        <v>61</v>
      </c>
      <c r="O50" s="3398"/>
    </row>
    <row r="51" spans="1:16" ht="13.5" customHeight="1">
      <c r="A51" s="3383"/>
      <c r="B51" s="783" t="s">
        <v>11</v>
      </c>
      <c r="C51" s="3401" t="s">
        <v>169</v>
      </c>
      <c r="D51" s="2083">
        <f>+D52</f>
        <v>9149279</v>
      </c>
      <c r="E51" s="2083">
        <f t="shared" ref="E51:L51" si="35">+E52</f>
        <v>2167756</v>
      </c>
      <c r="F51" s="2169">
        <f t="shared" si="35"/>
        <v>1418000</v>
      </c>
      <c r="G51" s="2169">
        <f t="shared" si="35"/>
        <v>2000000</v>
      </c>
      <c r="H51" s="2169">
        <f t="shared" si="35"/>
        <v>909250</v>
      </c>
      <c r="I51" s="2169">
        <f t="shared" si="35"/>
        <v>989414</v>
      </c>
      <c r="J51" s="2169">
        <f t="shared" si="35"/>
        <v>585076</v>
      </c>
      <c r="K51" s="2169">
        <f t="shared" si="35"/>
        <v>585076</v>
      </c>
      <c r="L51" s="2169">
        <f t="shared" si="35"/>
        <v>494707</v>
      </c>
      <c r="M51" s="3403"/>
      <c r="N51" s="3403"/>
      <c r="O51" s="3398"/>
    </row>
    <row r="52" spans="1:16" ht="12.75" customHeight="1">
      <c r="A52" s="3383"/>
      <c r="B52" s="1450" t="s">
        <v>212</v>
      </c>
      <c r="C52" s="3401"/>
      <c r="D52" s="1034">
        <f>E52+F52+G52+H52+I52+J52+K52+L52</f>
        <v>9149279</v>
      </c>
      <c r="E52" s="2171">
        <v>2167756</v>
      </c>
      <c r="F52" s="2172">
        <f>2546000-1636750+205354+303396</f>
        <v>1418000</v>
      </c>
      <c r="G52" s="2172">
        <f>2910000-2000750-303396+585470+808676</f>
        <v>2000000</v>
      </c>
      <c r="H52" s="2172">
        <v>909250</v>
      </c>
      <c r="I52" s="2172">
        <v>989414</v>
      </c>
      <c r="J52" s="2172">
        <f>989414-404338</f>
        <v>585076</v>
      </c>
      <c r="K52" s="2172">
        <f>989414-404338</f>
        <v>585076</v>
      </c>
      <c r="L52" s="2172">
        <v>494707</v>
      </c>
      <c r="M52" s="3403"/>
      <c r="N52" s="3403"/>
      <c r="O52" s="3398"/>
    </row>
    <row r="53" spans="1:16" ht="13.5" hidden="1" customHeight="1">
      <c r="A53" s="3383"/>
      <c r="B53" s="786" t="s">
        <v>25</v>
      </c>
      <c r="C53" s="3401"/>
      <c r="D53" s="1034">
        <f>E53+F53+G53+H53+I53+J53+K53+L53</f>
        <v>0</v>
      </c>
      <c r="E53" s="2171">
        <v>0</v>
      </c>
      <c r="F53" s="2172"/>
      <c r="G53" s="2172"/>
      <c r="H53" s="2172"/>
      <c r="I53" s="2172"/>
      <c r="J53" s="2172"/>
      <c r="K53" s="2172"/>
      <c r="L53" s="2172"/>
      <c r="M53" s="3403"/>
      <c r="N53" s="3403"/>
      <c r="O53" s="3398"/>
    </row>
    <row r="54" spans="1:16" ht="12.75" customHeight="1">
      <c r="A54" s="3383"/>
      <c r="B54" s="791" t="s">
        <v>18</v>
      </c>
      <c r="C54" s="3401"/>
      <c r="D54" s="2083">
        <f>+D55</f>
        <v>16006777</v>
      </c>
      <c r="E54" s="2083">
        <f t="shared" ref="E54:L54" si="36">+E55</f>
        <v>3792526</v>
      </c>
      <c r="F54" s="2169">
        <f t="shared" si="36"/>
        <v>2482000</v>
      </c>
      <c r="G54" s="2169">
        <f t="shared" si="36"/>
        <v>3500000</v>
      </c>
      <c r="H54" s="2169">
        <f t="shared" si="36"/>
        <v>1590750</v>
      </c>
      <c r="I54" s="2169">
        <f t="shared" si="36"/>
        <v>1730997</v>
      </c>
      <c r="J54" s="2169">
        <f t="shared" si="36"/>
        <v>1022503</v>
      </c>
      <c r="K54" s="2169">
        <f t="shared" si="36"/>
        <v>1022502</v>
      </c>
      <c r="L54" s="2169">
        <f t="shared" si="36"/>
        <v>865499</v>
      </c>
      <c r="M54" s="3403"/>
      <c r="N54" s="3403"/>
      <c r="O54" s="3398"/>
    </row>
    <row r="55" spans="1:16" ht="12.75" customHeight="1" thickBot="1">
      <c r="A55" s="3384"/>
      <c r="B55" s="2174" t="s">
        <v>320</v>
      </c>
      <c r="C55" s="3402"/>
      <c r="D55" s="1026">
        <f>E55+F55+G55+H55+I55+J55+K55+L55</f>
        <v>16006777</v>
      </c>
      <c r="E55" s="1030">
        <v>3792526</v>
      </c>
      <c r="F55" s="796">
        <f>4454000-2863250+358256+532994</f>
        <v>2482000</v>
      </c>
      <c r="G55" s="2172">
        <f>5090000-3499250-532994+1025255+1416989</f>
        <v>3500000</v>
      </c>
      <c r="H55" s="796">
        <v>1590750</v>
      </c>
      <c r="I55" s="796">
        <v>1730997</v>
      </c>
      <c r="J55" s="796">
        <f>1730997-708494</f>
        <v>1022503</v>
      </c>
      <c r="K55" s="796">
        <f>1730997-708495</f>
        <v>1022502</v>
      </c>
      <c r="L55" s="796">
        <v>865499</v>
      </c>
      <c r="M55" s="3085"/>
      <c r="N55" s="3085"/>
      <c r="O55" s="3399"/>
    </row>
    <row r="56" spans="1:16" ht="11.25" hidden="1" customHeight="1" thickBot="1">
      <c r="A56" s="820"/>
      <c r="B56" s="821" t="s">
        <v>20</v>
      </c>
      <c r="C56" s="822"/>
      <c r="D56" s="1102">
        <f>E56+F56+G56+H56+I56+J56+K56+L56</f>
        <v>0</v>
      </c>
      <c r="E56" s="823"/>
      <c r="F56" s="823"/>
      <c r="G56" s="823"/>
      <c r="H56" s="823"/>
      <c r="I56" s="823"/>
      <c r="J56" s="823"/>
      <c r="K56" s="823"/>
      <c r="L56" s="823"/>
      <c r="M56" s="824"/>
      <c r="N56" s="824"/>
      <c r="O56" s="825"/>
    </row>
    <row r="57" spans="1:16" ht="51" customHeight="1">
      <c r="A57" s="2927" t="s">
        <v>65</v>
      </c>
      <c r="B57" s="2467" t="s">
        <v>506</v>
      </c>
      <c r="C57" s="2064" t="s">
        <v>81</v>
      </c>
      <c r="D57" s="842"/>
      <c r="E57" s="1916"/>
      <c r="F57" s="844"/>
      <c r="G57" s="844"/>
      <c r="H57" s="844"/>
      <c r="I57" s="843"/>
      <c r="J57" s="843"/>
      <c r="K57" s="843"/>
      <c r="L57" s="843"/>
      <c r="M57" s="845"/>
      <c r="N57" s="845"/>
      <c r="O57" s="3035" t="s">
        <v>346</v>
      </c>
    </row>
    <row r="58" spans="1:16" ht="15.75" customHeight="1">
      <c r="A58" s="2927"/>
      <c r="B58" s="2016" t="s">
        <v>10</v>
      </c>
      <c r="C58" s="2017"/>
      <c r="D58" s="2018">
        <f>+D59+D61</f>
        <v>1016020</v>
      </c>
      <c r="E58" s="2018">
        <f>+E59+E61</f>
        <v>49100</v>
      </c>
      <c r="F58" s="2018">
        <f>+F59+F61</f>
        <v>0</v>
      </c>
      <c r="G58" s="2018">
        <f t="shared" ref="G58:I58" si="37">+G59+G61</f>
        <v>443730</v>
      </c>
      <c r="H58" s="2018">
        <f t="shared" si="37"/>
        <v>344790</v>
      </c>
      <c r="I58" s="2018">
        <f t="shared" si="37"/>
        <v>178400</v>
      </c>
      <c r="J58" s="2018">
        <v>0</v>
      </c>
      <c r="K58" s="2018">
        <v>0</v>
      </c>
      <c r="L58" s="2018">
        <v>0</v>
      </c>
      <c r="M58" s="2019">
        <f>+M59+M61</f>
        <v>966920</v>
      </c>
      <c r="N58" s="2019">
        <f>+N59+N61</f>
        <v>966920</v>
      </c>
      <c r="O58" s="3036"/>
      <c r="P58" s="332" t="s">
        <v>414</v>
      </c>
    </row>
    <row r="59" spans="1:16" ht="12.75" customHeight="1">
      <c r="A59" s="2927"/>
      <c r="B59" s="2020" t="s">
        <v>24</v>
      </c>
      <c r="C59" s="2920" t="s">
        <v>193</v>
      </c>
      <c r="D59" s="2021">
        <f>+D60</f>
        <v>174504</v>
      </c>
      <c r="E59" s="1470">
        <f>+E60</f>
        <v>29465</v>
      </c>
      <c r="F59" s="1470">
        <f>+F60</f>
        <v>0</v>
      </c>
      <c r="G59" s="1470">
        <f>+G60</f>
        <v>66560</v>
      </c>
      <c r="H59" s="1470">
        <f t="shared" ref="H59:I59" si="38">+H60</f>
        <v>51719</v>
      </c>
      <c r="I59" s="1470">
        <f t="shared" si="38"/>
        <v>26760</v>
      </c>
      <c r="J59" s="2027">
        <v>0</v>
      </c>
      <c r="K59" s="2027">
        <v>0</v>
      </c>
      <c r="L59" s="2027">
        <v>0</v>
      </c>
      <c r="M59" s="2022">
        <f>+M60</f>
        <v>145039</v>
      </c>
      <c r="N59" s="2022">
        <f>+N60</f>
        <v>145039</v>
      </c>
      <c r="O59" s="3036"/>
    </row>
    <row r="60" spans="1:16" ht="12.75" customHeight="1">
      <c r="A60" s="2927"/>
      <c r="B60" s="2023" t="s">
        <v>12</v>
      </c>
      <c r="C60" s="2947"/>
      <c r="D60" s="1034">
        <f>E60+F60+G60+H60+I60+J60+K60+L60</f>
        <v>174504</v>
      </c>
      <c r="E60" s="1034">
        <v>29465</v>
      </c>
      <c r="F60" s="1080">
        <f>16229-16229</f>
        <v>0</v>
      </c>
      <c r="G60" s="1080">
        <f>53796+12764</f>
        <v>66560</v>
      </c>
      <c r="H60" s="1080">
        <v>51719</v>
      </c>
      <c r="I60" s="1080">
        <v>26760</v>
      </c>
      <c r="J60" s="2027">
        <v>0</v>
      </c>
      <c r="K60" s="2027">
        <v>0</v>
      </c>
      <c r="L60" s="2027">
        <v>0</v>
      </c>
      <c r="M60" s="2515">
        <f>SUM(F60:K60)</f>
        <v>145039</v>
      </c>
      <c r="N60" s="2515">
        <f>SUM(G60:L60)</f>
        <v>145039</v>
      </c>
      <c r="O60" s="3036"/>
    </row>
    <row r="61" spans="1:16" ht="14.25" customHeight="1">
      <c r="A61" s="2927"/>
      <c r="B61" s="2025" t="s">
        <v>18</v>
      </c>
      <c r="C61" s="2947"/>
      <c r="D61" s="2021">
        <f>+D62</f>
        <v>841516</v>
      </c>
      <c r="E61" s="1470">
        <f>+E62</f>
        <v>19635</v>
      </c>
      <c r="F61" s="1470">
        <f>+F62</f>
        <v>0</v>
      </c>
      <c r="G61" s="1470">
        <f t="shared" ref="G61:I61" si="39">+G62</f>
        <v>377170</v>
      </c>
      <c r="H61" s="1470">
        <f t="shared" si="39"/>
        <v>293071</v>
      </c>
      <c r="I61" s="1470">
        <f t="shared" si="39"/>
        <v>151640</v>
      </c>
      <c r="J61" s="2027">
        <v>0</v>
      </c>
      <c r="K61" s="2027">
        <v>0</v>
      </c>
      <c r="L61" s="2027">
        <v>0</v>
      </c>
      <c r="M61" s="2022">
        <f>+M62</f>
        <v>821881</v>
      </c>
      <c r="N61" s="2022">
        <f>+N62</f>
        <v>821881</v>
      </c>
      <c r="O61" s="3036"/>
    </row>
    <row r="62" spans="1:16" ht="12.75" customHeight="1">
      <c r="A62" s="2927"/>
      <c r="B62" s="285" t="s">
        <v>21</v>
      </c>
      <c r="C62" s="2922"/>
      <c r="D62" s="1034">
        <f>E62+F62+G62+H62+I62+J62+K62+L62</f>
        <v>841516</v>
      </c>
      <c r="E62" s="1997">
        <v>19635</v>
      </c>
      <c r="F62" s="2041">
        <f>91961-91961</f>
        <v>0</v>
      </c>
      <c r="G62" s="2041">
        <f>304844+72326</f>
        <v>377170</v>
      </c>
      <c r="H62" s="2041">
        <v>293071</v>
      </c>
      <c r="I62" s="2041">
        <v>151640</v>
      </c>
      <c r="J62" s="2027">
        <v>0</v>
      </c>
      <c r="K62" s="2027">
        <v>0</v>
      </c>
      <c r="L62" s="2027">
        <v>0</v>
      </c>
      <c r="M62" s="2515">
        <f>SUM(F62:K62)</f>
        <v>821881</v>
      </c>
      <c r="N62" s="2515">
        <f>SUM(G62:L62)</f>
        <v>821881</v>
      </c>
      <c r="O62" s="3425"/>
    </row>
    <row r="63" spans="1:16" ht="12" customHeight="1">
      <c r="A63" s="2927"/>
      <c r="B63" s="2016" t="s">
        <v>22</v>
      </c>
      <c r="C63" s="2017"/>
      <c r="D63" s="2018">
        <f t="shared" ref="D63:I64" si="40">+D64</f>
        <v>841516</v>
      </c>
      <c r="E63" s="104">
        <f t="shared" si="40"/>
        <v>0</v>
      </c>
      <c r="F63" s="104">
        <f t="shared" si="40"/>
        <v>91961</v>
      </c>
      <c r="G63" s="104">
        <f t="shared" si="40"/>
        <v>304844</v>
      </c>
      <c r="H63" s="104">
        <f t="shared" si="40"/>
        <v>293071</v>
      </c>
      <c r="I63" s="104">
        <f t="shared" si="40"/>
        <v>151640</v>
      </c>
      <c r="J63" s="2018">
        <v>0</v>
      </c>
      <c r="K63" s="2018">
        <v>0</v>
      </c>
      <c r="L63" s="2018">
        <v>0</v>
      </c>
      <c r="M63" s="2901"/>
      <c r="N63" s="2901"/>
      <c r="O63" s="3036" t="s">
        <v>199</v>
      </c>
    </row>
    <row r="64" spans="1:16" ht="13.5" customHeight="1">
      <c r="A64" s="2927"/>
      <c r="B64" s="2025" t="s">
        <v>18</v>
      </c>
      <c r="C64" s="2974" t="s">
        <v>196</v>
      </c>
      <c r="D64" s="2021">
        <f t="shared" si="40"/>
        <v>841516</v>
      </c>
      <c r="E64" s="2027">
        <f t="shared" si="40"/>
        <v>0</v>
      </c>
      <c r="F64" s="2027">
        <f t="shared" si="40"/>
        <v>91961</v>
      </c>
      <c r="G64" s="2027">
        <f t="shared" si="40"/>
        <v>304844</v>
      </c>
      <c r="H64" s="2027">
        <f t="shared" si="40"/>
        <v>293071</v>
      </c>
      <c r="I64" s="2027">
        <f t="shared" si="40"/>
        <v>151640</v>
      </c>
      <c r="J64" s="2027">
        <v>0</v>
      </c>
      <c r="K64" s="2027">
        <v>0</v>
      </c>
      <c r="L64" s="2027">
        <v>0</v>
      </c>
      <c r="M64" s="2874"/>
      <c r="N64" s="2874"/>
      <c r="O64" s="3036"/>
    </row>
    <row r="65" spans="1:16" ht="13.5" customHeight="1" thickBot="1">
      <c r="A65" s="2928"/>
      <c r="B65" s="234" t="s">
        <v>21</v>
      </c>
      <c r="C65" s="2921"/>
      <c r="D65" s="1034">
        <f>E65+F65+G65+H65+I65+J65+K65+L65</f>
        <v>841516</v>
      </c>
      <c r="E65" s="1034">
        <v>0</v>
      </c>
      <c r="F65" s="2499">
        <v>91961</v>
      </c>
      <c r="G65" s="2499">
        <v>304844</v>
      </c>
      <c r="H65" s="2499">
        <v>293071</v>
      </c>
      <c r="I65" s="2499">
        <v>151640</v>
      </c>
      <c r="J65" s="2499">
        <v>0</v>
      </c>
      <c r="K65" s="2499">
        <v>0</v>
      </c>
      <c r="L65" s="2499">
        <v>0</v>
      </c>
      <c r="M65" s="2875"/>
      <c r="N65" s="2875"/>
      <c r="O65" s="3037"/>
    </row>
    <row r="66" spans="1:16" ht="50.25" customHeight="1">
      <c r="A66" s="2926" t="s">
        <v>66</v>
      </c>
      <c r="B66" s="2467" t="s">
        <v>369</v>
      </c>
      <c r="C66" s="2064" t="s">
        <v>173</v>
      </c>
      <c r="D66" s="842"/>
      <c r="E66" s="843"/>
      <c r="F66" s="844"/>
      <c r="G66" s="844"/>
      <c r="H66" s="844"/>
      <c r="I66" s="843"/>
      <c r="J66" s="843"/>
      <c r="K66" s="843"/>
      <c r="L66" s="843"/>
      <c r="M66" s="845"/>
      <c r="N66" s="845"/>
      <c r="O66" s="3035" t="s">
        <v>346</v>
      </c>
    </row>
    <row r="67" spans="1:16" ht="13.5" customHeight="1">
      <c r="A67" s="2927"/>
      <c r="B67" s="2016" t="s">
        <v>10</v>
      </c>
      <c r="C67" s="2017"/>
      <c r="D67" s="2018">
        <f>+D68+D70</f>
        <v>9980</v>
      </c>
      <c r="E67" s="2018">
        <f>+E68+E70</f>
        <v>0</v>
      </c>
      <c r="F67" s="2018">
        <f>+F68+F70</f>
        <v>3380</v>
      </c>
      <c r="G67" s="2018">
        <f t="shared" ref="G67:H67" si="41">+G68+G70</f>
        <v>3300</v>
      </c>
      <c r="H67" s="2018">
        <f t="shared" si="41"/>
        <v>3300</v>
      </c>
      <c r="I67" s="2018">
        <v>0</v>
      </c>
      <c r="J67" s="2018">
        <v>0</v>
      </c>
      <c r="K67" s="2018">
        <v>0</v>
      </c>
      <c r="L67" s="2018">
        <v>0</v>
      </c>
      <c r="M67" s="2019">
        <f>+M68+M70</f>
        <v>9980</v>
      </c>
      <c r="N67" s="2019">
        <f>+N68+N70</f>
        <v>6600</v>
      </c>
      <c r="O67" s="3036"/>
    </row>
    <row r="68" spans="1:16" ht="13.5" customHeight="1">
      <c r="A68" s="2927"/>
      <c r="B68" s="2020" t="s">
        <v>24</v>
      </c>
      <c r="C68" s="2920" t="s">
        <v>193</v>
      </c>
      <c r="D68" s="2021">
        <f>+D69</f>
        <v>1497</v>
      </c>
      <c r="E68" s="1470">
        <f>+E69</f>
        <v>0</v>
      </c>
      <c r="F68" s="1470">
        <f>+F69</f>
        <v>507</v>
      </c>
      <c r="G68" s="1470">
        <f t="shared" ref="G68:H68" si="42">+G69</f>
        <v>495</v>
      </c>
      <c r="H68" s="1470">
        <f t="shared" si="42"/>
        <v>495</v>
      </c>
      <c r="I68" s="2027">
        <v>0</v>
      </c>
      <c r="J68" s="2027">
        <v>0</v>
      </c>
      <c r="K68" s="2027">
        <v>0</v>
      </c>
      <c r="L68" s="2027">
        <v>0</v>
      </c>
      <c r="M68" s="2022">
        <f>+M69</f>
        <v>1497</v>
      </c>
      <c r="N68" s="2022">
        <f>+N69</f>
        <v>990</v>
      </c>
      <c r="O68" s="3036"/>
      <c r="P68" s="332" t="s">
        <v>414</v>
      </c>
    </row>
    <row r="69" spans="1:16" ht="13.5" customHeight="1">
      <c r="A69" s="2927"/>
      <c r="B69" s="2023" t="s">
        <v>12</v>
      </c>
      <c r="C69" s="2947"/>
      <c r="D69" s="1034">
        <f>E69+F69+G69+H69+I69+J69+K69+L69</f>
        <v>1497</v>
      </c>
      <c r="E69" s="1034">
        <v>0</v>
      </c>
      <c r="F69" s="1080">
        <v>507</v>
      </c>
      <c r="G69" s="1080">
        <v>495</v>
      </c>
      <c r="H69" s="1080">
        <v>495</v>
      </c>
      <c r="I69" s="2027">
        <v>0</v>
      </c>
      <c r="J69" s="2027">
        <v>0</v>
      </c>
      <c r="K69" s="2027">
        <v>0</v>
      </c>
      <c r="L69" s="2027">
        <v>0</v>
      </c>
      <c r="M69" s="2515">
        <f>SUM(F69:K69)</f>
        <v>1497</v>
      </c>
      <c r="N69" s="2515">
        <f>SUM(G69:L69)</f>
        <v>990</v>
      </c>
      <c r="O69" s="3036"/>
    </row>
    <row r="70" spans="1:16" ht="13.5" customHeight="1">
      <c r="A70" s="2927"/>
      <c r="B70" s="2025" t="s">
        <v>18</v>
      </c>
      <c r="C70" s="2947"/>
      <c r="D70" s="2021">
        <f>+D71</f>
        <v>8483</v>
      </c>
      <c r="E70" s="1470">
        <f>+E71</f>
        <v>0</v>
      </c>
      <c r="F70" s="1470">
        <f>+F71</f>
        <v>2873</v>
      </c>
      <c r="G70" s="1470">
        <f t="shared" ref="G70:H70" si="43">+G71</f>
        <v>2805</v>
      </c>
      <c r="H70" s="1470">
        <f t="shared" si="43"/>
        <v>2805</v>
      </c>
      <c r="I70" s="2027">
        <v>0</v>
      </c>
      <c r="J70" s="2027">
        <v>0</v>
      </c>
      <c r="K70" s="2027">
        <v>0</v>
      </c>
      <c r="L70" s="2027">
        <v>0</v>
      </c>
      <c r="M70" s="2022">
        <f>+M71</f>
        <v>8483</v>
      </c>
      <c r="N70" s="2022">
        <f>+N71</f>
        <v>5610</v>
      </c>
      <c r="O70" s="3036"/>
    </row>
    <row r="71" spans="1:16" ht="13.5" customHeight="1">
      <c r="A71" s="2927"/>
      <c r="B71" s="285" t="s">
        <v>21</v>
      </c>
      <c r="C71" s="2922"/>
      <c r="D71" s="1034">
        <f>E71+F71+G71+H71+I71+J71+K71+L71</f>
        <v>8483</v>
      </c>
      <c r="E71" s="1034">
        <v>0</v>
      </c>
      <c r="F71" s="1080">
        <v>2873</v>
      </c>
      <c r="G71" s="1080">
        <v>2805</v>
      </c>
      <c r="H71" s="1080">
        <v>2805</v>
      </c>
      <c r="I71" s="2027">
        <v>0</v>
      </c>
      <c r="J71" s="2027">
        <v>0</v>
      </c>
      <c r="K71" s="2027">
        <v>0</v>
      </c>
      <c r="L71" s="2027">
        <v>0</v>
      </c>
      <c r="M71" s="2515">
        <f>SUM(F71:K71)</f>
        <v>8483</v>
      </c>
      <c r="N71" s="2515">
        <f>SUM(G71:L71)</f>
        <v>5610</v>
      </c>
      <c r="O71" s="3425"/>
    </row>
    <row r="72" spans="1:16" ht="13.5" customHeight="1">
      <c r="A72" s="2927"/>
      <c r="B72" s="2016" t="s">
        <v>22</v>
      </c>
      <c r="C72" s="2017"/>
      <c r="D72" s="2018">
        <f t="shared" ref="D72:H73" si="44">+D73</f>
        <v>8483</v>
      </c>
      <c r="E72" s="2018">
        <f t="shared" si="44"/>
        <v>0</v>
      </c>
      <c r="F72" s="2018">
        <f t="shared" si="44"/>
        <v>2873</v>
      </c>
      <c r="G72" s="2018">
        <f t="shared" si="44"/>
        <v>2805</v>
      </c>
      <c r="H72" s="2018">
        <f t="shared" si="44"/>
        <v>2805</v>
      </c>
      <c r="I72" s="2018">
        <v>0</v>
      </c>
      <c r="J72" s="2018">
        <v>0</v>
      </c>
      <c r="K72" s="2018">
        <v>0</v>
      </c>
      <c r="L72" s="2018">
        <v>0</v>
      </c>
      <c r="M72" s="2901"/>
      <c r="N72" s="2901"/>
      <c r="O72" s="3036" t="s">
        <v>199</v>
      </c>
    </row>
    <row r="73" spans="1:16" ht="13.5" customHeight="1">
      <c r="A73" s="2927"/>
      <c r="B73" s="2025" t="s">
        <v>18</v>
      </c>
      <c r="C73" s="2974" t="s">
        <v>196</v>
      </c>
      <c r="D73" s="2021">
        <f t="shared" si="44"/>
        <v>8483</v>
      </c>
      <c r="E73" s="2027">
        <f t="shared" si="44"/>
        <v>0</v>
      </c>
      <c r="F73" s="2027">
        <f t="shared" si="44"/>
        <v>2873</v>
      </c>
      <c r="G73" s="2027">
        <f t="shared" si="44"/>
        <v>2805</v>
      </c>
      <c r="H73" s="2027">
        <f t="shared" si="44"/>
        <v>2805</v>
      </c>
      <c r="I73" s="2027">
        <v>0</v>
      </c>
      <c r="J73" s="2027">
        <v>0</v>
      </c>
      <c r="K73" s="2027">
        <v>0</v>
      </c>
      <c r="L73" s="2027">
        <v>0</v>
      </c>
      <c r="M73" s="2874"/>
      <c r="N73" s="2874"/>
      <c r="O73" s="3036"/>
    </row>
    <row r="74" spans="1:16" ht="13.5" customHeight="1" thickBot="1">
      <c r="A74" s="2928"/>
      <c r="B74" s="234" t="s">
        <v>21</v>
      </c>
      <c r="C74" s="2921"/>
      <c r="D74" s="2222">
        <f>E74+F74+G74+H74+I74+J74+K74+L74</f>
        <v>8483</v>
      </c>
      <c r="E74" s="2222">
        <v>0</v>
      </c>
      <c r="F74" s="2499">
        <v>2873</v>
      </c>
      <c r="G74" s="2499">
        <v>2805</v>
      </c>
      <c r="H74" s="2499">
        <v>2805</v>
      </c>
      <c r="I74" s="2499">
        <v>0</v>
      </c>
      <c r="J74" s="2499">
        <v>0</v>
      </c>
      <c r="K74" s="2499">
        <v>0</v>
      </c>
      <c r="L74" s="2499">
        <v>0</v>
      </c>
      <c r="M74" s="2875"/>
      <c r="N74" s="2875"/>
      <c r="O74" s="3037"/>
    </row>
    <row r="75" spans="1:16" s="826" customFormat="1" ht="36" customHeight="1">
      <c r="A75" s="1525" t="s">
        <v>170</v>
      </c>
      <c r="B75" s="1526"/>
      <c r="C75" s="1526"/>
      <c r="D75" s="1526"/>
      <c r="E75" s="1526"/>
      <c r="F75" s="1526"/>
      <c r="G75" s="1526"/>
      <c r="H75" s="1526"/>
      <c r="I75" s="1526"/>
      <c r="J75" s="1526"/>
      <c r="K75" s="1526"/>
      <c r="L75" s="1526"/>
      <c r="M75" s="1527"/>
      <c r="N75" s="1527"/>
      <c r="O75" s="1528"/>
    </row>
    <row r="76" spans="1:16" s="2065" customFormat="1" ht="19.5" customHeight="1">
      <c r="A76" s="1529"/>
      <c r="B76" s="774" t="s">
        <v>76</v>
      </c>
      <c r="C76" s="225"/>
      <c r="D76" s="226">
        <f>+D77+D78</f>
        <v>144060800</v>
      </c>
      <c r="E76" s="1451">
        <f>+E77+E78</f>
        <v>0</v>
      </c>
      <c r="F76" s="226">
        <f t="shared" ref="F76:N76" si="45">+F77+F78</f>
        <v>4004443</v>
      </c>
      <c r="G76" s="226">
        <f t="shared" si="45"/>
        <v>18864240</v>
      </c>
      <c r="H76" s="226">
        <f t="shared" si="45"/>
        <v>60161157</v>
      </c>
      <c r="I76" s="226">
        <f t="shared" si="45"/>
        <v>20384000</v>
      </c>
      <c r="J76" s="226">
        <f t="shared" si="45"/>
        <v>40060800</v>
      </c>
      <c r="K76" s="226">
        <f t="shared" si="45"/>
        <v>586160</v>
      </c>
      <c r="L76" s="226">
        <f t="shared" si="45"/>
        <v>0</v>
      </c>
      <c r="M76" s="153">
        <f t="shared" ref="M76" si="46">+M77+M78</f>
        <v>22868683</v>
      </c>
      <c r="N76" s="153">
        <f t="shared" si="45"/>
        <v>83029840</v>
      </c>
      <c r="O76" s="17"/>
    </row>
    <row r="77" spans="1:16" s="2065" customFormat="1" ht="12.75" customHeight="1">
      <c r="A77" s="779"/>
      <c r="B77" s="1452" t="s">
        <v>77</v>
      </c>
      <c r="C77" s="2567"/>
      <c r="D77" s="2568">
        <f>D102</f>
        <v>0</v>
      </c>
      <c r="E77" s="2569">
        <f t="shared" ref="E77:L77" si="47">E102</f>
        <v>0</v>
      </c>
      <c r="F77" s="2568">
        <f t="shared" si="47"/>
        <v>0</v>
      </c>
      <c r="G77" s="2568">
        <f t="shared" si="47"/>
        <v>0</v>
      </c>
      <c r="H77" s="2568">
        <f t="shared" si="47"/>
        <v>0</v>
      </c>
      <c r="I77" s="2568">
        <f t="shared" si="47"/>
        <v>0</v>
      </c>
      <c r="J77" s="2568">
        <f t="shared" si="47"/>
        <v>0</v>
      </c>
      <c r="K77" s="2568">
        <f t="shared" si="47"/>
        <v>0</v>
      </c>
      <c r="L77" s="2568">
        <f t="shared" si="47"/>
        <v>0</v>
      </c>
      <c r="M77" s="2570">
        <f>SUM(E77:G77)</f>
        <v>0</v>
      </c>
      <c r="N77" s="2570">
        <f>SUM(F77:H77)</f>
        <v>0</v>
      </c>
      <c r="O77" s="17"/>
    </row>
    <row r="78" spans="1:16" s="2065" customFormat="1" ht="15" customHeight="1">
      <c r="A78" s="779"/>
      <c r="B78" s="1453" t="s">
        <v>9</v>
      </c>
      <c r="C78" s="2571"/>
      <c r="D78" s="2572">
        <f>+D106+D93</f>
        <v>144060800</v>
      </c>
      <c r="E78" s="2573">
        <f t="shared" ref="E78:L78" si="48">+E106+E93</f>
        <v>0</v>
      </c>
      <c r="F78" s="2572">
        <f t="shared" si="48"/>
        <v>4004443</v>
      </c>
      <c r="G78" s="2572">
        <f t="shared" si="48"/>
        <v>18864240</v>
      </c>
      <c r="H78" s="2572">
        <f t="shared" si="48"/>
        <v>60161157</v>
      </c>
      <c r="I78" s="2572">
        <f t="shared" si="48"/>
        <v>20384000</v>
      </c>
      <c r="J78" s="2572">
        <f t="shared" si="48"/>
        <v>40060800</v>
      </c>
      <c r="K78" s="2572">
        <f t="shared" si="48"/>
        <v>586160</v>
      </c>
      <c r="L78" s="2572">
        <f t="shared" si="48"/>
        <v>0</v>
      </c>
      <c r="M78" s="2570">
        <f>SUM(E78:G78)</f>
        <v>22868683</v>
      </c>
      <c r="N78" s="2570">
        <f>SUM(F78:H78)</f>
        <v>83029840</v>
      </c>
      <c r="O78" s="17"/>
      <c r="P78" s="334"/>
    </row>
    <row r="79" spans="1:16" ht="14.25" customHeight="1">
      <c r="A79" s="779"/>
      <c r="B79" s="728" t="s">
        <v>10</v>
      </c>
      <c r="C79" s="2574"/>
      <c r="D79" s="2575">
        <f>+D80</f>
        <v>144060800</v>
      </c>
      <c r="E79" s="2576">
        <f t="shared" ref="E79:L79" si="49">+E80</f>
        <v>0</v>
      </c>
      <c r="F79" s="2577">
        <f t="shared" si="49"/>
        <v>4004443</v>
      </c>
      <c r="G79" s="2577">
        <f t="shared" si="49"/>
        <v>18864240</v>
      </c>
      <c r="H79" s="2577">
        <f t="shared" si="49"/>
        <v>60161157</v>
      </c>
      <c r="I79" s="2577">
        <f t="shared" si="49"/>
        <v>20384000</v>
      </c>
      <c r="J79" s="2577">
        <f t="shared" si="49"/>
        <v>40060800</v>
      </c>
      <c r="K79" s="2577">
        <f t="shared" si="49"/>
        <v>586160</v>
      </c>
      <c r="L79" s="2577">
        <f t="shared" si="49"/>
        <v>0</v>
      </c>
      <c r="M79" s="1982">
        <f>+M80</f>
        <v>144060800</v>
      </c>
      <c r="N79" s="1982">
        <f>+N80</f>
        <v>144060800</v>
      </c>
      <c r="O79" s="17"/>
      <c r="P79" s="566"/>
    </row>
    <row r="80" spans="1:16" ht="12.95" customHeight="1">
      <c r="A80" s="1530"/>
      <c r="B80" s="775" t="s">
        <v>11</v>
      </c>
      <c r="C80" s="2578"/>
      <c r="D80" s="2579">
        <f>+D84+D85+D81</f>
        <v>144060800</v>
      </c>
      <c r="E80" s="2580">
        <f t="shared" ref="E80:L80" si="50">+E84+E85+E81</f>
        <v>0</v>
      </c>
      <c r="F80" s="2579">
        <f t="shared" si="50"/>
        <v>4004443</v>
      </c>
      <c r="G80" s="2579">
        <f t="shared" si="50"/>
        <v>18864240</v>
      </c>
      <c r="H80" s="2579">
        <f t="shared" si="50"/>
        <v>60161157</v>
      </c>
      <c r="I80" s="2579">
        <f t="shared" si="50"/>
        <v>20384000</v>
      </c>
      <c r="J80" s="2579">
        <f t="shared" si="50"/>
        <v>40060800</v>
      </c>
      <c r="K80" s="2579">
        <f t="shared" si="50"/>
        <v>586160</v>
      </c>
      <c r="L80" s="2579">
        <f t="shared" si="50"/>
        <v>0</v>
      </c>
      <c r="M80" s="2581">
        <f>+M84+M85</f>
        <v>144060800</v>
      </c>
      <c r="N80" s="2581">
        <f>+N84+N85</f>
        <v>144060800</v>
      </c>
      <c r="O80" s="17"/>
    </row>
    <row r="81" spans="1:15" ht="12.95" hidden="1" customHeight="1">
      <c r="A81" s="1531"/>
      <c r="B81" s="776" t="s">
        <v>12</v>
      </c>
      <c r="C81" s="2582"/>
      <c r="D81" s="2583">
        <f>D103</f>
        <v>0</v>
      </c>
      <c r="E81" s="2584">
        <f t="shared" ref="E81:L81" si="51">E103</f>
        <v>0</v>
      </c>
      <c r="F81" s="2583">
        <f t="shared" si="51"/>
        <v>0</v>
      </c>
      <c r="G81" s="2583">
        <f t="shared" si="51"/>
        <v>0</v>
      </c>
      <c r="H81" s="2583">
        <f t="shared" si="51"/>
        <v>0</v>
      </c>
      <c r="I81" s="2583">
        <f t="shared" si="51"/>
        <v>0</v>
      </c>
      <c r="J81" s="2583">
        <f t="shared" si="51"/>
        <v>0</v>
      </c>
      <c r="K81" s="2583">
        <f t="shared" si="51"/>
        <v>0</v>
      </c>
      <c r="L81" s="2583">
        <f t="shared" si="51"/>
        <v>0</v>
      </c>
      <c r="M81" s="2585"/>
      <c r="N81" s="2585"/>
      <c r="O81" s="17"/>
    </row>
    <row r="82" spans="1:15" ht="13.5" hidden="1" customHeight="1">
      <c r="A82" s="1531"/>
      <c r="B82" s="1118" t="s">
        <v>13</v>
      </c>
      <c r="C82" s="2586"/>
      <c r="D82" s="2587">
        <v>0</v>
      </c>
      <c r="E82" s="2588">
        <v>0</v>
      </c>
      <c r="F82" s="2587"/>
      <c r="G82" s="2587"/>
      <c r="H82" s="2587"/>
      <c r="I82" s="2587"/>
      <c r="J82" s="2587"/>
      <c r="K82" s="2587"/>
      <c r="L82" s="2587"/>
      <c r="M82" s="2585"/>
      <c r="N82" s="2585"/>
      <c r="O82" s="17"/>
    </row>
    <row r="83" spans="1:15" ht="12.75" hidden="1" customHeight="1">
      <c r="A83" s="1531"/>
      <c r="B83" s="777" t="s">
        <v>13</v>
      </c>
      <c r="C83" s="2586"/>
      <c r="D83" s="2587">
        <v>0</v>
      </c>
      <c r="E83" s="2588">
        <v>0</v>
      </c>
      <c r="F83" s="2587"/>
      <c r="G83" s="2587"/>
      <c r="H83" s="2587"/>
      <c r="I83" s="2587"/>
      <c r="J83" s="2587"/>
      <c r="K83" s="2587"/>
      <c r="L83" s="2587"/>
      <c r="M83" s="2585"/>
      <c r="N83" s="2585"/>
      <c r="O83" s="17"/>
    </row>
    <row r="84" spans="1:15" s="826" customFormat="1" ht="12.75" customHeight="1">
      <c r="A84" s="1532"/>
      <c r="B84" s="1454" t="s">
        <v>14</v>
      </c>
      <c r="C84" s="2586"/>
      <c r="D84" s="2587">
        <f>+D95</f>
        <v>144060800</v>
      </c>
      <c r="E84" s="2589">
        <f t="shared" ref="E84:L84" si="52">+E95</f>
        <v>0</v>
      </c>
      <c r="F84" s="2587">
        <f t="shared" si="52"/>
        <v>4004443</v>
      </c>
      <c r="G84" s="2587">
        <f t="shared" si="52"/>
        <v>18864240</v>
      </c>
      <c r="H84" s="2587">
        <f t="shared" si="52"/>
        <v>60161157</v>
      </c>
      <c r="I84" s="2587">
        <f t="shared" si="52"/>
        <v>20384000</v>
      </c>
      <c r="J84" s="2587">
        <f t="shared" si="52"/>
        <v>40060800</v>
      </c>
      <c r="K84" s="2587">
        <f t="shared" si="52"/>
        <v>586160</v>
      </c>
      <c r="L84" s="2587">
        <f t="shared" si="52"/>
        <v>0</v>
      </c>
      <c r="M84" s="2585">
        <f>SUM(E84:L85)</f>
        <v>144060800</v>
      </c>
      <c r="N84" s="2585">
        <f>SUM(F84:L84)</f>
        <v>144060800</v>
      </c>
      <c r="O84" s="834"/>
    </row>
    <row r="85" spans="1:15" ht="12.75" hidden="1" customHeight="1">
      <c r="A85" s="1531"/>
      <c r="B85" s="776" t="s">
        <v>62</v>
      </c>
      <c r="C85" s="2590"/>
      <c r="D85" s="2583">
        <f>+D108+D96</f>
        <v>0</v>
      </c>
      <c r="E85" s="2584">
        <f>+E108+E96</f>
        <v>0</v>
      </c>
      <c r="F85" s="2583"/>
      <c r="G85" s="2583"/>
      <c r="H85" s="2583"/>
      <c r="I85" s="2583"/>
      <c r="J85" s="2583"/>
      <c r="K85" s="2583"/>
      <c r="L85" s="2583"/>
      <c r="M85" s="2585">
        <f>SUM(E85:H85)</f>
        <v>0</v>
      </c>
      <c r="N85" s="2585">
        <f>SUM(F85:I85)</f>
        <v>0</v>
      </c>
      <c r="O85" s="17"/>
    </row>
    <row r="86" spans="1:15" ht="15" customHeight="1">
      <c r="A86" s="779"/>
      <c r="B86" s="728" t="s">
        <v>22</v>
      </c>
      <c r="C86" s="2017"/>
      <c r="D86" s="2125">
        <f>+D87</f>
        <v>144060800</v>
      </c>
      <c r="E86" s="2126">
        <f t="shared" ref="E86:L86" si="53">+E87</f>
        <v>0</v>
      </c>
      <c r="F86" s="2125">
        <f t="shared" si="53"/>
        <v>4004443</v>
      </c>
      <c r="G86" s="2125">
        <f t="shared" si="53"/>
        <v>18864240</v>
      </c>
      <c r="H86" s="2125">
        <f t="shared" si="53"/>
        <v>60161157</v>
      </c>
      <c r="I86" s="2125">
        <f t="shared" si="53"/>
        <v>20384000</v>
      </c>
      <c r="J86" s="2125">
        <f t="shared" si="53"/>
        <v>40060800</v>
      </c>
      <c r="K86" s="2125">
        <f t="shared" si="53"/>
        <v>586160</v>
      </c>
      <c r="L86" s="2125">
        <f t="shared" si="53"/>
        <v>0</v>
      </c>
      <c r="M86" s="3376" t="s">
        <v>23</v>
      </c>
      <c r="N86" s="3376" t="s">
        <v>23</v>
      </c>
      <c r="O86" s="17"/>
    </row>
    <row r="87" spans="1:15" ht="12" customHeight="1">
      <c r="A87" s="1535"/>
      <c r="B87" s="775" t="s">
        <v>11</v>
      </c>
      <c r="C87" s="2578"/>
      <c r="D87" s="2579">
        <f>SUM(D89:D91)</f>
        <v>144060800</v>
      </c>
      <c r="E87" s="2580">
        <f>SUM(E89:E91)</f>
        <v>0</v>
      </c>
      <c r="F87" s="2579">
        <f t="shared" ref="F87:L87" si="54">SUM(F89:F91)</f>
        <v>4004443</v>
      </c>
      <c r="G87" s="2579">
        <f t="shared" si="54"/>
        <v>18864240</v>
      </c>
      <c r="H87" s="2579">
        <f t="shared" si="54"/>
        <v>60161157</v>
      </c>
      <c r="I87" s="2579">
        <f t="shared" si="54"/>
        <v>20384000</v>
      </c>
      <c r="J87" s="2579">
        <f t="shared" si="54"/>
        <v>40060800</v>
      </c>
      <c r="K87" s="2579">
        <f t="shared" si="54"/>
        <v>586160</v>
      </c>
      <c r="L87" s="2579">
        <f t="shared" si="54"/>
        <v>0</v>
      </c>
      <c r="M87" s="3377"/>
      <c r="N87" s="3377"/>
      <c r="O87" s="17"/>
    </row>
    <row r="88" spans="1:15" ht="13.5" hidden="1" customHeight="1">
      <c r="A88" s="1531"/>
      <c r="B88" s="777" t="s">
        <v>13</v>
      </c>
      <c r="C88" s="2590"/>
      <c r="D88" s="2591">
        <v>0</v>
      </c>
      <c r="E88" s="2592">
        <v>0</v>
      </c>
      <c r="F88" s="2583"/>
      <c r="G88" s="2583"/>
      <c r="H88" s="2583"/>
      <c r="I88" s="2583"/>
      <c r="J88" s="2583"/>
      <c r="K88" s="2583"/>
      <c r="L88" s="2583"/>
      <c r="M88" s="3377"/>
      <c r="N88" s="3377"/>
      <c r="O88" s="17"/>
    </row>
    <row r="89" spans="1:15" ht="12.95" hidden="1" customHeight="1">
      <c r="A89" s="1531"/>
      <c r="B89" s="777" t="s">
        <v>13</v>
      </c>
      <c r="C89" s="2582"/>
      <c r="D89" s="2591">
        <v>0</v>
      </c>
      <c r="E89" s="2592">
        <v>0</v>
      </c>
      <c r="F89" s="2591"/>
      <c r="G89" s="2591"/>
      <c r="H89" s="2591"/>
      <c r="I89" s="2591"/>
      <c r="J89" s="2591"/>
      <c r="K89" s="2591"/>
      <c r="L89" s="2591"/>
      <c r="M89" s="3377"/>
      <c r="N89" s="3377"/>
      <c r="O89" s="17"/>
    </row>
    <row r="90" spans="1:15" ht="13.5" customHeight="1" thickBot="1">
      <c r="A90" s="1531"/>
      <c r="B90" s="776" t="s">
        <v>14</v>
      </c>
      <c r="C90" s="2582"/>
      <c r="D90" s="2591">
        <f>+D99</f>
        <v>144060800</v>
      </c>
      <c r="E90" s="2592">
        <f t="shared" ref="E90:L90" si="55">+E99</f>
        <v>0</v>
      </c>
      <c r="F90" s="2591">
        <f t="shared" si="55"/>
        <v>4004443</v>
      </c>
      <c r="G90" s="2591">
        <f t="shared" si="55"/>
        <v>18864240</v>
      </c>
      <c r="H90" s="2591">
        <f t="shared" si="55"/>
        <v>60161157</v>
      </c>
      <c r="I90" s="2591">
        <f t="shared" si="55"/>
        <v>20384000</v>
      </c>
      <c r="J90" s="2591">
        <f t="shared" si="55"/>
        <v>40060800</v>
      </c>
      <c r="K90" s="2591">
        <f t="shared" si="55"/>
        <v>586160</v>
      </c>
      <c r="L90" s="2591">
        <f t="shared" si="55"/>
        <v>0</v>
      </c>
      <c r="M90" s="3377"/>
      <c r="N90" s="3377"/>
      <c r="O90" s="17"/>
    </row>
    <row r="91" spans="1:15" ht="14.25" hidden="1" customHeight="1" thickBot="1">
      <c r="A91" s="1536"/>
      <c r="B91" s="1086" t="s">
        <v>62</v>
      </c>
      <c r="C91" s="2593"/>
      <c r="D91" s="2594">
        <f>+D111+D100</f>
        <v>0</v>
      </c>
      <c r="E91" s="2594">
        <f>+E111+E100</f>
        <v>0</v>
      </c>
      <c r="F91" s="2594"/>
      <c r="G91" s="2594"/>
      <c r="H91" s="2594"/>
      <c r="I91" s="2594"/>
      <c r="J91" s="2594"/>
      <c r="K91" s="2594"/>
      <c r="L91" s="2594"/>
      <c r="M91" s="3378"/>
      <c r="N91" s="3378"/>
      <c r="O91" s="1537"/>
    </row>
    <row r="92" spans="1:15" ht="41.25" customHeight="1">
      <c r="A92" s="2926" t="s">
        <v>63</v>
      </c>
      <c r="B92" s="2792" t="s">
        <v>343</v>
      </c>
      <c r="C92" s="1455" t="s">
        <v>81</v>
      </c>
      <c r="D92" s="1455"/>
      <c r="E92" s="62"/>
      <c r="F92" s="1456"/>
      <c r="G92" s="1456"/>
      <c r="H92" s="1456"/>
      <c r="I92" s="1456"/>
      <c r="J92" s="1456"/>
      <c r="K92" s="1456"/>
      <c r="L92" s="1456"/>
      <c r="M92" s="1457"/>
      <c r="N92" s="1457"/>
      <c r="O92" s="3386" t="s">
        <v>472</v>
      </c>
    </row>
    <row r="93" spans="1:15" ht="15.75" customHeight="1">
      <c r="A93" s="2927"/>
      <c r="B93" s="538" t="s">
        <v>10</v>
      </c>
      <c r="C93" s="2595"/>
      <c r="D93" s="2125">
        <f>+D94</f>
        <v>144060800</v>
      </c>
      <c r="E93" s="2125">
        <f t="shared" ref="E93:L93" si="56">+E94</f>
        <v>0</v>
      </c>
      <c r="F93" s="2125">
        <f t="shared" si="56"/>
        <v>4004443</v>
      </c>
      <c r="G93" s="2125">
        <f t="shared" si="56"/>
        <v>18864240</v>
      </c>
      <c r="H93" s="2125">
        <f t="shared" si="56"/>
        <v>60161157</v>
      </c>
      <c r="I93" s="2125">
        <f t="shared" si="56"/>
        <v>20384000</v>
      </c>
      <c r="J93" s="2125">
        <f t="shared" si="56"/>
        <v>40060800</v>
      </c>
      <c r="K93" s="2125">
        <f t="shared" si="56"/>
        <v>586160</v>
      </c>
      <c r="L93" s="2125">
        <f t="shared" si="56"/>
        <v>0</v>
      </c>
      <c r="M93" s="2596">
        <f>+M94</f>
        <v>144060800</v>
      </c>
      <c r="N93" s="2596">
        <f>+N94</f>
        <v>140056357</v>
      </c>
      <c r="O93" s="3387"/>
    </row>
    <row r="94" spans="1:15" s="826" customFormat="1" ht="15.75" customHeight="1">
      <c r="A94" s="2927"/>
      <c r="B94" s="2796" t="s">
        <v>11</v>
      </c>
      <c r="C94" s="3389" t="s">
        <v>338</v>
      </c>
      <c r="D94" s="2483">
        <f>+D96+D95</f>
        <v>144060800</v>
      </c>
      <c r="E94" s="2169">
        <f t="shared" ref="E94" si="57">+E96+E95</f>
        <v>0</v>
      </c>
      <c r="F94" s="2483">
        <f t="shared" ref="F94:L94" si="58">+F96+F95</f>
        <v>4004443</v>
      </c>
      <c r="G94" s="2169">
        <f t="shared" si="58"/>
        <v>18864240</v>
      </c>
      <c r="H94" s="2483">
        <f t="shared" si="58"/>
        <v>60161157</v>
      </c>
      <c r="I94" s="2169">
        <f t="shared" si="58"/>
        <v>20384000</v>
      </c>
      <c r="J94" s="2169">
        <f t="shared" si="58"/>
        <v>40060800</v>
      </c>
      <c r="K94" s="2169">
        <f t="shared" si="58"/>
        <v>586160</v>
      </c>
      <c r="L94" s="2169">
        <f t="shared" si="58"/>
        <v>0</v>
      </c>
      <c r="M94" s="2495">
        <f>M96+M95</f>
        <v>144060800</v>
      </c>
      <c r="N94" s="2495">
        <f>N96+N95</f>
        <v>140056357</v>
      </c>
      <c r="O94" s="3387"/>
    </row>
    <row r="95" spans="1:15" s="826" customFormat="1" ht="15.75" customHeight="1">
      <c r="A95" s="2927"/>
      <c r="B95" s="811" t="s">
        <v>14</v>
      </c>
      <c r="C95" s="3390"/>
      <c r="D95" s="1034">
        <f>E95+F95+G95+H95+I95+J95+K95+L95</f>
        <v>144060800</v>
      </c>
      <c r="E95" s="1997"/>
      <c r="F95" s="2597">
        <f>27618240-23613797</f>
        <v>4004443</v>
      </c>
      <c r="G95" s="2597">
        <v>18864240</v>
      </c>
      <c r="H95" s="2597">
        <f>36547360+23613797</f>
        <v>60161157</v>
      </c>
      <c r="I95" s="2597">
        <v>20384000</v>
      </c>
      <c r="J95" s="2597">
        <v>40060800</v>
      </c>
      <c r="K95" s="2597">
        <v>586160</v>
      </c>
      <c r="L95" s="2597">
        <v>0</v>
      </c>
      <c r="M95" s="2797">
        <f>SUM(F95:K95)</f>
        <v>144060800</v>
      </c>
      <c r="N95" s="2173">
        <f>SUM(G95:L95)</f>
        <v>140056357</v>
      </c>
      <c r="O95" s="3387"/>
    </row>
    <row r="96" spans="1:15" ht="13.5" hidden="1" customHeight="1">
      <c r="A96" s="2927"/>
      <c r="B96" s="786" t="s">
        <v>16</v>
      </c>
      <c r="C96" s="3391"/>
      <c r="D96" s="2598"/>
      <c r="E96" s="2599"/>
      <c r="F96" s="2798"/>
      <c r="G96" s="2172"/>
      <c r="H96" s="2798"/>
      <c r="I96" s="2172"/>
      <c r="J96" s="2172"/>
      <c r="K96" s="2172"/>
      <c r="L96" s="2172"/>
      <c r="M96" s="2585">
        <f>SUM(E96:H96)</f>
        <v>0</v>
      </c>
      <c r="N96" s="2585">
        <f>SUM(F96:I96)</f>
        <v>0</v>
      </c>
      <c r="O96" s="3387"/>
    </row>
    <row r="97" spans="1:15" ht="15" customHeight="1">
      <c r="A97" s="2927"/>
      <c r="B97" s="538" t="s">
        <v>22</v>
      </c>
      <c r="C97" s="2595"/>
      <c r="D97" s="2125">
        <f>+D98</f>
        <v>144060800</v>
      </c>
      <c r="E97" s="2125">
        <f t="shared" ref="E97:L97" si="59">+E98</f>
        <v>0</v>
      </c>
      <c r="F97" s="2125">
        <f t="shared" si="59"/>
        <v>4004443</v>
      </c>
      <c r="G97" s="2125">
        <f t="shared" si="59"/>
        <v>18864240</v>
      </c>
      <c r="H97" s="2125">
        <f t="shared" si="59"/>
        <v>60161157</v>
      </c>
      <c r="I97" s="2125">
        <f t="shared" si="59"/>
        <v>20384000</v>
      </c>
      <c r="J97" s="2125">
        <f t="shared" si="59"/>
        <v>40060800</v>
      </c>
      <c r="K97" s="2125">
        <f t="shared" si="59"/>
        <v>586160</v>
      </c>
      <c r="L97" s="2125">
        <f t="shared" si="59"/>
        <v>0</v>
      </c>
      <c r="M97" s="3380" t="s">
        <v>61</v>
      </c>
      <c r="N97" s="3380" t="s">
        <v>61</v>
      </c>
      <c r="O97" s="3387"/>
    </row>
    <row r="98" spans="1:15" s="826" customFormat="1" ht="15" customHeight="1">
      <c r="A98" s="2927"/>
      <c r="B98" s="2796" t="s">
        <v>11</v>
      </c>
      <c r="C98" s="2974" t="s">
        <v>338</v>
      </c>
      <c r="D98" s="2483">
        <f>+D100+D99</f>
        <v>144060800</v>
      </c>
      <c r="E98" s="2169">
        <f>+E100+E99</f>
        <v>0</v>
      </c>
      <c r="F98" s="2483">
        <f t="shared" ref="F98:L98" si="60">+F100+F99</f>
        <v>4004443</v>
      </c>
      <c r="G98" s="2169">
        <f t="shared" si="60"/>
        <v>18864240</v>
      </c>
      <c r="H98" s="2483">
        <f t="shared" si="60"/>
        <v>60161157</v>
      </c>
      <c r="I98" s="2169">
        <f t="shared" si="60"/>
        <v>20384000</v>
      </c>
      <c r="J98" s="2169">
        <f t="shared" si="60"/>
        <v>40060800</v>
      </c>
      <c r="K98" s="2169">
        <f t="shared" si="60"/>
        <v>586160</v>
      </c>
      <c r="L98" s="2169">
        <f t="shared" si="60"/>
        <v>0</v>
      </c>
      <c r="M98" s="3381"/>
      <c r="N98" s="3381"/>
      <c r="O98" s="3387"/>
    </row>
    <row r="99" spans="1:15" ht="15" customHeight="1" thickBot="1">
      <c r="A99" s="2928"/>
      <c r="B99" s="77" t="s">
        <v>14</v>
      </c>
      <c r="C99" s="3379"/>
      <c r="D99" s="2459">
        <f>E99+F99+G99+H99+I99+J99+K99+L99</f>
        <v>144060800</v>
      </c>
      <c r="E99" s="2600"/>
      <c r="F99" s="2601">
        <f>27618240-23613797</f>
        <v>4004443</v>
      </c>
      <c r="G99" s="2601">
        <v>18864240</v>
      </c>
      <c r="H99" s="2601">
        <f>36547360+23613797</f>
        <v>60161157</v>
      </c>
      <c r="I99" s="2601">
        <v>20384000</v>
      </c>
      <c r="J99" s="2601">
        <v>40060800</v>
      </c>
      <c r="K99" s="2601">
        <v>586160</v>
      </c>
      <c r="L99" s="2602">
        <v>0</v>
      </c>
      <c r="M99" s="3382"/>
      <c r="N99" s="3382"/>
      <c r="O99" s="3388"/>
    </row>
    <row r="100" spans="1:15" ht="13.5" hidden="1" customHeight="1" thickBot="1">
      <c r="A100" s="1458"/>
      <c r="B100" s="1459" t="s">
        <v>16</v>
      </c>
      <c r="C100" s="1460"/>
      <c r="D100" s="1448"/>
      <c r="E100" s="1461"/>
      <c r="F100" s="1462"/>
      <c r="G100" s="1463"/>
      <c r="H100" s="1463"/>
      <c r="I100" s="1463"/>
      <c r="J100" s="1463"/>
      <c r="K100" s="1463"/>
      <c r="L100" s="1463"/>
      <c r="M100" s="1464"/>
      <c r="N100" s="1464"/>
      <c r="O100" s="1465"/>
    </row>
    <row r="101" spans="1:15" s="806" customFormat="1" ht="29.25" hidden="1" customHeight="1">
      <c r="A101" s="3383" t="s">
        <v>64</v>
      </c>
      <c r="B101" s="797" t="s">
        <v>339</v>
      </c>
      <c r="C101" s="816" t="s">
        <v>109</v>
      </c>
      <c r="D101" s="816"/>
      <c r="E101" s="86"/>
      <c r="F101" s="818"/>
      <c r="G101" s="818"/>
      <c r="H101" s="818"/>
      <c r="I101" s="818"/>
      <c r="J101" s="818"/>
      <c r="K101" s="818"/>
      <c r="L101" s="818"/>
      <c r="M101" s="798"/>
      <c r="N101" s="798"/>
      <c r="O101" s="3392" t="s">
        <v>167</v>
      </c>
    </row>
    <row r="102" spans="1:15" s="806" customFormat="1" ht="16.5" hidden="1" customHeight="1">
      <c r="A102" s="3383"/>
      <c r="B102" s="728" t="s">
        <v>10</v>
      </c>
      <c r="C102" s="817"/>
      <c r="D102" s="780"/>
      <c r="E102" s="830"/>
      <c r="F102" s="830"/>
      <c r="G102" s="830"/>
      <c r="H102" s="780"/>
      <c r="I102" s="780"/>
      <c r="J102" s="780"/>
      <c r="K102" s="780"/>
      <c r="L102" s="781"/>
      <c r="M102" s="809">
        <f>M103</f>
        <v>0</v>
      </c>
      <c r="N102" s="809">
        <f>N103</f>
        <v>0</v>
      </c>
      <c r="O102" s="3392"/>
    </row>
    <row r="103" spans="1:15" s="806" customFormat="1" ht="13.5" hidden="1" customHeight="1">
      <c r="A103" s="3383"/>
      <c r="B103" s="783" t="s">
        <v>11</v>
      </c>
      <c r="C103" s="3393" t="s">
        <v>172</v>
      </c>
      <c r="D103" s="785"/>
      <c r="E103" s="801"/>
      <c r="F103" s="801"/>
      <c r="G103" s="801"/>
      <c r="H103" s="785"/>
      <c r="I103" s="785"/>
      <c r="J103" s="785"/>
      <c r="K103" s="785"/>
      <c r="L103" s="785"/>
      <c r="M103" s="810">
        <f>M104</f>
        <v>0</v>
      </c>
      <c r="N103" s="810">
        <f>N104</f>
        <v>0</v>
      </c>
      <c r="O103" s="3392"/>
    </row>
    <row r="104" spans="1:15" s="806" customFormat="1" ht="13.5" hidden="1" customHeight="1" thickBot="1">
      <c r="A104" s="3384"/>
      <c r="B104" s="82" t="s">
        <v>12</v>
      </c>
      <c r="C104" s="3397"/>
      <c r="D104" s="795"/>
      <c r="E104" s="1449"/>
      <c r="F104" s="1466"/>
      <c r="G104" s="1466"/>
      <c r="H104" s="1467"/>
      <c r="I104" s="1467"/>
      <c r="J104" s="1467"/>
      <c r="K104" s="1467"/>
      <c r="L104" s="1467"/>
      <c r="M104" s="1468">
        <f>SUM(E104:K104)</f>
        <v>0</v>
      </c>
      <c r="N104" s="1468">
        <f>SUM(F104:L104)</f>
        <v>0</v>
      </c>
      <c r="O104" s="3396"/>
    </row>
    <row r="105" spans="1:15" ht="19.5" hidden="1" customHeight="1">
      <c r="A105" s="3383"/>
      <c r="B105" s="797"/>
      <c r="C105" s="816" t="s">
        <v>81</v>
      </c>
      <c r="D105" s="1087"/>
      <c r="E105" s="86"/>
      <c r="F105" s="86"/>
      <c r="G105" s="818"/>
      <c r="H105" s="818"/>
      <c r="I105" s="818"/>
      <c r="J105" s="818"/>
      <c r="K105" s="818"/>
      <c r="L105" s="818"/>
      <c r="M105" s="798"/>
      <c r="N105" s="798"/>
      <c r="O105" s="3392"/>
    </row>
    <row r="106" spans="1:15" ht="12.75" hidden="1" customHeight="1">
      <c r="A106" s="3383"/>
      <c r="B106" s="728" t="s">
        <v>10</v>
      </c>
      <c r="C106" s="817"/>
      <c r="D106" s="827"/>
      <c r="E106" s="828"/>
      <c r="F106" s="781"/>
      <c r="G106" s="780"/>
      <c r="H106" s="780"/>
      <c r="I106" s="780"/>
      <c r="J106" s="780"/>
      <c r="K106" s="780"/>
      <c r="L106" s="781"/>
      <c r="M106" s="809"/>
      <c r="N106" s="809"/>
      <c r="O106" s="3392"/>
    </row>
    <row r="107" spans="1:15" ht="13.5" hidden="1" customHeight="1">
      <c r="A107" s="3383"/>
      <c r="B107" s="783" t="s">
        <v>11</v>
      </c>
      <c r="C107" s="3393" t="s">
        <v>168</v>
      </c>
      <c r="D107" s="785"/>
      <c r="E107" s="785"/>
      <c r="F107" s="785"/>
      <c r="G107" s="785"/>
      <c r="H107" s="785"/>
      <c r="I107" s="785"/>
      <c r="J107" s="785"/>
      <c r="K107" s="785"/>
      <c r="L107" s="785"/>
      <c r="M107" s="810"/>
      <c r="N107" s="810"/>
      <c r="O107" s="3392"/>
    </row>
    <row r="108" spans="1:15" ht="13.5" hidden="1" customHeight="1">
      <c r="A108" s="3383"/>
      <c r="B108" s="786" t="s">
        <v>16</v>
      </c>
      <c r="C108" s="3394"/>
      <c r="D108" s="787"/>
      <c r="E108" s="788"/>
      <c r="F108" s="788"/>
      <c r="G108" s="788"/>
      <c r="H108" s="788"/>
      <c r="I108" s="788"/>
      <c r="J108" s="788"/>
      <c r="K108" s="788"/>
      <c r="L108" s="788"/>
      <c r="M108" s="790"/>
      <c r="N108" s="790"/>
      <c r="O108" s="3392"/>
    </row>
    <row r="109" spans="1:15" ht="13.5" hidden="1" customHeight="1">
      <c r="A109" s="3383"/>
      <c r="B109" s="728" t="s">
        <v>22</v>
      </c>
      <c r="C109" s="817"/>
      <c r="D109" s="808"/>
      <c r="E109" s="808"/>
      <c r="F109" s="780"/>
      <c r="G109" s="780"/>
      <c r="H109" s="780"/>
      <c r="I109" s="780"/>
      <c r="J109" s="780"/>
      <c r="K109" s="780"/>
      <c r="L109" s="781"/>
      <c r="M109" s="2198"/>
      <c r="N109" s="2198"/>
      <c r="O109" s="3392"/>
    </row>
    <row r="110" spans="1:15" ht="15.75" hidden="1" customHeight="1">
      <c r="A110" s="3383"/>
      <c r="B110" s="783" t="s">
        <v>11</v>
      </c>
      <c r="C110" s="3393" t="s">
        <v>168</v>
      </c>
      <c r="D110" s="785">
        <f>+D111</f>
        <v>0</v>
      </c>
      <c r="E110" s="785">
        <f t="shared" ref="E110" si="61">+E111</f>
        <v>0</v>
      </c>
      <c r="F110" s="785"/>
      <c r="G110" s="785"/>
      <c r="H110" s="785"/>
      <c r="I110" s="785"/>
      <c r="J110" s="785"/>
      <c r="K110" s="785"/>
      <c r="L110" s="785"/>
      <c r="M110" s="2198"/>
      <c r="N110" s="2198"/>
      <c r="O110" s="3392"/>
    </row>
    <row r="111" spans="1:15" ht="10.5" hidden="1" customHeight="1">
      <c r="A111" s="3383"/>
      <c r="B111" s="786" t="s">
        <v>16</v>
      </c>
      <c r="C111" s="3395"/>
      <c r="D111" s="787"/>
      <c r="E111" s="788"/>
      <c r="F111" s="789"/>
      <c r="G111" s="789"/>
      <c r="H111" s="789"/>
      <c r="I111" s="789"/>
      <c r="J111" s="789"/>
      <c r="K111" s="789"/>
      <c r="L111" s="789"/>
      <c r="M111" s="2198"/>
      <c r="N111" s="2198"/>
      <c r="O111" s="3392"/>
    </row>
    <row r="113" spans="2:12" hidden="1"/>
    <row r="114" spans="2:12" ht="12.75" hidden="1">
      <c r="B114" s="1573" t="s">
        <v>390</v>
      </c>
      <c r="C114" s="1564"/>
      <c r="D114" s="1564"/>
      <c r="E114" s="1564"/>
      <c r="F114" s="1564"/>
      <c r="G114" s="1564"/>
      <c r="H114" s="1564"/>
      <c r="I114" s="1564"/>
      <c r="J114" s="1564"/>
      <c r="K114" s="1564"/>
      <c r="L114" s="1564"/>
    </row>
    <row r="115" spans="2:12" ht="15.75" hidden="1" customHeight="1">
      <c r="B115" s="1524" t="s">
        <v>391</v>
      </c>
      <c r="C115" s="1564"/>
      <c r="D115" s="1570">
        <f>D50+D72</f>
        <v>25164539</v>
      </c>
      <c r="E115" s="1570">
        <f t="shared" ref="E115:L115" si="62">E50+E72</f>
        <v>5960282</v>
      </c>
      <c r="F115" s="1570">
        <f t="shared" si="62"/>
        <v>3902873</v>
      </c>
      <c r="G115" s="1570">
        <f t="shared" si="62"/>
        <v>5502805</v>
      </c>
      <c r="H115" s="1570">
        <f t="shared" si="62"/>
        <v>2502805</v>
      </c>
      <c r="I115" s="1570">
        <f t="shared" si="62"/>
        <v>2720411</v>
      </c>
      <c r="J115" s="1570">
        <f t="shared" si="62"/>
        <v>1607579</v>
      </c>
      <c r="K115" s="1570">
        <f t="shared" si="62"/>
        <v>1607578</v>
      </c>
      <c r="L115" s="1570">
        <f t="shared" si="62"/>
        <v>1360206</v>
      </c>
    </row>
    <row r="116" spans="2:12" ht="15" hidden="1" customHeight="1">
      <c r="B116" s="1524" t="s">
        <v>392</v>
      </c>
      <c r="C116" s="1564"/>
      <c r="D116" s="1570">
        <f>D38+D65</f>
        <v>20564739</v>
      </c>
      <c r="E116" s="1570">
        <f>E38</f>
        <v>11297151</v>
      </c>
      <c r="F116" s="1570">
        <f>F38+F63</f>
        <v>3316086</v>
      </c>
      <c r="G116" s="1570">
        <f t="shared" ref="G116:L116" si="63">G38+G63</f>
        <v>523260</v>
      </c>
      <c r="H116" s="1570">
        <f t="shared" si="63"/>
        <v>5276602</v>
      </c>
      <c r="I116" s="1570">
        <f t="shared" si="63"/>
        <v>151640</v>
      </c>
      <c r="J116" s="1570">
        <f t="shared" si="63"/>
        <v>0</v>
      </c>
      <c r="K116" s="1570">
        <f t="shared" si="63"/>
        <v>0</v>
      </c>
      <c r="L116" s="1570">
        <f t="shared" si="63"/>
        <v>0</v>
      </c>
    </row>
    <row r="117" spans="2:12" ht="12.75" hidden="1">
      <c r="B117" s="1524" t="s">
        <v>393</v>
      </c>
      <c r="C117" s="1564"/>
      <c r="D117" s="1571">
        <f>D115+D116</f>
        <v>45729278</v>
      </c>
      <c r="E117" s="1571">
        <f>E115+E116</f>
        <v>17257433</v>
      </c>
      <c r="F117" s="1571">
        <f t="shared" ref="F117:L117" si="64">F115+F116</f>
        <v>7218959</v>
      </c>
      <c r="G117" s="1571">
        <f t="shared" si="64"/>
        <v>6026065</v>
      </c>
      <c r="H117" s="1571">
        <f t="shared" si="64"/>
        <v>7779407</v>
      </c>
      <c r="I117" s="1571">
        <f t="shared" si="64"/>
        <v>2872051</v>
      </c>
      <c r="J117" s="1571">
        <f t="shared" si="64"/>
        <v>1607579</v>
      </c>
      <c r="K117" s="1571">
        <f t="shared" si="64"/>
        <v>1607578</v>
      </c>
      <c r="L117" s="1571">
        <f t="shared" si="64"/>
        <v>1360206</v>
      </c>
    </row>
    <row r="118" spans="2:12" ht="12.75" hidden="1">
      <c r="B118" s="1567" t="s">
        <v>42</v>
      </c>
      <c r="C118" s="1569"/>
      <c r="D118" s="1572">
        <f t="shared" ref="D118:L118" si="65">D117-D21</f>
        <v>0</v>
      </c>
      <c r="E118" s="1572">
        <f t="shared" si="65"/>
        <v>0</v>
      </c>
      <c r="F118" s="1572">
        <f t="shared" si="65"/>
        <v>0</v>
      </c>
      <c r="G118" s="1572">
        <f t="shared" si="65"/>
        <v>0</v>
      </c>
      <c r="H118" s="1572">
        <f t="shared" si="65"/>
        <v>0</v>
      </c>
      <c r="I118" s="1572">
        <f t="shared" si="65"/>
        <v>0</v>
      </c>
      <c r="J118" s="1572">
        <f t="shared" si="65"/>
        <v>0</v>
      </c>
      <c r="K118" s="1572">
        <f t="shared" si="65"/>
        <v>0</v>
      </c>
      <c r="L118" s="1572">
        <f t="shared" si="65"/>
        <v>0</v>
      </c>
    </row>
    <row r="119" spans="2:12" hidden="1"/>
    <row r="120" spans="2:12" hidden="1"/>
    <row r="121" spans="2:12" hidden="1"/>
    <row r="122" spans="2:12" hidden="1"/>
    <row r="123" spans="2:12" hidden="1"/>
    <row r="124" spans="2:12" hidden="1"/>
    <row r="125" spans="2:12" hidden="1"/>
  </sheetData>
  <mergeCells count="53">
    <mergeCell ref="O66:O71"/>
    <mergeCell ref="C68:C71"/>
    <mergeCell ref="M72:M74"/>
    <mergeCell ref="N72:N74"/>
    <mergeCell ref="O72:O74"/>
    <mergeCell ref="C73:C74"/>
    <mergeCell ref="O57:O62"/>
    <mergeCell ref="C59:C62"/>
    <mergeCell ref="M63:M65"/>
    <mergeCell ref="N63:N65"/>
    <mergeCell ref="O63:O65"/>
    <mergeCell ref="C64:C6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43:O55"/>
    <mergeCell ref="C45:C49"/>
    <mergeCell ref="C51:C55"/>
    <mergeCell ref="N50:N55"/>
    <mergeCell ref="M50:M55"/>
    <mergeCell ref="O92:O99"/>
    <mergeCell ref="C94:C96"/>
    <mergeCell ref="M86:M91"/>
    <mergeCell ref="M97:M99"/>
    <mergeCell ref="A105:A111"/>
    <mergeCell ref="O105:O111"/>
    <mergeCell ref="C107:C108"/>
    <mergeCell ref="C110:C111"/>
    <mergeCell ref="A101:A104"/>
    <mergeCell ref="O101:O104"/>
    <mergeCell ref="C103:C104"/>
    <mergeCell ref="M38:M42"/>
    <mergeCell ref="N86:N91"/>
    <mergeCell ref="A92:A99"/>
    <mergeCell ref="C98:C99"/>
    <mergeCell ref="N97:N99"/>
    <mergeCell ref="A43:A55"/>
    <mergeCell ref="A32:A42"/>
    <mergeCell ref="A57:A65"/>
    <mergeCell ref="A66:A74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49" orientation="landscape" useFirstPageNumber="1" r:id="rId1"/>
  <headerFooter alignWithMargins="0">
    <oddHeader>&amp;C&amp;"Arial,Kursywa"Wieloletnia prognoza finansowa Województwa Zachodniopomorskiego na lata 2017 - 2044&amp;"Arial,Normalny"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5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611"/>
  <sheetViews>
    <sheetView showGridLines="0" view="pageBreakPreview" zoomScaleNormal="100" zoomScaleSheetLayoutView="100" workbookViewId="0">
      <pane ySplit="6" topLeftCell="A7" activePane="bottomLeft" state="frozen"/>
      <selection activeCell="L250" sqref="L250"/>
      <selection pane="bottomLeft" activeCell="A7" sqref="A7"/>
    </sheetView>
  </sheetViews>
  <sheetFormatPr defaultColWidth="9.140625" defaultRowHeight="11.25"/>
  <cols>
    <col min="1" max="1" width="3.28515625" style="831" customWidth="1"/>
    <col min="2" max="2" width="56.28515625" style="203" customWidth="1"/>
    <col min="3" max="3" width="12" style="203" customWidth="1"/>
    <col min="4" max="5" width="13.7109375" style="203" customWidth="1"/>
    <col min="6" max="6" width="13.140625" style="750" customWidth="1"/>
    <col min="7" max="7" width="11.5703125" style="750" customWidth="1"/>
    <col min="8" max="8" width="11.28515625" style="750" customWidth="1"/>
    <col min="9" max="9" width="9.140625" style="750" customWidth="1"/>
    <col min="10" max="10" width="11.7109375" style="750" customWidth="1"/>
    <col min="11" max="12" width="8.42578125" style="750" customWidth="1"/>
    <col min="13" max="13" width="12.5703125" style="750" customWidth="1"/>
    <col min="14" max="14" width="12.5703125" style="750" hidden="1" customWidth="1"/>
    <col min="15" max="15" width="16.5703125" style="865" customWidth="1"/>
    <col min="16" max="16" width="16.5703125" style="203" hidden="1" customWidth="1"/>
    <col min="17" max="19" width="0" style="203" hidden="1" customWidth="1"/>
    <col min="20" max="16384" width="9.140625" style="203"/>
  </cols>
  <sheetData>
    <row r="1" spans="1:17" ht="22.5" customHeight="1">
      <c r="G1" s="258" t="s">
        <v>477</v>
      </c>
      <c r="H1" s="203"/>
      <c r="I1" s="6"/>
      <c r="J1" s="6"/>
      <c r="K1" s="6"/>
      <c r="L1" s="6"/>
      <c r="M1" s="6"/>
      <c r="N1" s="6"/>
      <c r="O1" s="7"/>
    </row>
    <row r="2" spans="1:17" ht="9.75" customHeight="1">
      <c r="F2" s="203"/>
      <c r="G2" s="203"/>
      <c r="H2" s="203"/>
      <c r="I2" s="6"/>
      <c r="J2" s="6"/>
      <c r="K2" s="6"/>
      <c r="L2" s="6"/>
      <c r="M2" s="6"/>
      <c r="N2" s="6"/>
      <c r="O2" s="7"/>
    </row>
    <row r="3" spans="1:17" ht="48.75" customHeight="1" thickBot="1">
      <c r="A3" s="3289" t="s">
        <v>171</v>
      </c>
      <c r="B3" s="3289"/>
      <c r="C3" s="3289"/>
      <c r="D3" s="3289"/>
      <c r="E3" s="3289"/>
      <c r="F3" s="3289"/>
      <c r="G3" s="3289"/>
      <c r="H3" s="3289"/>
      <c r="I3" s="3289"/>
      <c r="J3" s="3289"/>
      <c r="K3" s="3289"/>
      <c r="L3" s="3289"/>
      <c r="M3" s="3289"/>
      <c r="N3" s="3289"/>
      <c r="O3" s="3289"/>
    </row>
    <row r="4" spans="1:17" ht="60.75" customHeight="1">
      <c r="A4" s="832"/>
      <c r="B4" s="3443" t="s">
        <v>75</v>
      </c>
      <c r="C4" s="2976" t="s">
        <v>71</v>
      </c>
      <c r="D4" s="3162" t="s">
        <v>118</v>
      </c>
      <c r="E4" s="2524" t="s">
        <v>240</v>
      </c>
      <c r="F4" s="2861" t="s">
        <v>461</v>
      </c>
      <c r="G4" s="2993" t="s">
        <v>456</v>
      </c>
      <c r="H4" s="2994"/>
      <c r="I4" s="2994"/>
      <c r="J4" s="2994"/>
      <c r="K4" s="2994"/>
      <c r="L4" s="2995"/>
      <c r="M4" s="3364" t="s">
        <v>479</v>
      </c>
      <c r="N4" s="3364" t="s">
        <v>457</v>
      </c>
      <c r="O4" s="3170" t="s">
        <v>73</v>
      </c>
    </row>
    <row r="5" spans="1:17" ht="16.5" customHeight="1" thickBot="1">
      <c r="A5" s="833"/>
      <c r="B5" s="3444"/>
      <c r="C5" s="3445"/>
      <c r="D5" s="3446"/>
      <c r="E5" s="2102" t="s">
        <v>433</v>
      </c>
      <c r="F5" s="2863"/>
      <c r="G5" s="2525" t="s">
        <v>6</v>
      </c>
      <c r="H5" s="333" t="s">
        <v>184</v>
      </c>
      <c r="I5" s="333" t="s">
        <v>185</v>
      </c>
      <c r="J5" s="333" t="s">
        <v>232</v>
      </c>
      <c r="K5" s="333" t="s">
        <v>233</v>
      </c>
      <c r="L5" s="333" t="s">
        <v>234</v>
      </c>
      <c r="M5" s="3365"/>
      <c r="N5" s="3365"/>
      <c r="O5" s="3172"/>
    </row>
    <row r="6" spans="1:17" ht="15" customHeight="1">
      <c r="A6" s="1137">
        <v>1</v>
      </c>
      <c r="B6" s="1138">
        <v>2</v>
      </c>
      <c r="C6" s="1921" t="s">
        <v>119</v>
      </c>
      <c r="D6" s="1139" t="s">
        <v>120</v>
      </c>
      <c r="E6" s="1139">
        <v>5</v>
      </c>
      <c r="F6" s="1921">
        <v>6</v>
      </c>
      <c r="G6" s="1921">
        <v>7</v>
      </c>
      <c r="H6" s="1921">
        <v>8</v>
      </c>
      <c r="I6" s="1921">
        <v>9</v>
      </c>
      <c r="J6" s="1921">
        <v>10</v>
      </c>
      <c r="K6" s="1921">
        <v>11</v>
      </c>
      <c r="L6" s="1921">
        <v>12</v>
      </c>
      <c r="M6" s="2110">
        <v>13</v>
      </c>
      <c r="N6" s="2110">
        <v>13</v>
      </c>
      <c r="O6" s="2111">
        <v>14</v>
      </c>
    </row>
    <row r="7" spans="1:17" s="237" customFormat="1" ht="16.5" customHeight="1">
      <c r="A7" s="662"/>
      <c r="B7" s="1501" t="s">
        <v>76</v>
      </c>
      <c r="C7" s="1502"/>
      <c r="D7" s="226">
        <f>+D8+D9</f>
        <v>111215134</v>
      </c>
      <c r="E7" s="226">
        <f t="shared" ref="E7:L7" si="0">+E8+E9</f>
        <v>734424</v>
      </c>
      <c r="F7" s="226">
        <f t="shared" si="0"/>
        <v>2057086</v>
      </c>
      <c r="G7" s="226">
        <f t="shared" si="0"/>
        <v>98381087</v>
      </c>
      <c r="H7" s="226">
        <f t="shared" si="0"/>
        <v>7576016</v>
      </c>
      <c r="I7" s="226">
        <f t="shared" si="0"/>
        <v>2466521</v>
      </c>
      <c r="J7" s="226">
        <f t="shared" si="0"/>
        <v>0</v>
      </c>
      <c r="K7" s="226">
        <f t="shared" si="0"/>
        <v>0</v>
      </c>
      <c r="L7" s="226">
        <f t="shared" si="0"/>
        <v>0</v>
      </c>
      <c r="M7" s="153">
        <f>+M8+M9</f>
        <v>110480710</v>
      </c>
      <c r="N7" s="153">
        <f>+N8+N9</f>
        <v>110480710</v>
      </c>
      <c r="O7" s="834"/>
      <c r="P7" s="491"/>
    </row>
    <row r="8" spans="1:17" s="237" customFormat="1" ht="13.5" customHeight="1">
      <c r="A8" s="662"/>
      <c r="B8" s="1503" t="s">
        <v>77</v>
      </c>
      <c r="C8" s="1504"/>
      <c r="D8" s="218">
        <f>+D71+D92+D114+D127+D145+D167+D180</f>
        <v>3294453</v>
      </c>
      <c r="E8" s="218">
        <f t="shared" ref="E8:L8" si="1">+E71+E92+E114+E127+E145+E167+E180</f>
        <v>0</v>
      </c>
      <c r="F8" s="218">
        <f t="shared" si="1"/>
        <v>124706</v>
      </c>
      <c r="G8" s="218">
        <f t="shared" si="1"/>
        <v>1281535</v>
      </c>
      <c r="H8" s="218">
        <f t="shared" si="1"/>
        <v>1566009</v>
      </c>
      <c r="I8" s="218">
        <f t="shared" si="1"/>
        <v>322203</v>
      </c>
      <c r="J8" s="218">
        <f t="shared" si="1"/>
        <v>0</v>
      </c>
      <c r="K8" s="218">
        <f t="shared" si="1"/>
        <v>0</v>
      </c>
      <c r="L8" s="218">
        <f t="shared" si="1"/>
        <v>0</v>
      </c>
      <c r="M8" s="2466">
        <f>SUM(F8:L8)</f>
        <v>3294453</v>
      </c>
      <c r="N8" s="18">
        <f>SUM(F8:L8)</f>
        <v>3294453</v>
      </c>
      <c r="O8" s="834"/>
      <c r="P8" s="491"/>
    </row>
    <row r="9" spans="1:17" s="237" customFormat="1" ht="13.5" customHeight="1" thickBot="1">
      <c r="A9" s="662"/>
      <c r="B9" s="1505" t="s">
        <v>9</v>
      </c>
      <c r="C9" s="1506"/>
      <c r="D9" s="835">
        <f>+D62+D26+D35+D80+D53+D105+D136+D44+D158+D189</f>
        <v>107920681</v>
      </c>
      <c r="E9" s="835">
        <f t="shared" ref="E9:L9" si="2">+E62+E26+E35+E80+E53+E105+E136+E44+E158+E189</f>
        <v>734424</v>
      </c>
      <c r="F9" s="835">
        <f t="shared" si="2"/>
        <v>1932380</v>
      </c>
      <c r="G9" s="835">
        <f t="shared" si="2"/>
        <v>97099552</v>
      </c>
      <c r="H9" s="835">
        <f t="shared" si="2"/>
        <v>6010007</v>
      </c>
      <c r="I9" s="835">
        <f t="shared" si="2"/>
        <v>2144318</v>
      </c>
      <c r="J9" s="835">
        <f t="shared" si="2"/>
        <v>0</v>
      </c>
      <c r="K9" s="835">
        <f t="shared" si="2"/>
        <v>0</v>
      </c>
      <c r="L9" s="835">
        <f t="shared" si="2"/>
        <v>0</v>
      </c>
      <c r="M9" s="155">
        <f>SUM(F9:L9)</f>
        <v>107186257</v>
      </c>
      <c r="N9" s="155">
        <f>SUM(F9:L9)</f>
        <v>107186257</v>
      </c>
      <c r="O9" s="834"/>
      <c r="P9" s="491"/>
    </row>
    <row r="10" spans="1:17" ht="12">
      <c r="A10" s="662"/>
      <c r="B10" s="199" t="s">
        <v>10</v>
      </c>
      <c r="C10" s="92"/>
      <c r="D10" s="200">
        <f>D11+D15</f>
        <v>111215134</v>
      </c>
      <c r="E10" s="200">
        <f t="shared" ref="E10:L10" si="3">E11+E15</f>
        <v>734424</v>
      </c>
      <c r="F10" s="200">
        <f t="shared" si="3"/>
        <v>2057086</v>
      </c>
      <c r="G10" s="200">
        <f t="shared" si="3"/>
        <v>98381087</v>
      </c>
      <c r="H10" s="200">
        <f t="shared" si="3"/>
        <v>7576016</v>
      </c>
      <c r="I10" s="200">
        <f t="shared" si="3"/>
        <v>2466521</v>
      </c>
      <c r="J10" s="200">
        <f t="shared" si="3"/>
        <v>0</v>
      </c>
      <c r="K10" s="200">
        <f t="shared" si="3"/>
        <v>0</v>
      </c>
      <c r="L10" s="200">
        <f t="shared" si="3"/>
        <v>0</v>
      </c>
      <c r="M10" s="1621">
        <f>M11+M15</f>
        <v>110480710</v>
      </c>
      <c r="N10" s="66">
        <f>N11+N15</f>
        <v>110450710</v>
      </c>
      <c r="O10" s="836"/>
      <c r="P10" s="204"/>
      <c r="Q10" s="204"/>
    </row>
    <row r="11" spans="1:17" ht="13.5" customHeight="1">
      <c r="A11" s="662"/>
      <c r="B11" s="837" t="s">
        <v>24</v>
      </c>
      <c r="C11" s="1507"/>
      <c r="D11" s="1508">
        <f>D12+D13+D14</f>
        <v>17252757</v>
      </c>
      <c r="E11" s="1508">
        <f t="shared" ref="E11:L11" si="4">E12+E13+E14</f>
        <v>564441</v>
      </c>
      <c r="F11" s="1508">
        <f t="shared" si="4"/>
        <v>571235</v>
      </c>
      <c r="G11" s="1508">
        <f t="shared" si="4"/>
        <v>14608150</v>
      </c>
      <c r="H11" s="1508">
        <f t="shared" si="4"/>
        <v>1137721</v>
      </c>
      <c r="I11" s="1508">
        <f t="shared" si="4"/>
        <v>371210</v>
      </c>
      <c r="J11" s="1508">
        <f t="shared" si="4"/>
        <v>0</v>
      </c>
      <c r="K11" s="1508">
        <f t="shared" si="4"/>
        <v>0</v>
      </c>
      <c r="L11" s="1508">
        <f t="shared" si="4"/>
        <v>0</v>
      </c>
      <c r="M11" s="1509">
        <f>+M12+M13+M14</f>
        <v>16688316</v>
      </c>
      <c r="N11" s="1509">
        <f t="shared" ref="N11" si="5">+N12+N13</f>
        <v>16658316</v>
      </c>
      <c r="O11" s="838"/>
    </row>
    <row r="12" spans="1:17" ht="13.5" customHeight="1">
      <c r="A12" s="662"/>
      <c r="B12" s="1510" t="s">
        <v>12</v>
      </c>
      <c r="C12" s="1511"/>
      <c r="D12" s="1512">
        <f>+D28+D64+D37+D73+D82+D55+D94+D107+D116+D129+D138+D46+D147+D160+D169++D182+D191</f>
        <v>16222757</v>
      </c>
      <c r="E12" s="1512">
        <f t="shared" ref="E12:L12" si="6">+E28+E64+E37+E73+E82+E55+E94+E107+E116+E129+E138+E46+E147+E160+E169++E182+E191</f>
        <v>564441</v>
      </c>
      <c r="F12" s="1512">
        <f t="shared" si="6"/>
        <v>441235</v>
      </c>
      <c r="G12" s="1512">
        <f t="shared" si="6"/>
        <v>13708150</v>
      </c>
      <c r="H12" s="1512">
        <f t="shared" si="6"/>
        <v>1137721</v>
      </c>
      <c r="I12" s="1512">
        <f t="shared" si="6"/>
        <v>371210</v>
      </c>
      <c r="J12" s="1512">
        <f t="shared" si="6"/>
        <v>0</v>
      </c>
      <c r="K12" s="1512">
        <f t="shared" si="6"/>
        <v>0</v>
      </c>
      <c r="L12" s="1512">
        <f t="shared" si="6"/>
        <v>0</v>
      </c>
      <c r="M12" s="839">
        <f>SUM(F12:L12)</f>
        <v>15658316</v>
      </c>
      <c r="N12" s="839">
        <f>SUM(F12:L12)</f>
        <v>15658316</v>
      </c>
      <c r="O12" s="838"/>
      <c r="P12" s="204"/>
    </row>
    <row r="13" spans="1:17" ht="13.5" customHeight="1">
      <c r="A13" s="662"/>
      <c r="B13" s="1658" t="s">
        <v>62</v>
      </c>
      <c r="C13" s="1659"/>
      <c r="D13" s="1660">
        <f>+D83</f>
        <v>1000000</v>
      </c>
      <c r="E13" s="1660">
        <f t="shared" ref="E13:L13" si="7">+E83</f>
        <v>0</v>
      </c>
      <c r="F13" s="1660">
        <f t="shared" si="7"/>
        <v>100000</v>
      </c>
      <c r="G13" s="1660">
        <f t="shared" si="7"/>
        <v>900000</v>
      </c>
      <c r="H13" s="1660">
        <f t="shared" si="7"/>
        <v>0</v>
      </c>
      <c r="I13" s="1660">
        <f t="shared" si="7"/>
        <v>0</v>
      </c>
      <c r="J13" s="1660">
        <f t="shared" si="7"/>
        <v>0</v>
      </c>
      <c r="K13" s="1660">
        <f t="shared" si="7"/>
        <v>0</v>
      </c>
      <c r="L13" s="1660">
        <f t="shared" si="7"/>
        <v>0</v>
      </c>
      <c r="M13" s="1661">
        <f>SUM(F13:K13)</f>
        <v>1000000</v>
      </c>
      <c r="N13" s="1661">
        <f>SUM(F13:L13)</f>
        <v>1000000</v>
      </c>
      <c r="O13" s="838"/>
      <c r="P13" s="204"/>
    </row>
    <row r="14" spans="1:17" ht="13.5" customHeight="1">
      <c r="A14" s="662"/>
      <c r="B14" s="2799" t="s">
        <v>15</v>
      </c>
      <c r="C14" s="2800"/>
      <c r="D14" s="2801">
        <f>D192</f>
        <v>30000</v>
      </c>
      <c r="E14" s="2801">
        <f t="shared" ref="E14:L14" si="8">E192</f>
        <v>0</v>
      </c>
      <c r="F14" s="2801">
        <f t="shared" si="8"/>
        <v>30000</v>
      </c>
      <c r="G14" s="2801">
        <f t="shared" si="8"/>
        <v>0</v>
      </c>
      <c r="H14" s="2801">
        <f t="shared" si="8"/>
        <v>0</v>
      </c>
      <c r="I14" s="2801">
        <f t="shared" si="8"/>
        <v>0</v>
      </c>
      <c r="J14" s="2801">
        <f t="shared" si="8"/>
        <v>0</v>
      </c>
      <c r="K14" s="2801">
        <f t="shared" si="8"/>
        <v>0</v>
      </c>
      <c r="L14" s="2801">
        <f t="shared" si="8"/>
        <v>0</v>
      </c>
      <c r="M14" s="1661">
        <f>SUM(F14:K14)</f>
        <v>30000</v>
      </c>
      <c r="N14" s="2802"/>
      <c r="O14" s="838"/>
      <c r="P14" s="204"/>
    </row>
    <row r="15" spans="1:17" ht="13.5" customHeight="1">
      <c r="A15" s="662"/>
      <c r="B15" s="837" t="s">
        <v>18</v>
      </c>
      <c r="C15" s="1507"/>
      <c r="D15" s="1508">
        <f>+D16+D17</f>
        <v>93962377</v>
      </c>
      <c r="E15" s="1508">
        <f t="shared" ref="E15:L15" si="9">+E16+E17</f>
        <v>169983</v>
      </c>
      <c r="F15" s="1508">
        <f t="shared" si="9"/>
        <v>1485851</v>
      </c>
      <c r="G15" s="1508">
        <f t="shared" si="9"/>
        <v>83772937</v>
      </c>
      <c r="H15" s="1508">
        <f t="shared" si="9"/>
        <v>6438295</v>
      </c>
      <c r="I15" s="1508">
        <f t="shared" si="9"/>
        <v>2095311</v>
      </c>
      <c r="J15" s="1508">
        <f t="shared" si="9"/>
        <v>0</v>
      </c>
      <c r="K15" s="1508">
        <f t="shared" si="9"/>
        <v>0</v>
      </c>
      <c r="L15" s="1508">
        <f t="shared" si="9"/>
        <v>0</v>
      </c>
      <c r="M15" s="1509">
        <f>+M16</f>
        <v>93792394</v>
      </c>
      <c r="N15" s="1509">
        <f>+N16</f>
        <v>93792394</v>
      </c>
      <c r="O15" s="838"/>
    </row>
    <row r="16" spans="1:17" ht="13.5" customHeight="1">
      <c r="A16" s="662"/>
      <c r="B16" s="1510" t="s">
        <v>21</v>
      </c>
      <c r="C16" s="202"/>
      <c r="D16" s="149">
        <f>+D30+D66+D39+D75+D85+D57+D98+D109+D120+D131+D140+D48+D151+D162+D173+D184+D194</f>
        <v>93962377</v>
      </c>
      <c r="E16" s="149">
        <f t="shared" ref="E16:L16" si="10">+E30+E66+E39+E75+E85+E57+E98+E109+E120+E131+E140+E48+E151+E162+E173+E184+E194</f>
        <v>169983</v>
      </c>
      <c r="F16" s="149">
        <f t="shared" si="10"/>
        <v>1485851</v>
      </c>
      <c r="G16" s="149">
        <f t="shared" si="10"/>
        <v>83772937</v>
      </c>
      <c r="H16" s="149">
        <f t="shared" si="10"/>
        <v>6438295</v>
      </c>
      <c r="I16" s="149">
        <f t="shared" si="10"/>
        <v>2095311</v>
      </c>
      <c r="J16" s="149">
        <f t="shared" si="10"/>
        <v>0</v>
      </c>
      <c r="K16" s="149">
        <f t="shared" si="10"/>
        <v>0</v>
      </c>
      <c r="L16" s="149">
        <f t="shared" si="10"/>
        <v>0</v>
      </c>
      <c r="M16" s="839">
        <f>SUM(F16:L16)</f>
        <v>93792394</v>
      </c>
      <c r="N16" s="839">
        <f>SUM(F16:L16)</f>
        <v>93792394</v>
      </c>
      <c r="O16" s="838"/>
      <c r="P16" s="204"/>
    </row>
    <row r="17" spans="1:16" ht="13.5" hidden="1" customHeight="1">
      <c r="A17" s="662"/>
      <c r="B17" s="285" t="s">
        <v>20</v>
      </c>
      <c r="C17" s="2068"/>
      <c r="D17" s="149"/>
      <c r="E17" s="149"/>
      <c r="F17" s="149"/>
      <c r="G17" s="149"/>
      <c r="H17" s="149"/>
      <c r="I17" s="149"/>
      <c r="J17" s="149"/>
      <c r="K17" s="149"/>
      <c r="L17" s="149"/>
      <c r="M17" s="281"/>
      <c r="N17" s="281"/>
      <c r="O17" s="838"/>
    </row>
    <row r="18" spans="1:16" ht="12">
      <c r="A18" s="662"/>
      <c r="B18" s="199" t="s">
        <v>22</v>
      </c>
      <c r="C18" s="22"/>
      <c r="D18" s="200">
        <f>D22+D19</f>
        <v>94992377</v>
      </c>
      <c r="E18" s="200">
        <f t="shared" ref="E18:L18" si="11">E22+E19</f>
        <v>0</v>
      </c>
      <c r="F18" s="200">
        <f t="shared" si="11"/>
        <v>132133</v>
      </c>
      <c r="G18" s="200">
        <f t="shared" si="11"/>
        <v>77949115</v>
      </c>
      <c r="H18" s="200">
        <f t="shared" si="11"/>
        <v>12648694</v>
      </c>
      <c r="I18" s="200">
        <f t="shared" si="11"/>
        <v>2313032</v>
      </c>
      <c r="J18" s="200">
        <f t="shared" si="11"/>
        <v>1949403</v>
      </c>
      <c r="K18" s="200">
        <f t="shared" si="11"/>
        <v>0</v>
      </c>
      <c r="L18" s="200">
        <f t="shared" si="11"/>
        <v>0</v>
      </c>
      <c r="M18" s="2873" t="s">
        <v>61</v>
      </c>
      <c r="N18" s="2873" t="s">
        <v>61</v>
      </c>
      <c r="O18" s="838"/>
      <c r="P18" s="204"/>
    </row>
    <row r="19" spans="1:16" ht="16.5" customHeight="1">
      <c r="A19" s="662"/>
      <c r="B19" s="837" t="s">
        <v>11</v>
      </c>
      <c r="C19" s="202"/>
      <c r="D19" s="236">
        <f>D20+D21</f>
        <v>1030000</v>
      </c>
      <c r="E19" s="236">
        <f t="shared" ref="E19:L19" si="12">E20+E21</f>
        <v>0</v>
      </c>
      <c r="F19" s="236">
        <f t="shared" si="12"/>
        <v>130000</v>
      </c>
      <c r="G19" s="236">
        <f t="shared" si="12"/>
        <v>900000</v>
      </c>
      <c r="H19" s="236">
        <f t="shared" si="12"/>
        <v>0</v>
      </c>
      <c r="I19" s="236">
        <f t="shared" si="12"/>
        <v>0</v>
      </c>
      <c r="J19" s="236">
        <f t="shared" si="12"/>
        <v>0</v>
      </c>
      <c r="K19" s="236">
        <f t="shared" si="12"/>
        <v>0</v>
      </c>
      <c r="L19" s="236">
        <f t="shared" si="12"/>
        <v>0</v>
      </c>
      <c r="M19" s="2874"/>
      <c r="N19" s="2874"/>
      <c r="O19" s="838"/>
      <c r="P19" s="204"/>
    </row>
    <row r="20" spans="1:16" ht="12">
      <c r="A20" s="662"/>
      <c r="B20" s="1510" t="s">
        <v>62</v>
      </c>
      <c r="C20" s="202"/>
      <c r="D20" s="149">
        <f>D88</f>
        <v>1000000</v>
      </c>
      <c r="E20" s="149">
        <f t="shared" ref="E20:L20" si="13">E88</f>
        <v>0</v>
      </c>
      <c r="F20" s="149">
        <f t="shared" si="13"/>
        <v>100000</v>
      </c>
      <c r="G20" s="149">
        <f t="shared" si="13"/>
        <v>900000</v>
      </c>
      <c r="H20" s="149">
        <f t="shared" si="13"/>
        <v>0</v>
      </c>
      <c r="I20" s="149">
        <f t="shared" si="13"/>
        <v>0</v>
      </c>
      <c r="J20" s="149">
        <f t="shared" si="13"/>
        <v>0</v>
      </c>
      <c r="K20" s="149">
        <f t="shared" si="13"/>
        <v>0</v>
      </c>
      <c r="L20" s="149">
        <f t="shared" si="13"/>
        <v>0</v>
      </c>
      <c r="M20" s="2874"/>
      <c r="N20" s="2874"/>
      <c r="O20" s="838"/>
      <c r="P20" s="204"/>
    </row>
    <row r="21" spans="1:16" ht="12">
      <c r="A21" s="662"/>
      <c r="B21" s="2799" t="s">
        <v>15</v>
      </c>
      <c r="C21" s="2803"/>
      <c r="D21" s="2804">
        <f>D197</f>
        <v>30000</v>
      </c>
      <c r="E21" s="2804">
        <f t="shared" ref="E21:L21" si="14">E197</f>
        <v>0</v>
      </c>
      <c r="F21" s="2804">
        <f t="shared" si="14"/>
        <v>30000</v>
      </c>
      <c r="G21" s="2804">
        <f t="shared" si="14"/>
        <v>0</v>
      </c>
      <c r="H21" s="2804">
        <f t="shared" si="14"/>
        <v>0</v>
      </c>
      <c r="I21" s="2804">
        <f t="shared" si="14"/>
        <v>0</v>
      </c>
      <c r="J21" s="2804">
        <f t="shared" si="14"/>
        <v>0</v>
      </c>
      <c r="K21" s="2804">
        <f t="shared" si="14"/>
        <v>0</v>
      </c>
      <c r="L21" s="2804">
        <f t="shared" si="14"/>
        <v>0</v>
      </c>
      <c r="M21" s="2874"/>
      <c r="N21" s="2874"/>
      <c r="O21" s="838"/>
      <c r="P21" s="204"/>
    </row>
    <row r="22" spans="1:16" ht="13.5" customHeight="1">
      <c r="A22" s="662"/>
      <c r="B22" s="837" t="s">
        <v>18</v>
      </c>
      <c r="C22" s="202"/>
      <c r="D22" s="236">
        <f>+D23+D24</f>
        <v>93962377</v>
      </c>
      <c r="E22" s="236">
        <f t="shared" ref="E22:L22" si="15">+E23+E24</f>
        <v>0</v>
      </c>
      <c r="F22" s="236">
        <f t="shared" si="15"/>
        <v>2133</v>
      </c>
      <c r="G22" s="236">
        <f t="shared" si="15"/>
        <v>77049115</v>
      </c>
      <c r="H22" s="236">
        <f t="shared" si="15"/>
        <v>12648694</v>
      </c>
      <c r="I22" s="236">
        <f t="shared" si="15"/>
        <v>2313032</v>
      </c>
      <c r="J22" s="236">
        <f t="shared" si="15"/>
        <v>1949403</v>
      </c>
      <c r="K22" s="236">
        <f t="shared" si="15"/>
        <v>0</v>
      </c>
      <c r="L22" s="236">
        <f t="shared" si="15"/>
        <v>0</v>
      </c>
      <c r="M22" s="2874"/>
      <c r="N22" s="2874"/>
      <c r="O22" s="838"/>
    </row>
    <row r="23" spans="1:16" ht="13.5" customHeight="1" thickBot="1">
      <c r="A23" s="840"/>
      <c r="B23" s="1510" t="s">
        <v>21</v>
      </c>
      <c r="C23" s="202"/>
      <c r="D23" s="149">
        <f>+D33+D42+D69+D78+D90+D60+D103+D112+D125+D134+D143+D51+D156+D165+D178+D186+D198</f>
        <v>93962377</v>
      </c>
      <c r="E23" s="149">
        <f t="shared" ref="E23:L23" si="16">+E33+E42+E69+E78+E90+E60+E103+E112+E125+E134+E143+E51+E156+E165+E178+E186+E198</f>
        <v>0</v>
      </c>
      <c r="F23" s="149">
        <f t="shared" si="16"/>
        <v>2133</v>
      </c>
      <c r="G23" s="149">
        <f t="shared" si="16"/>
        <v>77049115</v>
      </c>
      <c r="H23" s="149">
        <f t="shared" si="16"/>
        <v>12648694</v>
      </c>
      <c r="I23" s="149">
        <f t="shared" si="16"/>
        <v>2313032</v>
      </c>
      <c r="J23" s="149">
        <f t="shared" si="16"/>
        <v>1949403</v>
      </c>
      <c r="K23" s="149">
        <f t="shared" si="16"/>
        <v>0</v>
      </c>
      <c r="L23" s="149">
        <f t="shared" si="16"/>
        <v>0</v>
      </c>
      <c r="M23" s="2874"/>
      <c r="N23" s="2874"/>
      <c r="O23" s="838"/>
      <c r="P23" s="204">
        <f>D23-D16</f>
        <v>0</v>
      </c>
    </row>
    <row r="24" spans="1:16" ht="13.5" hidden="1" customHeight="1" thickBot="1">
      <c r="A24" s="840"/>
      <c r="B24" s="841" t="s">
        <v>20</v>
      </c>
      <c r="C24" s="841"/>
      <c r="D24" s="841"/>
      <c r="E24" s="841"/>
      <c r="F24" s="841"/>
      <c r="G24" s="841"/>
      <c r="H24" s="841"/>
      <c r="I24" s="841"/>
      <c r="J24" s="841"/>
      <c r="K24" s="841"/>
      <c r="L24" s="252"/>
      <c r="M24" s="2875"/>
      <c r="N24" s="2875"/>
      <c r="O24" s="838"/>
    </row>
    <row r="25" spans="1:16" s="237" customFormat="1" ht="27" customHeight="1">
      <c r="A25" s="3431" t="s">
        <v>63</v>
      </c>
      <c r="B25" s="187" t="s">
        <v>451</v>
      </c>
      <c r="C25" s="2064" t="s">
        <v>81</v>
      </c>
      <c r="D25" s="842"/>
      <c r="E25" s="843"/>
      <c r="F25" s="844"/>
      <c r="G25" s="844"/>
      <c r="H25" s="844"/>
      <c r="I25" s="843"/>
      <c r="J25" s="843"/>
      <c r="K25" s="843"/>
      <c r="L25" s="843"/>
      <c r="M25" s="845"/>
      <c r="N25" s="845"/>
      <c r="O25" s="3035" t="s">
        <v>86</v>
      </c>
    </row>
    <row r="26" spans="1:16" s="237" customFormat="1" ht="14.25" customHeight="1">
      <c r="A26" s="3432"/>
      <c r="B26" s="2088" t="s">
        <v>10</v>
      </c>
      <c r="C26" s="22"/>
      <c r="D26" s="1686">
        <f>D27+D29</f>
        <v>45474581</v>
      </c>
      <c r="E26" s="1686">
        <f>+E29+E27</f>
        <v>146960</v>
      </c>
      <c r="F26" s="1686">
        <f>+F29+F27</f>
        <v>970000</v>
      </c>
      <c r="G26" s="1686">
        <f>+G27+G29</f>
        <v>44357621</v>
      </c>
      <c r="H26" s="1686">
        <f t="shared" ref="H26" si="17">+H29</f>
        <v>0</v>
      </c>
      <c r="I26" s="1686"/>
      <c r="J26" s="1686"/>
      <c r="K26" s="1686"/>
      <c r="L26" s="1686"/>
      <c r="M26" s="1684">
        <f>+M29+M27</f>
        <v>45327621</v>
      </c>
      <c r="N26" s="1684">
        <f>+N29+N27</f>
        <v>44357621</v>
      </c>
      <c r="O26" s="3036"/>
    </row>
    <row r="27" spans="1:16" s="237" customFormat="1" ht="14.25" customHeight="1">
      <c r="A27" s="3432"/>
      <c r="B27" s="2089" t="s">
        <v>24</v>
      </c>
      <c r="C27" s="3448" t="s">
        <v>172</v>
      </c>
      <c r="D27" s="1685">
        <f>D28</f>
        <v>7090603</v>
      </c>
      <c r="E27" s="2090">
        <f t="shared" ref="E27:H27" si="18">E28</f>
        <v>146960</v>
      </c>
      <c r="F27" s="2091">
        <f t="shared" si="18"/>
        <v>158250</v>
      </c>
      <c r="G27" s="2092">
        <f t="shared" si="18"/>
        <v>6785393</v>
      </c>
      <c r="H27" s="2092">
        <f t="shared" si="18"/>
        <v>0</v>
      </c>
      <c r="I27" s="2092"/>
      <c r="J27" s="2092"/>
      <c r="K27" s="2092"/>
      <c r="L27" s="2092"/>
      <c r="M27" s="2093">
        <f>M28</f>
        <v>6943643</v>
      </c>
      <c r="N27" s="2093">
        <f>N28</f>
        <v>6785393</v>
      </c>
      <c r="O27" s="3036"/>
    </row>
    <row r="28" spans="1:16" s="237" customFormat="1" ht="14.25" customHeight="1">
      <c r="A28" s="3432"/>
      <c r="B28" s="2094" t="s">
        <v>12</v>
      </c>
      <c r="C28" s="2947"/>
      <c r="D28" s="251">
        <f>E28+F28+G28+H28+I28+J28+K28+L28</f>
        <v>7090603</v>
      </c>
      <c r="E28" s="251">
        <v>146960</v>
      </c>
      <c r="F28" s="2095">
        <f>2732267+170000-2664017-80000</f>
        <v>158250</v>
      </c>
      <c r="G28" s="2095">
        <f>4041376+2664017+80000</f>
        <v>6785393</v>
      </c>
      <c r="H28" s="2095">
        <v>0</v>
      </c>
      <c r="I28" s="2095"/>
      <c r="J28" s="2095"/>
      <c r="K28" s="2095"/>
      <c r="L28" s="2095"/>
      <c r="M28" s="839">
        <f>SUM(F28:K28)</f>
        <v>6943643</v>
      </c>
      <c r="N28" s="839">
        <f>SUM(G28:L28)</f>
        <v>6785393</v>
      </c>
      <c r="O28" s="3036"/>
    </row>
    <row r="29" spans="1:16" s="237" customFormat="1" ht="14.25" customHeight="1">
      <c r="A29" s="3432"/>
      <c r="B29" s="2096" t="s">
        <v>18</v>
      </c>
      <c r="C29" s="2947"/>
      <c r="D29" s="1685">
        <f>D30</f>
        <v>38383978</v>
      </c>
      <c r="E29" s="2090">
        <f t="shared" ref="E29" si="19">+E30</f>
        <v>0</v>
      </c>
      <c r="F29" s="2092">
        <f>+F30</f>
        <v>811750</v>
      </c>
      <c r="G29" s="2092">
        <f>+G30</f>
        <v>37572228</v>
      </c>
      <c r="H29" s="2092">
        <v>0</v>
      </c>
      <c r="I29" s="2092"/>
      <c r="J29" s="2092"/>
      <c r="K29" s="2092"/>
      <c r="L29" s="2092"/>
      <c r="M29" s="2093">
        <f>+M30</f>
        <v>38383978</v>
      </c>
      <c r="N29" s="2093">
        <f>+N30</f>
        <v>37572228</v>
      </c>
      <c r="O29" s="3036"/>
    </row>
    <row r="30" spans="1:16" s="237" customFormat="1" ht="15" customHeight="1">
      <c r="A30" s="3432"/>
      <c r="B30" s="285" t="s">
        <v>21</v>
      </c>
      <c r="C30" s="2922"/>
      <c r="D30" s="251">
        <f>E30+F30+G30+H30+I30+J30+K30+L30</f>
        <v>38383978</v>
      </c>
      <c r="E30" s="251">
        <v>0</v>
      </c>
      <c r="F30" s="2095">
        <f>15482849-14416099-255000</f>
        <v>811750</v>
      </c>
      <c r="G30" s="2095">
        <f>22901129+14416099+255000</f>
        <v>37572228</v>
      </c>
      <c r="H30" s="2095">
        <v>0</v>
      </c>
      <c r="I30" s="2095"/>
      <c r="J30" s="2095"/>
      <c r="K30" s="2095"/>
      <c r="L30" s="2095"/>
      <c r="M30" s="839">
        <f>SUM(F30:K30)</f>
        <v>38383978</v>
      </c>
      <c r="N30" s="839">
        <f>SUM(G30:L30)</f>
        <v>37572228</v>
      </c>
      <c r="O30" s="3425"/>
    </row>
    <row r="31" spans="1:16" s="237" customFormat="1" ht="14.25" customHeight="1">
      <c r="A31" s="3432"/>
      <c r="B31" s="21" t="s">
        <v>22</v>
      </c>
      <c r="C31" s="22"/>
      <c r="D31" s="1686">
        <f>+D32</f>
        <v>38383978</v>
      </c>
      <c r="E31" s="1686">
        <f t="shared" ref="E31:E32" si="20">+E32</f>
        <v>0</v>
      </c>
      <c r="F31" s="1686">
        <f t="shared" ref="F31:H32" si="21">F32</f>
        <v>0</v>
      </c>
      <c r="G31" s="1686">
        <f t="shared" si="21"/>
        <v>35383978</v>
      </c>
      <c r="H31" s="1686">
        <f t="shared" si="21"/>
        <v>3000000</v>
      </c>
      <c r="I31" s="1686"/>
      <c r="J31" s="1686"/>
      <c r="K31" s="1686"/>
      <c r="L31" s="1686"/>
      <c r="M31" s="3435" t="s">
        <v>61</v>
      </c>
      <c r="N31" s="3435" t="s">
        <v>61</v>
      </c>
      <c r="O31" s="3027" t="s">
        <v>102</v>
      </c>
      <c r="P31" s="491"/>
    </row>
    <row r="32" spans="1:16" s="237" customFormat="1" ht="14.25" customHeight="1">
      <c r="A32" s="3432"/>
      <c r="B32" s="174" t="s">
        <v>18</v>
      </c>
      <c r="C32" s="3447" t="s">
        <v>196</v>
      </c>
      <c r="D32" s="1685">
        <f>+D33</f>
        <v>38383978</v>
      </c>
      <c r="E32" s="2097">
        <f t="shared" si="20"/>
        <v>0</v>
      </c>
      <c r="F32" s="2097">
        <f t="shared" si="21"/>
        <v>0</v>
      </c>
      <c r="G32" s="2097">
        <f t="shared" si="21"/>
        <v>35383978</v>
      </c>
      <c r="H32" s="2097">
        <f t="shared" si="21"/>
        <v>3000000</v>
      </c>
      <c r="I32" s="2097"/>
      <c r="J32" s="2097"/>
      <c r="K32" s="2097"/>
      <c r="L32" s="2097"/>
      <c r="M32" s="2874"/>
      <c r="N32" s="2874"/>
      <c r="O32" s="3027"/>
    </row>
    <row r="33" spans="1:17" s="237" customFormat="1" ht="14.25" customHeight="1" thickBot="1">
      <c r="A33" s="3433"/>
      <c r="B33" s="2067" t="s">
        <v>21</v>
      </c>
      <c r="C33" s="2921"/>
      <c r="D33" s="251">
        <f>E33+F33+G33+H33+I33+J33+K33+L33</f>
        <v>38383978</v>
      </c>
      <c r="E33" s="251">
        <v>0</v>
      </c>
      <c r="F33" s="73">
        <f>14000000-13175000-825000</f>
        <v>0</v>
      </c>
      <c r="G33" s="73">
        <f>23383978+11175000+825000</f>
        <v>35383978</v>
      </c>
      <c r="H33" s="73">
        <f>1000000+2000000</f>
        <v>3000000</v>
      </c>
      <c r="I33" s="73"/>
      <c r="J33" s="73"/>
      <c r="K33" s="73"/>
      <c r="L33" s="73"/>
      <c r="M33" s="2875"/>
      <c r="N33" s="2875"/>
      <c r="O33" s="3028"/>
    </row>
    <row r="34" spans="1:17" ht="25.5" customHeight="1">
      <c r="A34" s="3431" t="s">
        <v>64</v>
      </c>
      <c r="B34" s="187" t="s">
        <v>452</v>
      </c>
      <c r="C34" s="2064" t="s">
        <v>81</v>
      </c>
      <c r="D34" s="1770"/>
      <c r="E34" s="1915"/>
      <c r="F34" s="1772"/>
      <c r="G34" s="1772"/>
      <c r="H34" s="1772"/>
      <c r="I34" s="1771"/>
      <c r="J34" s="1771"/>
      <c r="K34" s="1771"/>
      <c r="L34" s="1771"/>
      <c r="M34" s="1773"/>
      <c r="N34" s="1773"/>
      <c r="O34" s="3035" t="s">
        <v>86</v>
      </c>
    </row>
    <row r="35" spans="1:17" ht="12">
      <c r="A35" s="3434"/>
      <c r="B35" s="318" t="s">
        <v>10</v>
      </c>
      <c r="C35" s="2098"/>
      <c r="D35" s="850">
        <f>+D36+D38</f>
        <v>16691432</v>
      </c>
      <c r="E35" s="850">
        <f t="shared" ref="E35" si="22">+E36+E38</f>
        <v>52306</v>
      </c>
      <c r="F35" s="850">
        <f>+F36+F38</f>
        <v>415000</v>
      </c>
      <c r="G35" s="850">
        <f>+G36+G38</f>
        <v>16224126</v>
      </c>
      <c r="H35" s="850"/>
      <c r="I35" s="850"/>
      <c r="J35" s="850"/>
      <c r="K35" s="850"/>
      <c r="L35" s="850"/>
      <c r="M35" s="1684">
        <f>M36+M38</f>
        <v>16639126</v>
      </c>
      <c r="N35" s="1684">
        <f>N36+N38</f>
        <v>16224126</v>
      </c>
      <c r="O35" s="3036"/>
      <c r="P35" s="204"/>
      <c r="Q35" s="204"/>
    </row>
    <row r="36" spans="1:17" s="237" customFormat="1" ht="14.25" customHeight="1">
      <c r="A36" s="3434"/>
      <c r="B36" s="851" t="s">
        <v>24</v>
      </c>
      <c r="C36" s="3426" t="s">
        <v>172</v>
      </c>
      <c r="D36" s="316">
        <f>D37</f>
        <v>2603425</v>
      </c>
      <c r="E36" s="320">
        <f t="shared" ref="E36:G36" si="23">E37</f>
        <v>52306</v>
      </c>
      <c r="F36" s="2099">
        <f t="shared" si="23"/>
        <v>62250</v>
      </c>
      <c r="G36" s="2099">
        <f t="shared" si="23"/>
        <v>2488869</v>
      </c>
      <c r="H36" s="321"/>
      <c r="I36" s="321"/>
      <c r="J36" s="321"/>
      <c r="K36" s="321"/>
      <c r="L36" s="321"/>
      <c r="M36" s="313">
        <f>M37</f>
        <v>2551119</v>
      </c>
      <c r="N36" s="313">
        <f>N37</f>
        <v>2488869</v>
      </c>
      <c r="O36" s="3036"/>
    </row>
    <row r="37" spans="1:17" s="237" customFormat="1" ht="12.75">
      <c r="A37" s="3434"/>
      <c r="B37" s="852" t="s">
        <v>12</v>
      </c>
      <c r="C37" s="2947"/>
      <c r="D37" s="251">
        <f>E37+F37+G37+H37+I37+J37+K37+L37</f>
        <v>2603425</v>
      </c>
      <c r="E37" s="251">
        <v>52306</v>
      </c>
      <c r="F37" s="315">
        <f>1009016+55696-942462-60000</f>
        <v>62250</v>
      </c>
      <c r="G37" s="315">
        <f>1500949-14542+942462+60000</f>
        <v>2488869</v>
      </c>
      <c r="H37" s="315"/>
      <c r="I37" s="315"/>
      <c r="J37" s="315"/>
      <c r="K37" s="315"/>
      <c r="L37" s="315"/>
      <c r="M37" s="839">
        <f>SUM(F37:K37)</f>
        <v>2551119</v>
      </c>
      <c r="N37" s="839">
        <f>SUM(G37:L37)</f>
        <v>2488869</v>
      </c>
      <c r="O37" s="3036"/>
    </row>
    <row r="38" spans="1:17" ht="14.25" customHeight="1">
      <c r="A38" s="3434"/>
      <c r="B38" s="319" t="s">
        <v>18</v>
      </c>
      <c r="C38" s="2947"/>
      <c r="D38" s="316">
        <f>+D39</f>
        <v>14088007</v>
      </c>
      <c r="E38" s="320">
        <f t="shared" ref="E38" si="24">+E39</f>
        <v>0</v>
      </c>
      <c r="F38" s="2099">
        <f>F39</f>
        <v>352750</v>
      </c>
      <c r="G38" s="2099">
        <f>G39</f>
        <v>13735257</v>
      </c>
      <c r="H38" s="321"/>
      <c r="I38" s="321"/>
      <c r="J38" s="321"/>
      <c r="K38" s="321"/>
      <c r="L38" s="321"/>
      <c r="M38" s="2100">
        <f>+M39</f>
        <v>14088007</v>
      </c>
      <c r="N38" s="2100">
        <f>+N39</f>
        <v>13735257</v>
      </c>
      <c r="O38" s="3036"/>
    </row>
    <row r="39" spans="1:17" ht="12.75">
      <c r="A39" s="3434"/>
      <c r="B39" s="285" t="s">
        <v>21</v>
      </c>
      <c r="C39" s="2922"/>
      <c r="D39" s="251">
        <f>E39+F39+G39+H39+I39+J39+K39+L39</f>
        <v>14088007</v>
      </c>
      <c r="E39" s="251">
        <v>0</v>
      </c>
      <c r="F39" s="315">
        <f>5717756-52724-5057282-255000</f>
        <v>352750</v>
      </c>
      <c r="G39" s="315">
        <f>8505377-82402+5057282+255000</f>
        <v>13735257</v>
      </c>
      <c r="H39" s="315"/>
      <c r="I39" s="315"/>
      <c r="J39" s="315"/>
      <c r="K39" s="315"/>
      <c r="L39" s="315"/>
      <c r="M39" s="839">
        <f>SUM(F39:K39)</f>
        <v>14088007</v>
      </c>
      <c r="N39" s="839">
        <f>SUM(G39:L39)</f>
        <v>13735257</v>
      </c>
      <c r="O39" s="3425"/>
    </row>
    <row r="40" spans="1:17" ht="12">
      <c r="A40" s="3434"/>
      <c r="B40" s="21" t="s">
        <v>22</v>
      </c>
      <c r="C40" s="22"/>
      <c r="D40" s="850">
        <f>+D41</f>
        <v>14088007</v>
      </c>
      <c r="E40" s="850">
        <f t="shared" ref="E40:E41" si="25">+E41</f>
        <v>0</v>
      </c>
      <c r="F40" s="850">
        <f t="shared" ref="F40:H41" si="26">F41</f>
        <v>0</v>
      </c>
      <c r="G40" s="850">
        <f t="shared" si="26"/>
        <v>12088007</v>
      </c>
      <c r="H40" s="850">
        <f t="shared" si="26"/>
        <v>2000000</v>
      </c>
      <c r="I40" s="850"/>
      <c r="J40" s="850"/>
      <c r="K40" s="850"/>
      <c r="L40" s="850"/>
      <c r="M40" s="3428"/>
      <c r="N40" s="3428"/>
      <c r="O40" s="3027" t="s">
        <v>102</v>
      </c>
    </row>
    <row r="41" spans="1:17" ht="12.75" customHeight="1">
      <c r="A41" s="3434"/>
      <c r="B41" s="174" t="s">
        <v>18</v>
      </c>
      <c r="C41" s="3427" t="s">
        <v>196</v>
      </c>
      <c r="D41" s="316">
        <f>+D42</f>
        <v>14088007</v>
      </c>
      <c r="E41" s="317">
        <f t="shared" si="25"/>
        <v>0</v>
      </c>
      <c r="F41" s="317">
        <f t="shared" si="26"/>
        <v>0</v>
      </c>
      <c r="G41" s="317">
        <f t="shared" si="26"/>
        <v>12088007</v>
      </c>
      <c r="H41" s="317">
        <f t="shared" si="26"/>
        <v>2000000</v>
      </c>
      <c r="I41" s="317"/>
      <c r="J41" s="317"/>
      <c r="K41" s="317"/>
      <c r="L41" s="317"/>
      <c r="M41" s="3429"/>
      <c r="N41" s="3429"/>
      <c r="O41" s="3027"/>
    </row>
    <row r="42" spans="1:17" ht="13.5" thickBot="1">
      <c r="A42" s="3437"/>
      <c r="B42" s="2067" t="s">
        <v>21</v>
      </c>
      <c r="C42" s="2921"/>
      <c r="D42" s="251">
        <f>E42+F42+G42+H42+I42+J42+K42+L42</f>
        <v>14088007</v>
      </c>
      <c r="E42" s="251">
        <v>0</v>
      </c>
      <c r="F42" s="73">
        <f>5600000-135126-4889874-575000</f>
        <v>0</v>
      </c>
      <c r="G42" s="73">
        <f>8123133+3389874+575000</f>
        <v>12088007</v>
      </c>
      <c r="H42" s="73">
        <f>500000+1500000</f>
        <v>2000000</v>
      </c>
      <c r="I42" s="73"/>
      <c r="J42" s="73"/>
      <c r="K42" s="73"/>
      <c r="L42" s="73"/>
      <c r="M42" s="3430"/>
      <c r="N42" s="3430"/>
      <c r="O42" s="3028"/>
    </row>
    <row r="43" spans="1:17" ht="36">
      <c r="A43" s="3431" t="s">
        <v>65</v>
      </c>
      <c r="B43" s="187" t="s">
        <v>518</v>
      </c>
      <c r="C43" s="2064" t="s">
        <v>81</v>
      </c>
      <c r="D43" s="1770"/>
      <c r="E43" s="1915"/>
      <c r="F43" s="1772"/>
      <c r="G43" s="1772"/>
      <c r="H43" s="1772"/>
      <c r="I43" s="1771"/>
      <c r="J43" s="1771"/>
      <c r="K43" s="1771"/>
      <c r="L43" s="1771"/>
      <c r="M43" s="1773"/>
      <c r="N43" s="1773"/>
      <c r="O43" s="3035" t="s">
        <v>86</v>
      </c>
    </row>
    <row r="44" spans="1:17" ht="15" customHeight="1">
      <c r="A44" s="3434"/>
      <c r="B44" s="2016" t="s">
        <v>10</v>
      </c>
      <c r="C44" s="2805"/>
      <c r="D44" s="2018">
        <f>+D45+D47</f>
        <v>6800000</v>
      </c>
      <c r="E44" s="2018">
        <f t="shared" ref="E44" si="27">+E45+E47</f>
        <v>0</v>
      </c>
      <c r="F44" s="2018">
        <f>+F45+F47</f>
        <v>247794</v>
      </c>
      <c r="G44" s="2018">
        <f>+G45+G47</f>
        <v>6552206</v>
      </c>
      <c r="H44" s="2018"/>
      <c r="I44" s="2018"/>
      <c r="J44" s="2018"/>
      <c r="K44" s="2018"/>
      <c r="L44" s="2018"/>
      <c r="M44" s="2019">
        <f>M45+M47</f>
        <v>6800000</v>
      </c>
      <c r="N44" s="2019">
        <f>N45+N47</f>
        <v>6552206</v>
      </c>
      <c r="O44" s="3036"/>
      <c r="P44" s="204"/>
      <c r="Q44" s="204"/>
    </row>
    <row r="45" spans="1:17" s="237" customFormat="1" ht="14.25" customHeight="1">
      <c r="A45" s="3434"/>
      <c r="B45" s="2020" t="s">
        <v>24</v>
      </c>
      <c r="C45" s="2920" t="s">
        <v>172</v>
      </c>
      <c r="D45" s="2021">
        <f>D46</f>
        <v>1105000</v>
      </c>
      <c r="E45" s="2806">
        <f t="shared" ref="E45:G45" si="28">E46</f>
        <v>0</v>
      </c>
      <c r="F45" s="2807">
        <f t="shared" si="28"/>
        <v>71879</v>
      </c>
      <c r="G45" s="2807">
        <f t="shared" si="28"/>
        <v>1033121</v>
      </c>
      <c r="H45" s="2026"/>
      <c r="I45" s="2026"/>
      <c r="J45" s="2026"/>
      <c r="K45" s="2026"/>
      <c r="L45" s="2026"/>
      <c r="M45" s="2022">
        <f>M46</f>
        <v>1105000</v>
      </c>
      <c r="N45" s="2022">
        <f>N46</f>
        <v>1033121</v>
      </c>
      <c r="O45" s="3036"/>
    </row>
    <row r="46" spans="1:17" s="237" customFormat="1" ht="12.75">
      <c r="A46" s="3434"/>
      <c r="B46" s="2023" t="s">
        <v>12</v>
      </c>
      <c r="C46" s="2947"/>
      <c r="D46" s="1926">
        <f>E46+F46+G46+H46+I46+J46+K46+L46</f>
        <v>1105000</v>
      </c>
      <c r="E46" s="1926">
        <v>0</v>
      </c>
      <c r="F46" s="2024">
        <f>610000-360000-72500-105621</f>
        <v>71879</v>
      </c>
      <c r="G46" s="2024">
        <f>495000+360000+72500+105621</f>
        <v>1033121</v>
      </c>
      <c r="H46" s="2024"/>
      <c r="I46" s="2024"/>
      <c r="J46" s="2024"/>
      <c r="K46" s="2024"/>
      <c r="L46" s="2024"/>
      <c r="M46" s="2515">
        <f>SUM(F46:K46)</f>
        <v>1105000</v>
      </c>
      <c r="N46" s="2515">
        <f>SUM(G46:L46)</f>
        <v>1033121</v>
      </c>
      <c r="O46" s="3036"/>
    </row>
    <row r="47" spans="1:17" ht="12">
      <c r="A47" s="3434"/>
      <c r="B47" s="2025" t="s">
        <v>18</v>
      </c>
      <c r="C47" s="2947"/>
      <c r="D47" s="2021">
        <f>+D48</f>
        <v>5695000</v>
      </c>
      <c r="E47" s="2806">
        <f t="shared" ref="E47" si="29">+E48</f>
        <v>0</v>
      </c>
      <c r="F47" s="2807">
        <f>F48</f>
        <v>175915</v>
      </c>
      <c r="G47" s="2807">
        <f>G48</f>
        <v>5519085</v>
      </c>
      <c r="H47" s="2026"/>
      <c r="I47" s="2026"/>
      <c r="J47" s="2026"/>
      <c r="K47" s="2026"/>
      <c r="L47" s="2026"/>
      <c r="M47" s="2101">
        <f>+M48</f>
        <v>5695000</v>
      </c>
      <c r="N47" s="2101">
        <f>+N48</f>
        <v>5519085</v>
      </c>
      <c r="O47" s="3036"/>
    </row>
    <row r="48" spans="1:17" ht="12.75">
      <c r="A48" s="3434"/>
      <c r="B48" s="285" t="s">
        <v>21</v>
      </c>
      <c r="C48" s="2922"/>
      <c r="D48" s="1926">
        <f>E48+F48+G48+H48+I48+J48+K48+L48</f>
        <v>5695000</v>
      </c>
      <c r="E48" s="1926">
        <v>0</v>
      </c>
      <c r="F48" s="2024">
        <f>2890000-2040000-127500-546585</f>
        <v>175915</v>
      </c>
      <c r="G48" s="2024">
        <f>2805000+2040000+127500+546585</f>
        <v>5519085</v>
      </c>
      <c r="H48" s="2024"/>
      <c r="I48" s="2024"/>
      <c r="J48" s="2024"/>
      <c r="K48" s="2024"/>
      <c r="L48" s="2024"/>
      <c r="M48" s="2515">
        <f>SUM(F48:K48)</f>
        <v>5695000</v>
      </c>
      <c r="N48" s="2515">
        <f>SUM(G48:L48)</f>
        <v>5519085</v>
      </c>
      <c r="O48" s="3425"/>
    </row>
    <row r="49" spans="1:17" ht="13.5" customHeight="1">
      <c r="A49" s="3434"/>
      <c r="B49" s="728" t="s">
        <v>22</v>
      </c>
      <c r="C49" s="2017"/>
      <c r="D49" s="2018">
        <f>+D50</f>
        <v>5695000</v>
      </c>
      <c r="E49" s="2018">
        <f t="shared" ref="E49:E50" si="30">+E50</f>
        <v>0</v>
      </c>
      <c r="F49" s="2018">
        <f t="shared" ref="F49:H50" si="31">F50</f>
        <v>0</v>
      </c>
      <c r="G49" s="2018">
        <f t="shared" si="31"/>
        <v>5695000</v>
      </c>
      <c r="H49" s="2018">
        <f t="shared" si="31"/>
        <v>0</v>
      </c>
      <c r="I49" s="2018"/>
      <c r="J49" s="2018"/>
      <c r="K49" s="2018"/>
      <c r="L49" s="2018"/>
      <c r="M49" s="3438"/>
      <c r="N49" s="3438"/>
      <c r="O49" s="3027" t="s">
        <v>102</v>
      </c>
    </row>
    <row r="50" spans="1:17" ht="12.75" customHeight="1">
      <c r="A50" s="3434"/>
      <c r="B50" s="694" t="s">
        <v>18</v>
      </c>
      <c r="C50" s="2974" t="s">
        <v>196</v>
      </c>
      <c r="D50" s="2021">
        <f>+D51</f>
        <v>5695000</v>
      </c>
      <c r="E50" s="2027">
        <f t="shared" si="30"/>
        <v>0</v>
      </c>
      <c r="F50" s="2027">
        <f t="shared" si="31"/>
        <v>0</v>
      </c>
      <c r="G50" s="2027">
        <f t="shared" si="31"/>
        <v>5695000</v>
      </c>
      <c r="H50" s="2027">
        <f t="shared" si="31"/>
        <v>0</v>
      </c>
      <c r="I50" s="2027"/>
      <c r="J50" s="2027"/>
      <c r="K50" s="2027"/>
      <c r="L50" s="2027"/>
      <c r="M50" s="3429"/>
      <c r="N50" s="3429"/>
      <c r="O50" s="3027"/>
    </row>
    <row r="51" spans="1:17" ht="13.5" thickBot="1">
      <c r="A51" s="3437"/>
      <c r="B51" s="2067" t="s">
        <v>21</v>
      </c>
      <c r="C51" s="2921"/>
      <c r="D51" s="2222">
        <f>E51+F51+G51+H51+I51+J51+K51+L51</f>
        <v>5695000</v>
      </c>
      <c r="E51" s="2222">
        <v>0</v>
      </c>
      <c r="F51" s="2499">
        <f>2890000-2040000-850000</f>
        <v>0</v>
      </c>
      <c r="G51" s="2499">
        <f>2805000+2040000+850000</f>
        <v>5695000</v>
      </c>
      <c r="H51" s="2499">
        <v>0</v>
      </c>
      <c r="I51" s="2499"/>
      <c r="J51" s="2499"/>
      <c r="K51" s="2499"/>
      <c r="L51" s="2499"/>
      <c r="M51" s="3430"/>
      <c r="N51" s="3430"/>
      <c r="O51" s="3028"/>
    </row>
    <row r="52" spans="1:17" ht="24">
      <c r="A52" s="3431" t="s">
        <v>66</v>
      </c>
      <c r="B52" s="187" t="s">
        <v>473</v>
      </c>
      <c r="C52" s="2064" t="s">
        <v>81</v>
      </c>
      <c r="D52" s="1770"/>
      <c r="E52" s="1915"/>
      <c r="F52" s="1772"/>
      <c r="G52" s="1772"/>
      <c r="H52" s="1772"/>
      <c r="I52" s="1771"/>
      <c r="J52" s="1771"/>
      <c r="K52" s="1771"/>
      <c r="L52" s="1771"/>
      <c r="M52" s="1773"/>
      <c r="N52" s="1773"/>
      <c r="O52" s="3035" t="s">
        <v>86</v>
      </c>
    </row>
    <row r="53" spans="1:17" ht="16.5" customHeight="1">
      <c r="A53" s="3434"/>
      <c r="B53" s="1090" t="s">
        <v>10</v>
      </c>
      <c r="C53" s="1774"/>
      <c r="D53" s="780">
        <f>+D54+D56</f>
        <v>7500000</v>
      </c>
      <c r="E53" s="780">
        <f t="shared" ref="E53" si="32">+E54+E56</f>
        <v>0</v>
      </c>
      <c r="F53" s="830">
        <f>+F54+F56</f>
        <v>0</v>
      </c>
      <c r="G53" s="780">
        <f>+G54+G56</f>
        <v>3500000</v>
      </c>
      <c r="H53" s="780">
        <f>+H54+H56</f>
        <v>4000000</v>
      </c>
      <c r="I53" s="780"/>
      <c r="J53" s="780"/>
      <c r="K53" s="780"/>
      <c r="L53" s="780"/>
      <c r="M53" s="1042">
        <f>M54+M56</f>
        <v>7500000</v>
      </c>
      <c r="N53" s="1042">
        <f>N54+N56</f>
        <v>7500000</v>
      </c>
      <c r="O53" s="3036"/>
      <c r="P53" s="204"/>
      <c r="Q53" s="204"/>
    </row>
    <row r="54" spans="1:17" s="237" customFormat="1" ht="14.25" customHeight="1">
      <c r="A54" s="3434"/>
      <c r="B54" s="1083" t="s">
        <v>24</v>
      </c>
      <c r="C54" s="2887" t="s">
        <v>172</v>
      </c>
      <c r="D54" s="711">
        <f>D55</f>
        <v>1125000</v>
      </c>
      <c r="E54" s="1469">
        <f t="shared" ref="E54:H54" si="33">E55</f>
        <v>0</v>
      </c>
      <c r="F54" s="1775">
        <f t="shared" si="33"/>
        <v>0</v>
      </c>
      <c r="G54" s="1471">
        <f t="shared" si="33"/>
        <v>525000</v>
      </c>
      <c r="H54" s="1471">
        <f t="shared" si="33"/>
        <v>600000</v>
      </c>
      <c r="I54" s="1470"/>
      <c r="J54" s="1470"/>
      <c r="K54" s="1470"/>
      <c r="L54" s="1470"/>
      <c r="M54" s="707">
        <f>M55</f>
        <v>1125000</v>
      </c>
      <c r="N54" s="707">
        <f>N55</f>
        <v>1125000</v>
      </c>
      <c r="O54" s="3036"/>
    </row>
    <row r="55" spans="1:17" s="237" customFormat="1" ht="14.25" customHeight="1">
      <c r="A55" s="3434"/>
      <c r="B55" s="1441" t="s">
        <v>12</v>
      </c>
      <c r="C55" s="2947"/>
      <c r="D55" s="251">
        <f>E55+F55+G55+H55+I55+J55+K55+L55</f>
        <v>1125000</v>
      </c>
      <c r="E55" s="251">
        <v>0</v>
      </c>
      <c r="F55" s="1545">
        <f>225000-225000</f>
        <v>0</v>
      </c>
      <c r="G55" s="1080">
        <f>900000-375000</f>
        <v>525000</v>
      </c>
      <c r="H55" s="1080">
        <v>600000</v>
      </c>
      <c r="I55" s="1080"/>
      <c r="J55" s="1080"/>
      <c r="K55" s="1080"/>
      <c r="L55" s="1080"/>
      <c r="M55" s="839">
        <f>SUM(F55:K55)</f>
        <v>1125000</v>
      </c>
      <c r="N55" s="839">
        <f>SUM(G55:L55)</f>
        <v>1125000</v>
      </c>
      <c r="O55" s="3036"/>
    </row>
    <row r="56" spans="1:17" ht="14.25" customHeight="1">
      <c r="A56" s="3434"/>
      <c r="B56" s="1071" t="s">
        <v>18</v>
      </c>
      <c r="C56" s="2947"/>
      <c r="D56" s="711">
        <f>+D57</f>
        <v>6375000</v>
      </c>
      <c r="E56" s="1469">
        <f t="shared" ref="E56" si="34">+E57</f>
        <v>0</v>
      </c>
      <c r="F56" s="1775">
        <f>F57</f>
        <v>0</v>
      </c>
      <c r="G56" s="1471">
        <f>G57</f>
        <v>2975000</v>
      </c>
      <c r="H56" s="1471">
        <f>H57</f>
        <v>3400000</v>
      </c>
      <c r="I56" s="1470"/>
      <c r="J56" s="1470"/>
      <c r="K56" s="1470"/>
      <c r="L56" s="1470"/>
      <c r="M56" s="1115">
        <f>+M57</f>
        <v>6375000</v>
      </c>
      <c r="N56" s="1115">
        <f>+N57</f>
        <v>6375000</v>
      </c>
      <c r="O56" s="3036"/>
    </row>
    <row r="57" spans="1:17" ht="13.5" customHeight="1">
      <c r="A57" s="3434"/>
      <c r="B57" s="285" t="s">
        <v>21</v>
      </c>
      <c r="C57" s="2922"/>
      <c r="D57" s="251">
        <f>E57+F57+G57+H57+I57+J57+K57+L57</f>
        <v>6375000</v>
      </c>
      <c r="E57" s="251">
        <v>0</v>
      </c>
      <c r="F57" s="1545">
        <f>1275000-1275000</f>
        <v>0</v>
      </c>
      <c r="G57" s="1080">
        <f>5100000-2125000</f>
        <v>2975000</v>
      </c>
      <c r="H57" s="1080">
        <v>3400000</v>
      </c>
      <c r="I57" s="1080"/>
      <c r="J57" s="1080"/>
      <c r="K57" s="1080"/>
      <c r="L57" s="1080"/>
      <c r="M57" s="839">
        <f>SUM(F57:K57)</f>
        <v>6375000</v>
      </c>
      <c r="N57" s="839">
        <f>SUM(G57:L57)</f>
        <v>6375000</v>
      </c>
      <c r="O57" s="3425"/>
    </row>
    <row r="58" spans="1:17" ht="15.75" customHeight="1">
      <c r="A58" s="3434"/>
      <c r="B58" s="728" t="s">
        <v>22</v>
      </c>
      <c r="C58" s="829"/>
      <c r="D58" s="780">
        <f>+D59</f>
        <v>6375000</v>
      </c>
      <c r="E58" s="780">
        <f t="shared" ref="E58:E59" si="35">+E59</f>
        <v>0</v>
      </c>
      <c r="F58" s="830">
        <f t="shared" ref="F58:H59" si="36">F59</f>
        <v>0</v>
      </c>
      <c r="G58" s="780">
        <f t="shared" si="36"/>
        <v>1800000</v>
      </c>
      <c r="H58" s="780">
        <f t="shared" si="36"/>
        <v>4575000</v>
      </c>
      <c r="I58" s="780"/>
      <c r="J58" s="780"/>
      <c r="K58" s="780"/>
      <c r="L58" s="780"/>
      <c r="M58" s="3439"/>
      <c r="N58" s="3439"/>
      <c r="O58" s="3027" t="s">
        <v>102</v>
      </c>
    </row>
    <row r="59" spans="1:17" ht="17.25" customHeight="1">
      <c r="A59" s="3434"/>
      <c r="B59" s="694" t="s">
        <v>18</v>
      </c>
      <c r="C59" s="2958" t="s">
        <v>196</v>
      </c>
      <c r="D59" s="711">
        <f>+D60</f>
        <v>6375000</v>
      </c>
      <c r="E59" s="1048">
        <f t="shared" si="35"/>
        <v>0</v>
      </c>
      <c r="F59" s="1075">
        <f t="shared" si="36"/>
        <v>0</v>
      </c>
      <c r="G59" s="1048">
        <f t="shared" si="36"/>
        <v>1800000</v>
      </c>
      <c r="H59" s="1048">
        <f t="shared" si="36"/>
        <v>4575000</v>
      </c>
      <c r="I59" s="1048"/>
      <c r="J59" s="1048"/>
      <c r="K59" s="1048"/>
      <c r="L59" s="1048"/>
      <c r="M59" s="3429"/>
      <c r="N59" s="3429"/>
      <c r="O59" s="3027"/>
    </row>
    <row r="60" spans="1:17" ht="17.25" customHeight="1" thickBot="1">
      <c r="A60" s="3437"/>
      <c r="B60" s="2067" t="s">
        <v>21</v>
      </c>
      <c r="C60" s="2921"/>
      <c r="D60" s="251">
        <f>E60+F60+G60+H60+I60+J60+K60+L60</f>
        <v>6375000</v>
      </c>
      <c r="E60" s="251">
        <v>0</v>
      </c>
      <c r="F60" s="1076">
        <v>0</v>
      </c>
      <c r="G60" s="533">
        <v>1800000</v>
      </c>
      <c r="H60" s="533">
        <v>4575000</v>
      </c>
      <c r="I60" s="533"/>
      <c r="J60" s="533"/>
      <c r="K60" s="533"/>
      <c r="L60" s="533"/>
      <c r="M60" s="3430"/>
      <c r="N60" s="3430"/>
      <c r="O60" s="3028"/>
    </row>
    <row r="61" spans="1:17" s="237" customFormat="1" ht="41.25" customHeight="1">
      <c r="A61" s="3431" t="s">
        <v>67</v>
      </c>
      <c r="B61" s="187" t="s">
        <v>295</v>
      </c>
      <c r="C61" s="2064" t="s">
        <v>81</v>
      </c>
      <c r="D61" s="842"/>
      <c r="E61" s="1916"/>
      <c r="F61" s="844"/>
      <c r="G61" s="844"/>
      <c r="H61" s="844"/>
      <c r="I61" s="843"/>
      <c r="J61" s="843"/>
      <c r="K61" s="843"/>
      <c r="L61" s="843"/>
      <c r="M61" s="845"/>
      <c r="N61" s="845"/>
      <c r="O61" s="535"/>
    </row>
    <row r="62" spans="1:17" s="237" customFormat="1" ht="14.25" customHeight="1">
      <c r="A62" s="3432"/>
      <c r="B62" s="318" t="s">
        <v>10</v>
      </c>
      <c r="C62" s="22"/>
      <c r="D62" s="850">
        <f t="shared" ref="D62" si="37">+D65+D63</f>
        <v>10907395</v>
      </c>
      <c r="E62" s="850">
        <f t="shared" ref="E62" si="38">+E65+E63</f>
        <v>0</v>
      </c>
      <c r="F62" s="850">
        <f>+F65+F63</f>
        <v>0</v>
      </c>
      <c r="G62" s="850">
        <f t="shared" ref="G62:L62" si="39">+G65+G63</f>
        <v>10907395</v>
      </c>
      <c r="H62" s="850">
        <f t="shared" si="39"/>
        <v>0</v>
      </c>
      <c r="I62" s="850">
        <f t="shared" si="39"/>
        <v>0</v>
      </c>
      <c r="J62" s="850">
        <f t="shared" si="39"/>
        <v>0</v>
      </c>
      <c r="K62" s="850">
        <f t="shared" si="39"/>
        <v>0</v>
      </c>
      <c r="L62" s="850">
        <f t="shared" si="39"/>
        <v>0</v>
      </c>
      <c r="M62" s="314">
        <f>+M65+M63</f>
        <v>10907395</v>
      </c>
      <c r="N62" s="314">
        <f>+N65+N63</f>
        <v>10907395</v>
      </c>
      <c r="O62" s="3036" t="s">
        <v>471</v>
      </c>
    </row>
    <row r="63" spans="1:17" s="237" customFormat="1" ht="14.25" customHeight="1">
      <c r="A63" s="3432"/>
      <c r="B63" s="851" t="s">
        <v>24</v>
      </c>
      <c r="C63" s="3426" t="s">
        <v>172</v>
      </c>
      <c r="D63" s="316">
        <f>D64</f>
        <v>1636110</v>
      </c>
      <c r="E63" s="320">
        <f t="shared" ref="E63:I63" si="40">E64</f>
        <v>0</v>
      </c>
      <c r="F63" s="321">
        <f t="shared" si="40"/>
        <v>0</v>
      </c>
      <c r="G63" s="321">
        <f t="shared" si="40"/>
        <v>1636110</v>
      </c>
      <c r="H63" s="321">
        <f t="shared" si="40"/>
        <v>0</v>
      </c>
      <c r="I63" s="321">
        <f t="shared" si="40"/>
        <v>0</v>
      </c>
      <c r="J63" s="321"/>
      <c r="K63" s="321"/>
      <c r="L63" s="321"/>
      <c r="M63" s="313">
        <f>M64</f>
        <v>1636110</v>
      </c>
      <c r="N63" s="313">
        <f>N64</f>
        <v>1636110</v>
      </c>
      <c r="O63" s="3036"/>
    </row>
    <row r="64" spans="1:17" s="237" customFormat="1" ht="14.25" customHeight="1">
      <c r="A64" s="3432"/>
      <c r="B64" s="852" t="s">
        <v>12</v>
      </c>
      <c r="C64" s="2947"/>
      <c r="D64" s="251">
        <f>E64+F64+G64+H64+I64+J64+K64+L64</f>
        <v>1636110</v>
      </c>
      <c r="E64" s="251">
        <v>0</v>
      </c>
      <c r="F64" s="2808">
        <f>1140368-497301-643067</f>
        <v>0</v>
      </c>
      <c r="G64" s="2808">
        <f>1140367-147324+643067</f>
        <v>1636110</v>
      </c>
      <c r="H64" s="315">
        <v>0</v>
      </c>
      <c r="I64" s="315">
        <v>0</v>
      </c>
      <c r="J64" s="315">
        <v>0</v>
      </c>
      <c r="K64" s="315">
        <v>0</v>
      </c>
      <c r="L64" s="315">
        <v>0</v>
      </c>
      <c r="M64" s="839">
        <f>SUM(F64:K64)</f>
        <v>1636110</v>
      </c>
      <c r="N64" s="839">
        <f>SUM(G64:L64)</f>
        <v>1636110</v>
      </c>
      <c r="O64" s="3036"/>
    </row>
    <row r="65" spans="1:15" s="237" customFormat="1" ht="14.25" customHeight="1">
      <c r="A65" s="3432"/>
      <c r="B65" s="319" t="s">
        <v>18</v>
      </c>
      <c r="C65" s="2947"/>
      <c r="D65" s="316">
        <f>D66</f>
        <v>9271285</v>
      </c>
      <c r="E65" s="316">
        <f t="shared" ref="E65:L65" si="41">E66</f>
        <v>0</v>
      </c>
      <c r="F65" s="316">
        <f t="shared" si="41"/>
        <v>0</v>
      </c>
      <c r="G65" s="316">
        <f t="shared" si="41"/>
        <v>9271285</v>
      </c>
      <c r="H65" s="316">
        <f t="shared" si="41"/>
        <v>0</v>
      </c>
      <c r="I65" s="316">
        <f t="shared" si="41"/>
        <v>0</v>
      </c>
      <c r="J65" s="316">
        <f t="shared" si="41"/>
        <v>0</v>
      </c>
      <c r="K65" s="316">
        <f t="shared" si="41"/>
        <v>0</v>
      </c>
      <c r="L65" s="316">
        <f t="shared" si="41"/>
        <v>0</v>
      </c>
      <c r="M65" s="313">
        <f>+M66</f>
        <v>9271285</v>
      </c>
      <c r="N65" s="313">
        <f>+N66</f>
        <v>9271285</v>
      </c>
      <c r="O65" s="3036"/>
    </row>
    <row r="66" spans="1:15" s="237" customFormat="1" ht="15" customHeight="1">
      <c r="A66" s="3432"/>
      <c r="B66" s="285" t="s">
        <v>21</v>
      </c>
      <c r="C66" s="2922"/>
      <c r="D66" s="251">
        <f>E66+F66+G66+H66+I66+J66+K66+L66</f>
        <v>9271285</v>
      </c>
      <c r="E66" s="251">
        <v>0</v>
      </c>
      <c r="F66" s="315">
        <f>6462083-2818040-3644043</f>
        <v>0</v>
      </c>
      <c r="G66" s="315">
        <f>6462084-834842+3644043</f>
        <v>9271285</v>
      </c>
      <c r="H66" s="315">
        <v>0</v>
      </c>
      <c r="I66" s="315">
        <v>0</v>
      </c>
      <c r="J66" s="315">
        <v>0</v>
      </c>
      <c r="K66" s="315">
        <v>0</v>
      </c>
      <c r="L66" s="315">
        <v>0</v>
      </c>
      <c r="M66" s="839">
        <f>SUM(F66:K66)</f>
        <v>9271285</v>
      </c>
      <c r="N66" s="839">
        <f>SUM(G66:L66)</f>
        <v>9271285</v>
      </c>
      <c r="O66" s="3425"/>
    </row>
    <row r="67" spans="1:15" s="237" customFormat="1" ht="15.75" customHeight="1">
      <c r="A67" s="3432"/>
      <c r="B67" s="21" t="s">
        <v>22</v>
      </c>
      <c r="C67" s="22"/>
      <c r="D67" s="850">
        <f t="shared" ref="D67:L68" si="42">D68</f>
        <v>9271285</v>
      </c>
      <c r="E67" s="850">
        <f t="shared" ref="E67:E68" si="43">+E68</f>
        <v>0</v>
      </c>
      <c r="F67" s="850">
        <f t="shared" si="42"/>
        <v>0</v>
      </c>
      <c r="G67" s="850">
        <f t="shared" si="42"/>
        <v>9271285</v>
      </c>
      <c r="H67" s="850">
        <f t="shared" si="42"/>
        <v>0</v>
      </c>
      <c r="I67" s="850">
        <f t="shared" si="42"/>
        <v>0</v>
      </c>
      <c r="J67" s="850">
        <f t="shared" si="42"/>
        <v>0</v>
      </c>
      <c r="K67" s="850">
        <f t="shared" si="42"/>
        <v>0</v>
      </c>
      <c r="L67" s="850">
        <f t="shared" si="42"/>
        <v>0</v>
      </c>
      <c r="M67" s="3436" t="s">
        <v>61</v>
      </c>
      <c r="N67" s="3436" t="s">
        <v>61</v>
      </c>
      <c r="O67" s="3449" t="s">
        <v>294</v>
      </c>
    </row>
    <row r="68" spans="1:15" s="237" customFormat="1" ht="15" customHeight="1">
      <c r="A68" s="3432"/>
      <c r="B68" s="174" t="s">
        <v>18</v>
      </c>
      <c r="C68" s="3427" t="s">
        <v>196</v>
      </c>
      <c r="D68" s="317">
        <f t="shared" si="42"/>
        <v>9271285</v>
      </c>
      <c r="E68" s="317">
        <f t="shared" si="43"/>
        <v>0</v>
      </c>
      <c r="F68" s="317">
        <f t="shared" si="42"/>
        <v>0</v>
      </c>
      <c r="G68" s="317">
        <f t="shared" si="42"/>
        <v>9271285</v>
      </c>
      <c r="H68" s="317">
        <f t="shared" si="42"/>
        <v>0</v>
      </c>
      <c r="I68" s="317">
        <f t="shared" si="42"/>
        <v>0</v>
      </c>
      <c r="J68" s="317">
        <f t="shared" si="42"/>
        <v>0</v>
      </c>
      <c r="K68" s="317">
        <f t="shared" si="42"/>
        <v>0</v>
      </c>
      <c r="L68" s="317">
        <f t="shared" si="42"/>
        <v>0</v>
      </c>
      <c r="M68" s="2874"/>
      <c r="N68" s="2874"/>
      <c r="O68" s="2916"/>
    </row>
    <row r="69" spans="1:15" s="237" customFormat="1" ht="15" customHeight="1" thickBot="1">
      <c r="A69" s="3433"/>
      <c r="B69" s="2067" t="s">
        <v>21</v>
      </c>
      <c r="C69" s="2921"/>
      <c r="D69" s="251">
        <f>E69+F69+G69+H69+I69+J69+K69+L69</f>
        <v>9271285</v>
      </c>
      <c r="E69" s="251">
        <v>0</v>
      </c>
      <c r="F69" s="73">
        <f>6462083-2818040-3644043</f>
        <v>0</v>
      </c>
      <c r="G69" s="73">
        <f>6462084-834842+3644043</f>
        <v>9271285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2875"/>
      <c r="N69" s="2875"/>
      <c r="O69" s="2917"/>
    </row>
    <row r="70" spans="1:15" s="237" customFormat="1" ht="36">
      <c r="A70" s="3434" t="s">
        <v>115</v>
      </c>
      <c r="B70" s="187" t="s">
        <v>368</v>
      </c>
      <c r="C70" s="2064" t="s">
        <v>173</v>
      </c>
      <c r="D70" s="842"/>
      <c r="E70" s="1916"/>
      <c r="F70" s="844"/>
      <c r="G70" s="844"/>
      <c r="H70" s="844"/>
      <c r="I70" s="843"/>
      <c r="J70" s="843"/>
      <c r="K70" s="843"/>
      <c r="L70" s="843"/>
      <c r="M70" s="845"/>
      <c r="N70" s="845"/>
      <c r="O70" s="3035" t="s">
        <v>346</v>
      </c>
    </row>
    <row r="71" spans="1:15" s="237" customFormat="1" ht="15" customHeight="1">
      <c r="A71" s="3432"/>
      <c r="B71" s="30" t="s">
        <v>10</v>
      </c>
      <c r="C71" s="22"/>
      <c r="D71" s="200">
        <f>D72+D74</f>
        <v>119600</v>
      </c>
      <c r="E71" s="200">
        <f t="shared" ref="E71" si="44">E72+E74</f>
        <v>0</v>
      </c>
      <c r="F71" s="956">
        <f t="shared" ref="F71:L71" si="45">+F74</f>
        <v>0</v>
      </c>
      <c r="G71" s="200">
        <f>G72+G76</f>
        <v>119600</v>
      </c>
      <c r="H71" s="200">
        <f t="shared" si="45"/>
        <v>0</v>
      </c>
      <c r="I71" s="200">
        <f t="shared" si="45"/>
        <v>0</v>
      </c>
      <c r="J71" s="200">
        <f t="shared" si="45"/>
        <v>0</v>
      </c>
      <c r="K71" s="200">
        <f t="shared" si="45"/>
        <v>0</v>
      </c>
      <c r="L71" s="200">
        <f t="shared" si="45"/>
        <v>0</v>
      </c>
      <c r="M71" s="66">
        <f>+M74+M72</f>
        <v>119600</v>
      </c>
      <c r="N71" s="66">
        <f>+N74+N72</f>
        <v>119600</v>
      </c>
      <c r="O71" s="3036"/>
    </row>
    <row r="72" spans="1:15" s="237" customFormat="1" ht="15" customHeight="1">
      <c r="A72" s="3432"/>
      <c r="B72" s="851" t="s">
        <v>24</v>
      </c>
      <c r="C72" s="3426" t="s">
        <v>193</v>
      </c>
      <c r="D72" s="316">
        <f>D73</f>
        <v>17940</v>
      </c>
      <c r="E72" s="320">
        <f t="shared" ref="E72:F72" si="46">E73</f>
        <v>0</v>
      </c>
      <c r="F72" s="1546">
        <f t="shared" si="46"/>
        <v>0</v>
      </c>
      <c r="G72" s="321">
        <f>G73</f>
        <v>17940</v>
      </c>
      <c r="H72" s="321">
        <v>0</v>
      </c>
      <c r="I72" s="321">
        <v>0</v>
      </c>
      <c r="J72" s="321">
        <v>0</v>
      </c>
      <c r="K72" s="321">
        <v>0</v>
      </c>
      <c r="L72" s="321">
        <v>0</v>
      </c>
      <c r="M72" s="313">
        <f>M73</f>
        <v>17940</v>
      </c>
      <c r="N72" s="313">
        <f>N73</f>
        <v>17940</v>
      </c>
      <c r="O72" s="3036"/>
    </row>
    <row r="73" spans="1:15" s="237" customFormat="1" ht="15" customHeight="1">
      <c r="A73" s="3432"/>
      <c r="B73" s="852" t="s">
        <v>12</v>
      </c>
      <c r="C73" s="2947"/>
      <c r="D73" s="251">
        <f>E73+F73+G73+H73+I73+J73+K73+L73</f>
        <v>17940</v>
      </c>
      <c r="E73" s="251">
        <v>0</v>
      </c>
      <c r="F73" s="1547">
        <v>0</v>
      </c>
      <c r="G73" s="315">
        <v>17940</v>
      </c>
      <c r="H73" s="315">
        <v>0</v>
      </c>
      <c r="I73" s="315">
        <v>0</v>
      </c>
      <c r="J73" s="315">
        <v>0</v>
      </c>
      <c r="K73" s="315">
        <v>0</v>
      </c>
      <c r="L73" s="315">
        <v>0</v>
      </c>
      <c r="M73" s="839">
        <f>SUM(F73:K73)</f>
        <v>17940</v>
      </c>
      <c r="N73" s="839">
        <f>SUM(G73:L73)</f>
        <v>17940</v>
      </c>
      <c r="O73" s="3036"/>
    </row>
    <row r="74" spans="1:15" s="237" customFormat="1" ht="15" customHeight="1">
      <c r="A74" s="3432"/>
      <c r="B74" s="701" t="s">
        <v>18</v>
      </c>
      <c r="C74" s="2947"/>
      <c r="D74" s="50">
        <f>D75</f>
        <v>101660</v>
      </c>
      <c r="E74" s="102">
        <f t="shared" ref="E74:N74" si="47">+E75</f>
        <v>0</v>
      </c>
      <c r="F74" s="1548">
        <v>0</v>
      </c>
      <c r="G74" s="103">
        <f>G75</f>
        <v>101660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80">
        <f t="shared" si="47"/>
        <v>101660</v>
      </c>
      <c r="N74" s="80">
        <f t="shared" si="47"/>
        <v>101660</v>
      </c>
      <c r="O74" s="3036"/>
    </row>
    <row r="75" spans="1:15" s="237" customFormat="1" ht="15" customHeight="1">
      <c r="A75" s="3432"/>
      <c r="B75" s="285" t="s">
        <v>21</v>
      </c>
      <c r="C75" s="2922"/>
      <c r="D75" s="251">
        <f>E75+F75+G75+H75+I75+J75+K75+L75</f>
        <v>101660</v>
      </c>
      <c r="E75" s="251">
        <v>0</v>
      </c>
      <c r="F75" s="1549">
        <v>0</v>
      </c>
      <c r="G75" s="52">
        <v>101660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839">
        <f>SUM(F75:K75)</f>
        <v>101660</v>
      </c>
      <c r="N75" s="839">
        <f>SUM(G75:L75)</f>
        <v>101660</v>
      </c>
      <c r="O75" s="3425"/>
    </row>
    <row r="76" spans="1:15" s="237" customFormat="1" ht="15" customHeight="1">
      <c r="A76" s="3432"/>
      <c r="B76" s="21" t="s">
        <v>22</v>
      </c>
      <c r="C76" s="22"/>
      <c r="D76" s="200">
        <f t="shared" ref="D76:L77" si="48">D77</f>
        <v>101660</v>
      </c>
      <c r="E76" s="200">
        <f t="shared" ref="E76:E77" si="49">+E77</f>
        <v>0</v>
      </c>
      <c r="F76" s="956">
        <f t="shared" si="48"/>
        <v>0</v>
      </c>
      <c r="G76" s="200">
        <f t="shared" si="48"/>
        <v>101660</v>
      </c>
      <c r="H76" s="200">
        <f t="shared" si="48"/>
        <v>0</v>
      </c>
      <c r="I76" s="200">
        <f t="shared" si="48"/>
        <v>0</v>
      </c>
      <c r="J76" s="200">
        <f t="shared" si="48"/>
        <v>0</v>
      </c>
      <c r="K76" s="200">
        <f t="shared" si="48"/>
        <v>0</v>
      </c>
      <c r="L76" s="200">
        <f t="shared" si="48"/>
        <v>0</v>
      </c>
      <c r="M76" s="2873" t="s">
        <v>61</v>
      </c>
      <c r="N76" s="2873" t="s">
        <v>61</v>
      </c>
      <c r="O76" s="3036" t="s">
        <v>199</v>
      </c>
    </row>
    <row r="77" spans="1:15" s="237" customFormat="1" ht="15" customHeight="1">
      <c r="A77" s="3432"/>
      <c r="B77" s="174" t="s">
        <v>18</v>
      </c>
      <c r="C77" s="3002" t="s">
        <v>196</v>
      </c>
      <c r="D77" s="51">
        <f t="shared" si="48"/>
        <v>101660</v>
      </c>
      <c r="E77" s="51">
        <f t="shared" si="49"/>
        <v>0</v>
      </c>
      <c r="F77" s="290">
        <f t="shared" si="48"/>
        <v>0</v>
      </c>
      <c r="G77" s="51">
        <f t="shared" si="48"/>
        <v>101660</v>
      </c>
      <c r="H77" s="51">
        <f t="shared" si="48"/>
        <v>0</v>
      </c>
      <c r="I77" s="51">
        <f t="shared" si="48"/>
        <v>0</v>
      </c>
      <c r="J77" s="51">
        <f t="shared" si="48"/>
        <v>0</v>
      </c>
      <c r="K77" s="51">
        <f t="shared" si="48"/>
        <v>0</v>
      </c>
      <c r="L77" s="51">
        <f t="shared" si="48"/>
        <v>0</v>
      </c>
      <c r="M77" s="2874"/>
      <c r="N77" s="2874"/>
      <c r="O77" s="3036"/>
    </row>
    <row r="78" spans="1:15" s="237" customFormat="1" ht="15" customHeight="1" thickBot="1">
      <c r="A78" s="3433"/>
      <c r="B78" s="2067" t="s">
        <v>21</v>
      </c>
      <c r="C78" s="2921"/>
      <c r="D78" s="251">
        <f>E78+F78+G78+H78+I78+J78+K78+L78</f>
        <v>101660</v>
      </c>
      <c r="E78" s="251">
        <v>0</v>
      </c>
      <c r="F78" s="291">
        <v>0</v>
      </c>
      <c r="G78" s="73">
        <v>101660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2875"/>
      <c r="N78" s="2875"/>
      <c r="O78" s="3037"/>
    </row>
    <row r="79" spans="1:15" s="237" customFormat="1" ht="39.75" customHeight="1">
      <c r="A79" s="3431" t="s">
        <v>87</v>
      </c>
      <c r="B79" s="187" t="s">
        <v>519</v>
      </c>
      <c r="C79" s="2064" t="s">
        <v>81</v>
      </c>
      <c r="D79" s="842"/>
      <c r="E79" s="1916"/>
      <c r="F79" s="844"/>
      <c r="G79" s="844"/>
      <c r="H79" s="844"/>
      <c r="I79" s="843"/>
      <c r="J79" s="843"/>
      <c r="K79" s="843"/>
      <c r="L79" s="843"/>
      <c r="M79" s="845"/>
      <c r="N79" s="845"/>
      <c r="O79" s="3035" t="s">
        <v>346</v>
      </c>
    </row>
    <row r="80" spans="1:15" s="237" customFormat="1" ht="15" customHeight="1">
      <c r="A80" s="3432"/>
      <c r="B80" s="2016" t="s">
        <v>10</v>
      </c>
      <c r="C80" s="2017"/>
      <c r="D80" s="2018">
        <f t="shared" ref="D80" si="50">D81+D84</f>
        <v>13955532</v>
      </c>
      <c r="E80" s="2018">
        <f t="shared" ref="E80" si="51">E81+E84</f>
        <v>250844</v>
      </c>
      <c r="F80" s="2018">
        <f>F81+F84</f>
        <v>214186</v>
      </c>
      <c r="G80" s="2018">
        <f>G81+G84</f>
        <v>13490502</v>
      </c>
      <c r="H80" s="2018">
        <f>+H84</f>
        <v>0</v>
      </c>
      <c r="I80" s="2018">
        <f>+I84</f>
        <v>0</v>
      </c>
      <c r="J80" s="2018">
        <f>+J84</f>
        <v>0</v>
      </c>
      <c r="K80" s="2018">
        <f>+K84</f>
        <v>0</v>
      </c>
      <c r="L80" s="2018">
        <f>+L84</f>
        <v>0</v>
      </c>
      <c r="M80" s="2019">
        <f>M81+M84</f>
        <v>13704688</v>
      </c>
      <c r="N80" s="2019">
        <f>N81+N84</f>
        <v>13490502</v>
      </c>
      <c r="O80" s="3036"/>
    </row>
    <row r="81" spans="1:16" s="237" customFormat="1" ht="15" customHeight="1">
      <c r="A81" s="3432"/>
      <c r="B81" s="2020" t="s">
        <v>24</v>
      </c>
      <c r="C81" s="2920" t="s">
        <v>193</v>
      </c>
      <c r="D81" s="2021">
        <f>D82+D83</f>
        <v>2093329</v>
      </c>
      <c r="E81" s="2021">
        <f t="shared" ref="E81" si="52">E82+E83</f>
        <v>250844</v>
      </c>
      <c r="F81" s="2021">
        <f t="shared" ref="F81:L81" si="53">F82+F83</f>
        <v>214186</v>
      </c>
      <c r="G81" s="2021">
        <f t="shared" si="53"/>
        <v>1628299</v>
      </c>
      <c r="H81" s="2021">
        <f t="shared" si="53"/>
        <v>0</v>
      </c>
      <c r="I81" s="2021">
        <f t="shared" si="53"/>
        <v>0</v>
      </c>
      <c r="J81" s="2021">
        <f t="shared" si="53"/>
        <v>0</v>
      </c>
      <c r="K81" s="2021">
        <f t="shared" si="53"/>
        <v>0</v>
      </c>
      <c r="L81" s="2021">
        <f t="shared" si="53"/>
        <v>0</v>
      </c>
      <c r="M81" s="2022">
        <f>M82+M83</f>
        <v>1842485</v>
      </c>
      <c r="N81" s="2022">
        <f>N82+N83</f>
        <v>1628299</v>
      </c>
      <c r="O81" s="3036"/>
    </row>
    <row r="82" spans="1:16" s="237" customFormat="1" ht="15" customHeight="1">
      <c r="A82" s="3432"/>
      <c r="B82" s="2023" t="s">
        <v>12</v>
      </c>
      <c r="C82" s="2947"/>
      <c r="D82" s="1926">
        <f>E82+F82+G82+H82+I82+J82+K82+L82</f>
        <v>1093329</v>
      </c>
      <c r="E82" s="1926">
        <v>250844</v>
      </c>
      <c r="F82" s="2024">
        <f>430112+57000-100000-272926</f>
        <v>114186</v>
      </c>
      <c r="G82" s="2024">
        <f>1568662-213289-900000+272926</f>
        <v>728299</v>
      </c>
      <c r="H82" s="2024">
        <v>0</v>
      </c>
      <c r="I82" s="2024">
        <v>0</v>
      </c>
      <c r="J82" s="2024">
        <v>0</v>
      </c>
      <c r="K82" s="2024">
        <v>0</v>
      </c>
      <c r="L82" s="2024">
        <v>0</v>
      </c>
      <c r="M82" s="2515">
        <f>SUM(F82:K82)</f>
        <v>842485</v>
      </c>
      <c r="N82" s="2515">
        <f>SUM(G82:L82)</f>
        <v>728299</v>
      </c>
      <c r="O82" s="3036"/>
      <c r="P82" s="1651"/>
    </row>
    <row r="83" spans="1:16" s="237" customFormat="1" ht="15" customHeight="1">
      <c r="A83" s="3432"/>
      <c r="B83" s="2023" t="s">
        <v>62</v>
      </c>
      <c r="C83" s="2947"/>
      <c r="D83" s="1926">
        <f>E83+F83+G83+H83+I83+J83+K83+L83</f>
        <v>1000000</v>
      </c>
      <c r="E83" s="1926">
        <v>0</v>
      </c>
      <c r="F83" s="2024">
        <v>100000</v>
      </c>
      <c r="G83" s="2024">
        <v>900000</v>
      </c>
      <c r="H83" s="2024">
        <v>0</v>
      </c>
      <c r="I83" s="2024">
        <v>0</v>
      </c>
      <c r="J83" s="2024">
        <v>0</v>
      </c>
      <c r="K83" s="2024">
        <v>0</v>
      </c>
      <c r="L83" s="2024">
        <v>0</v>
      </c>
      <c r="M83" s="2515">
        <f>SUM(F83:K83)</f>
        <v>1000000</v>
      </c>
      <c r="N83" s="2515">
        <f>SUM(G83:L83)</f>
        <v>900000</v>
      </c>
      <c r="O83" s="3036"/>
      <c r="P83" s="1651"/>
    </row>
    <row r="84" spans="1:16" s="237" customFormat="1" ht="15" customHeight="1">
      <c r="A84" s="3432"/>
      <c r="B84" s="2025" t="s">
        <v>18</v>
      </c>
      <c r="C84" s="2947"/>
      <c r="D84" s="2021">
        <f>D85</f>
        <v>11862203</v>
      </c>
      <c r="E84" s="2806">
        <f t="shared" ref="E84:N84" si="54">+E85</f>
        <v>0</v>
      </c>
      <c r="F84" s="2026">
        <f>F85</f>
        <v>0</v>
      </c>
      <c r="G84" s="2026">
        <f>G85</f>
        <v>11862203</v>
      </c>
      <c r="H84" s="2026">
        <v>0</v>
      </c>
      <c r="I84" s="2026">
        <v>0</v>
      </c>
      <c r="J84" s="2026">
        <v>0</v>
      </c>
      <c r="K84" s="2026">
        <v>0</v>
      </c>
      <c r="L84" s="2026">
        <v>0</v>
      </c>
      <c r="M84" s="2022">
        <f t="shared" si="54"/>
        <v>11862203</v>
      </c>
      <c r="N84" s="2022">
        <f t="shared" si="54"/>
        <v>11862203</v>
      </c>
      <c r="O84" s="3036"/>
    </row>
    <row r="85" spans="1:16" s="237" customFormat="1" ht="15" customHeight="1">
      <c r="A85" s="3432"/>
      <c r="B85" s="285" t="s">
        <v>21</v>
      </c>
      <c r="C85" s="2922"/>
      <c r="D85" s="1926">
        <f>E85+F85+G85+H85+I85+J85+K85+L85</f>
        <v>11862203</v>
      </c>
      <c r="E85" s="1926">
        <v>0</v>
      </c>
      <c r="F85" s="2024">
        <f>2437304+323000-2760304</f>
        <v>0</v>
      </c>
      <c r="G85" s="2024">
        <f>8889087+212812+2760304</f>
        <v>11862203</v>
      </c>
      <c r="H85" s="2024">
        <v>0</v>
      </c>
      <c r="I85" s="2024">
        <v>0</v>
      </c>
      <c r="J85" s="2024">
        <v>0</v>
      </c>
      <c r="K85" s="2024">
        <v>0</v>
      </c>
      <c r="L85" s="2024">
        <v>0</v>
      </c>
      <c r="M85" s="2515">
        <f>SUM(F85:K85)</f>
        <v>11862203</v>
      </c>
      <c r="N85" s="2515">
        <f>SUM(G85:L85)</f>
        <v>11862203</v>
      </c>
      <c r="O85" s="3425"/>
    </row>
    <row r="86" spans="1:16" s="237" customFormat="1" ht="15" customHeight="1">
      <c r="A86" s="3432"/>
      <c r="B86" s="728" t="s">
        <v>22</v>
      </c>
      <c r="C86" s="2017"/>
      <c r="D86" s="2018">
        <f>D89+D87</f>
        <v>12862203</v>
      </c>
      <c r="E86" s="2018">
        <f>E89+E87</f>
        <v>0</v>
      </c>
      <c r="F86" s="2018">
        <f>F89+F87</f>
        <v>100000</v>
      </c>
      <c r="G86" s="2018">
        <f>G89+G87</f>
        <v>12762203</v>
      </c>
      <c r="H86" s="2018">
        <f>H89</f>
        <v>0</v>
      </c>
      <c r="I86" s="2018">
        <f>I89</f>
        <v>0</v>
      </c>
      <c r="J86" s="2018">
        <f>J89</f>
        <v>0</v>
      </c>
      <c r="K86" s="2018">
        <f>K89</f>
        <v>0</v>
      </c>
      <c r="L86" s="2018">
        <f>L89</f>
        <v>0</v>
      </c>
      <c r="M86" s="2901" t="s">
        <v>61</v>
      </c>
      <c r="N86" s="2901" t="s">
        <v>61</v>
      </c>
      <c r="O86" s="3036" t="s">
        <v>199</v>
      </c>
    </row>
    <row r="87" spans="1:16" s="237" customFormat="1" ht="15" customHeight="1">
      <c r="A87" s="3432"/>
      <c r="B87" s="2141" t="s">
        <v>11</v>
      </c>
      <c r="C87" s="3440" t="s">
        <v>411</v>
      </c>
      <c r="D87" s="2809">
        <f>SUM(E87:L87)</f>
        <v>1000000</v>
      </c>
      <c r="E87" s="2809">
        <f>E88</f>
        <v>0</v>
      </c>
      <c r="F87" s="2809">
        <f>F88</f>
        <v>100000</v>
      </c>
      <c r="G87" s="2809">
        <f>G88</f>
        <v>900000</v>
      </c>
      <c r="H87" s="2809"/>
      <c r="I87" s="2809"/>
      <c r="J87" s="2809"/>
      <c r="K87" s="2809"/>
      <c r="L87" s="2809"/>
      <c r="M87" s="2874"/>
      <c r="N87" s="2874"/>
      <c r="O87" s="3036"/>
    </row>
    <row r="88" spans="1:16" s="237" customFormat="1" ht="15" customHeight="1">
      <c r="A88" s="3432"/>
      <c r="B88" s="2810" t="s">
        <v>62</v>
      </c>
      <c r="C88" s="3441"/>
      <c r="D88" s="1926">
        <f>E88+F88+G88+H88+I88+J88+K88+L88</f>
        <v>1000000</v>
      </c>
      <c r="E88" s="1926">
        <v>0</v>
      </c>
      <c r="F88" s="2811">
        <v>100000</v>
      </c>
      <c r="G88" s="2811">
        <v>900000</v>
      </c>
      <c r="H88" s="2809"/>
      <c r="I88" s="2809"/>
      <c r="J88" s="2809"/>
      <c r="K88" s="2809"/>
      <c r="L88" s="2809"/>
      <c r="M88" s="2874"/>
      <c r="N88" s="2874"/>
      <c r="O88" s="3036"/>
    </row>
    <row r="89" spans="1:16" s="237" customFormat="1" ht="15" customHeight="1">
      <c r="A89" s="3432"/>
      <c r="B89" s="2141" t="s">
        <v>18</v>
      </c>
      <c r="C89" s="3441"/>
      <c r="D89" s="2027">
        <f t="shared" ref="D89:L89" si="55">D90</f>
        <v>11862203</v>
      </c>
      <c r="E89" s="2027">
        <f t="shared" ref="E89" si="56">+E90</f>
        <v>0</v>
      </c>
      <c r="F89" s="2027">
        <f t="shared" si="55"/>
        <v>0</v>
      </c>
      <c r="G89" s="2027">
        <f t="shared" si="55"/>
        <v>11862203</v>
      </c>
      <c r="H89" s="2027">
        <f t="shared" si="55"/>
        <v>0</v>
      </c>
      <c r="I89" s="2027">
        <f t="shared" si="55"/>
        <v>0</v>
      </c>
      <c r="J89" s="2027">
        <f t="shared" si="55"/>
        <v>0</v>
      </c>
      <c r="K89" s="2027">
        <f t="shared" si="55"/>
        <v>0</v>
      </c>
      <c r="L89" s="2027">
        <f t="shared" si="55"/>
        <v>0</v>
      </c>
      <c r="M89" s="2874"/>
      <c r="N89" s="2874"/>
      <c r="O89" s="3036"/>
    </row>
    <row r="90" spans="1:16" s="237" customFormat="1" ht="15" customHeight="1" thickBot="1">
      <c r="A90" s="3433"/>
      <c r="B90" s="2067" t="s">
        <v>21</v>
      </c>
      <c r="C90" s="3442"/>
      <c r="D90" s="2222">
        <f>E90+F90+G90+H90+I90+J90+K90+L90</f>
        <v>11862203</v>
      </c>
      <c r="E90" s="2222">
        <v>0</v>
      </c>
      <c r="F90" s="2499">
        <f>2437304+323000-2760304</f>
        <v>0</v>
      </c>
      <c r="G90" s="2499">
        <f>8889087+212812+2760304</f>
        <v>11862203</v>
      </c>
      <c r="H90" s="2499">
        <v>0</v>
      </c>
      <c r="I90" s="2499">
        <v>0</v>
      </c>
      <c r="J90" s="2499">
        <v>0</v>
      </c>
      <c r="K90" s="2499">
        <v>0</v>
      </c>
      <c r="L90" s="2499">
        <v>0</v>
      </c>
      <c r="M90" s="2875"/>
      <c r="N90" s="2875"/>
      <c r="O90" s="3037"/>
    </row>
    <row r="91" spans="1:16" s="237" customFormat="1" ht="45" customHeight="1">
      <c r="A91" s="3434" t="s">
        <v>88</v>
      </c>
      <c r="B91" s="2014" t="s">
        <v>364</v>
      </c>
      <c r="C91" s="264" t="s">
        <v>173</v>
      </c>
      <c r="D91" s="859"/>
      <c r="E91" s="2015"/>
      <c r="F91" s="861"/>
      <c r="G91" s="861"/>
      <c r="H91" s="861"/>
      <c r="I91" s="860"/>
      <c r="J91" s="860"/>
      <c r="K91" s="860"/>
      <c r="L91" s="860"/>
      <c r="M91" s="862"/>
      <c r="N91" s="862"/>
      <c r="O91" s="3036" t="s">
        <v>355</v>
      </c>
    </row>
    <row r="92" spans="1:16" s="237" customFormat="1" ht="15" customHeight="1">
      <c r="A92" s="3432"/>
      <c r="B92" s="1090" t="s">
        <v>10</v>
      </c>
      <c r="C92" s="829"/>
      <c r="D92" s="780">
        <f>D93+D97</f>
        <v>342701</v>
      </c>
      <c r="E92" s="780">
        <f t="shared" ref="E92" si="57">E93+E97</f>
        <v>0</v>
      </c>
      <c r="F92" s="780">
        <f>F93+F97</f>
        <v>32411</v>
      </c>
      <c r="G92" s="780">
        <f>G93+G97</f>
        <v>65928</v>
      </c>
      <c r="H92" s="780">
        <f>H93+H97</f>
        <v>244362</v>
      </c>
      <c r="I92" s="780">
        <f>+I97</f>
        <v>0</v>
      </c>
      <c r="J92" s="780">
        <f>+J97</f>
        <v>0</v>
      </c>
      <c r="K92" s="780">
        <f>+K97</f>
        <v>0</v>
      </c>
      <c r="L92" s="780">
        <f>+L97</f>
        <v>0</v>
      </c>
      <c r="M92" s="1580">
        <f>M93+M97</f>
        <v>342701</v>
      </c>
      <c r="N92" s="1580">
        <f>N93+N97</f>
        <v>310290</v>
      </c>
      <c r="O92" s="3036"/>
    </row>
    <row r="93" spans="1:16" s="237" customFormat="1" ht="15" customHeight="1">
      <c r="A93" s="3432"/>
      <c r="B93" s="1083" t="s">
        <v>24</v>
      </c>
      <c r="C93" s="2887" t="s">
        <v>350</v>
      </c>
      <c r="D93" s="711">
        <f>D94</f>
        <v>51406</v>
      </c>
      <c r="E93" s="1469">
        <f t="shared" ref="E93:H93" si="58">E94</f>
        <v>0</v>
      </c>
      <c r="F93" s="1470">
        <f t="shared" si="58"/>
        <v>4861</v>
      </c>
      <c r="G93" s="1470">
        <f t="shared" si="58"/>
        <v>9889</v>
      </c>
      <c r="H93" s="1470">
        <f t="shared" si="58"/>
        <v>36656</v>
      </c>
      <c r="I93" s="1470">
        <v>0</v>
      </c>
      <c r="J93" s="1470">
        <v>0</v>
      </c>
      <c r="K93" s="1470">
        <v>0</v>
      </c>
      <c r="L93" s="1470">
        <v>0</v>
      </c>
      <c r="M93" s="707">
        <f>M94</f>
        <v>51406</v>
      </c>
      <c r="N93" s="707">
        <f>N94</f>
        <v>46545</v>
      </c>
      <c r="O93" s="3036"/>
    </row>
    <row r="94" spans="1:16" s="237" customFormat="1" ht="15" customHeight="1">
      <c r="A94" s="3432"/>
      <c r="B94" s="1441" t="s">
        <v>12</v>
      </c>
      <c r="C94" s="2947"/>
      <c r="D94" s="251">
        <f>E94+F94+G94+H94+I94+J94+K94+L94</f>
        <v>51406</v>
      </c>
      <c r="E94" s="251">
        <v>0</v>
      </c>
      <c r="F94" s="1080">
        <v>4861</v>
      </c>
      <c r="G94" s="1080">
        <v>9889</v>
      </c>
      <c r="H94" s="1080">
        <f>36655+1</f>
        <v>36656</v>
      </c>
      <c r="I94" s="1080">
        <v>0</v>
      </c>
      <c r="J94" s="1080">
        <v>0</v>
      </c>
      <c r="K94" s="1080">
        <v>0</v>
      </c>
      <c r="L94" s="1080">
        <v>0</v>
      </c>
      <c r="M94" s="839">
        <f>SUM(F94:K94)</f>
        <v>51406</v>
      </c>
      <c r="N94" s="839">
        <f>SUM(G94:L94)</f>
        <v>46545</v>
      </c>
      <c r="O94" s="3036"/>
    </row>
    <row r="95" spans="1:16" s="237" customFormat="1" ht="15" hidden="1" customHeight="1">
      <c r="A95" s="3432"/>
      <c r="B95" s="1513" t="s">
        <v>357</v>
      </c>
      <c r="C95" s="2947"/>
      <c r="D95" s="1034"/>
      <c r="E95" s="1917"/>
      <c r="F95" s="1515">
        <v>3347</v>
      </c>
      <c r="G95" s="1515">
        <v>8073</v>
      </c>
      <c r="H95" s="1515">
        <v>34839</v>
      </c>
      <c r="I95" s="1080"/>
      <c r="J95" s="1080"/>
      <c r="K95" s="1080"/>
      <c r="L95" s="1080"/>
      <c r="M95" s="1514"/>
      <c r="N95" s="1514"/>
      <c r="O95" s="3036"/>
    </row>
    <row r="96" spans="1:16" s="237" customFormat="1" ht="15" hidden="1" customHeight="1">
      <c r="A96" s="3432"/>
      <c r="B96" s="1513" t="s">
        <v>358</v>
      </c>
      <c r="C96" s="2947"/>
      <c r="D96" s="1034"/>
      <c r="E96" s="1917"/>
      <c r="F96" s="1515">
        <v>1514</v>
      </c>
      <c r="G96" s="1515">
        <v>1816</v>
      </c>
      <c r="H96" s="1515">
        <v>1816</v>
      </c>
      <c r="I96" s="1080"/>
      <c r="J96" s="1080"/>
      <c r="K96" s="1080"/>
      <c r="L96" s="1080"/>
      <c r="M96" s="1514"/>
      <c r="N96" s="1514"/>
      <c r="O96" s="3036"/>
    </row>
    <row r="97" spans="1:15" s="237" customFormat="1" ht="15" customHeight="1">
      <c r="A97" s="3432"/>
      <c r="B97" s="1071" t="s">
        <v>18</v>
      </c>
      <c r="C97" s="2947"/>
      <c r="D97" s="711">
        <f>D98</f>
        <v>291295</v>
      </c>
      <c r="E97" s="1469">
        <f t="shared" ref="E97:N97" si="59">+E98</f>
        <v>0</v>
      </c>
      <c r="F97" s="1470">
        <f t="shared" ref="F97:H97" si="60">F98</f>
        <v>27550</v>
      </c>
      <c r="G97" s="1470">
        <f t="shared" si="60"/>
        <v>56039</v>
      </c>
      <c r="H97" s="1470">
        <f t="shared" si="60"/>
        <v>207706</v>
      </c>
      <c r="I97" s="1470">
        <v>0</v>
      </c>
      <c r="J97" s="1470">
        <v>0</v>
      </c>
      <c r="K97" s="1470">
        <v>0</v>
      </c>
      <c r="L97" s="1470">
        <v>0</v>
      </c>
      <c r="M97" s="707">
        <f t="shared" si="59"/>
        <v>291295</v>
      </c>
      <c r="N97" s="707">
        <f t="shared" si="59"/>
        <v>263745</v>
      </c>
      <c r="O97" s="3036"/>
    </row>
    <row r="98" spans="1:15" s="237" customFormat="1" ht="15" customHeight="1">
      <c r="A98" s="3432"/>
      <c r="B98" s="285" t="s">
        <v>21</v>
      </c>
      <c r="C98" s="2947"/>
      <c r="D98" s="251">
        <f>E98+F98+G98+H98+I98+J98+K98+L98</f>
        <v>291295</v>
      </c>
      <c r="E98" s="251">
        <v>0</v>
      </c>
      <c r="F98" s="1080">
        <f>27549+1</f>
        <v>27550</v>
      </c>
      <c r="G98" s="1080">
        <v>56039</v>
      </c>
      <c r="H98" s="1080">
        <f>207707-1</f>
        <v>207706</v>
      </c>
      <c r="I98" s="1080">
        <v>0</v>
      </c>
      <c r="J98" s="1080">
        <v>0</v>
      </c>
      <c r="K98" s="1080">
        <v>0</v>
      </c>
      <c r="L98" s="1080">
        <v>0</v>
      </c>
      <c r="M98" s="839">
        <f>SUM(F98:K98)</f>
        <v>291295</v>
      </c>
      <c r="N98" s="839">
        <f>SUM(G98:L98)</f>
        <v>263745</v>
      </c>
      <c r="O98" s="3036"/>
    </row>
    <row r="99" spans="1:15" s="237" customFormat="1" ht="15" hidden="1" customHeight="1">
      <c r="A99" s="3432"/>
      <c r="B99" s="1513" t="s">
        <v>360</v>
      </c>
      <c r="C99" s="2947"/>
      <c r="D99" s="1034"/>
      <c r="E99" s="1544"/>
      <c r="F99" s="1515">
        <v>18973</v>
      </c>
      <c r="G99" s="1515">
        <v>45747</v>
      </c>
      <c r="H99" s="1515">
        <v>197415</v>
      </c>
      <c r="I99" s="1080"/>
      <c r="J99" s="1080"/>
      <c r="K99" s="1080"/>
      <c r="L99" s="1080"/>
      <c r="M99" s="1516"/>
      <c r="N99" s="1516"/>
      <c r="O99" s="3036"/>
    </row>
    <row r="100" spans="1:15" s="237" customFormat="1" ht="15" hidden="1" customHeight="1">
      <c r="A100" s="3432"/>
      <c r="B100" s="1513" t="s">
        <v>359</v>
      </c>
      <c r="C100" s="2922"/>
      <c r="D100" s="1034"/>
      <c r="E100" s="1544"/>
      <c r="F100" s="1515">
        <v>8576</v>
      </c>
      <c r="G100" s="1515">
        <v>10292</v>
      </c>
      <c r="H100" s="1515">
        <v>10292</v>
      </c>
      <c r="I100" s="1080"/>
      <c r="J100" s="1080"/>
      <c r="K100" s="1080"/>
      <c r="L100" s="1080"/>
      <c r="M100" s="1516"/>
      <c r="N100" s="1516"/>
      <c r="O100" s="3036"/>
    </row>
    <row r="101" spans="1:15" s="237" customFormat="1" ht="15" customHeight="1">
      <c r="A101" s="3432"/>
      <c r="B101" s="728" t="s">
        <v>22</v>
      </c>
      <c r="C101" s="829"/>
      <c r="D101" s="780">
        <f t="shared" ref="D101:L102" si="61">D102</f>
        <v>291295</v>
      </c>
      <c r="E101" s="780">
        <f t="shared" ref="E101:E102" si="62">+E102</f>
        <v>0</v>
      </c>
      <c r="F101" s="780">
        <f t="shared" si="61"/>
        <v>2133</v>
      </c>
      <c r="G101" s="780">
        <f t="shared" si="61"/>
        <v>39145</v>
      </c>
      <c r="H101" s="780">
        <f t="shared" si="61"/>
        <v>148930</v>
      </c>
      <c r="I101" s="780">
        <f t="shared" si="61"/>
        <v>101087</v>
      </c>
      <c r="J101" s="780">
        <f t="shared" si="61"/>
        <v>0</v>
      </c>
      <c r="K101" s="780">
        <f t="shared" si="61"/>
        <v>0</v>
      </c>
      <c r="L101" s="780">
        <f t="shared" si="61"/>
        <v>0</v>
      </c>
      <c r="M101" s="2908" t="s">
        <v>61</v>
      </c>
      <c r="N101" s="2908" t="s">
        <v>61</v>
      </c>
      <c r="O101" s="3036"/>
    </row>
    <row r="102" spans="1:15" s="237" customFormat="1" ht="15" customHeight="1">
      <c r="A102" s="3432"/>
      <c r="B102" s="694" t="s">
        <v>18</v>
      </c>
      <c r="C102" s="2958" t="s">
        <v>172</v>
      </c>
      <c r="D102" s="1582">
        <f t="shared" si="61"/>
        <v>291295</v>
      </c>
      <c r="E102" s="1582">
        <f t="shared" si="62"/>
        <v>0</v>
      </c>
      <c r="F102" s="1582">
        <f t="shared" si="61"/>
        <v>2133</v>
      </c>
      <c r="G102" s="1582">
        <f t="shared" si="61"/>
        <v>39145</v>
      </c>
      <c r="H102" s="1582">
        <f t="shared" si="61"/>
        <v>148930</v>
      </c>
      <c r="I102" s="1582">
        <f t="shared" si="61"/>
        <v>101087</v>
      </c>
      <c r="J102" s="1582">
        <f t="shared" si="61"/>
        <v>0</v>
      </c>
      <c r="K102" s="1582">
        <f t="shared" si="61"/>
        <v>0</v>
      </c>
      <c r="L102" s="1582">
        <f t="shared" si="61"/>
        <v>0</v>
      </c>
      <c r="M102" s="2874"/>
      <c r="N102" s="2874"/>
      <c r="O102" s="3036"/>
    </row>
    <row r="103" spans="1:15" s="237" customFormat="1" ht="15" customHeight="1" thickBot="1">
      <c r="A103" s="3433"/>
      <c r="B103" s="2067" t="s">
        <v>21</v>
      </c>
      <c r="C103" s="2921"/>
      <c r="D103" s="251">
        <f>E103+F103+G103+H103+I103+J103+K103+L103</f>
        <v>291295</v>
      </c>
      <c r="E103" s="251">
        <v>0</v>
      </c>
      <c r="F103" s="533">
        <v>2133</v>
      </c>
      <c r="G103" s="533">
        <v>39145</v>
      </c>
      <c r="H103" s="533">
        <v>148930</v>
      </c>
      <c r="I103" s="533">
        <v>101087</v>
      </c>
      <c r="J103" s="533">
        <v>0</v>
      </c>
      <c r="K103" s="533">
        <v>0</v>
      </c>
      <c r="L103" s="533">
        <v>0</v>
      </c>
      <c r="M103" s="2875"/>
      <c r="N103" s="2875"/>
      <c r="O103" s="3037"/>
    </row>
    <row r="104" spans="1:15" s="237" customFormat="1" ht="54" customHeight="1">
      <c r="A104" s="3434" t="s">
        <v>89</v>
      </c>
      <c r="B104" s="187" t="s">
        <v>363</v>
      </c>
      <c r="C104" s="2064" t="s">
        <v>81</v>
      </c>
      <c r="D104" s="842"/>
      <c r="E104" s="1916"/>
      <c r="F104" s="844"/>
      <c r="G104" s="844"/>
      <c r="H104" s="844"/>
      <c r="I104" s="843"/>
      <c r="J104" s="843"/>
      <c r="K104" s="843"/>
      <c r="L104" s="843"/>
      <c r="M104" s="845"/>
      <c r="N104" s="845"/>
      <c r="O104" s="3035" t="s">
        <v>199</v>
      </c>
    </row>
    <row r="105" spans="1:15" s="237" customFormat="1" ht="15" customHeight="1">
      <c r="A105" s="3432"/>
      <c r="B105" s="30" t="s">
        <v>10</v>
      </c>
      <c r="C105" s="22"/>
      <c r="D105" s="200">
        <f>D106+D108</f>
        <v>329300</v>
      </c>
      <c r="E105" s="200">
        <f t="shared" ref="E105" si="63">E106+E108</f>
        <v>0</v>
      </c>
      <c r="F105" s="200">
        <f>F106+F108</f>
        <v>55400</v>
      </c>
      <c r="G105" s="200">
        <f>G106+G108</f>
        <v>246900</v>
      </c>
      <c r="H105" s="200">
        <f>H106+H108</f>
        <v>27000</v>
      </c>
      <c r="I105" s="200">
        <f>+I108</f>
        <v>0</v>
      </c>
      <c r="J105" s="200">
        <f>+J108</f>
        <v>0</v>
      </c>
      <c r="K105" s="200">
        <f>+K108</f>
        <v>0</v>
      </c>
      <c r="L105" s="200">
        <f>+L108</f>
        <v>0</v>
      </c>
      <c r="M105" s="66">
        <f>M106+M108</f>
        <v>329300</v>
      </c>
      <c r="N105" s="66">
        <f>N106+N108</f>
        <v>273900</v>
      </c>
      <c r="O105" s="3036"/>
    </row>
    <row r="106" spans="1:15" s="237" customFormat="1" ht="15" customHeight="1">
      <c r="A106" s="3432"/>
      <c r="B106" s="851" t="s">
        <v>24</v>
      </c>
      <c r="C106" s="2887" t="s">
        <v>172</v>
      </c>
      <c r="D106" s="316">
        <f>D107</f>
        <v>49395</v>
      </c>
      <c r="E106" s="320">
        <f t="shared" ref="E106:L106" si="64">E107</f>
        <v>0</v>
      </c>
      <c r="F106" s="321">
        <f t="shared" si="64"/>
        <v>8310</v>
      </c>
      <c r="G106" s="321">
        <f t="shared" si="64"/>
        <v>37035</v>
      </c>
      <c r="H106" s="321">
        <f t="shared" si="64"/>
        <v>4050</v>
      </c>
      <c r="I106" s="321">
        <f t="shared" si="64"/>
        <v>0</v>
      </c>
      <c r="J106" s="321">
        <f t="shared" si="64"/>
        <v>0</v>
      </c>
      <c r="K106" s="321">
        <f t="shared" si="64"/>
        <v>0</v>
      </c>
      <c r="L106" s="321">
        <f t="shared" si="64"/>
        <v>0</v>
      </c>
      <c r="M106" s="313">
        <f>M107</f>
        <v>49395</v>
      </c>
      <c r="N106" s="313">
        <f>N107</f>
        <v>41085</v>
      </c>
      <c r="O106" s="3036"/>
    </row>
    <row r="107" spans="1:15" s="237" customFormat="1" ht="15" customHeight="1">
      <c r="A107" s="3432"/>
      <c r="B107" s="852" t="s">
        <v>12</v>
      </c>
      <c r="C107" s="2947"/>
      <c r="D107" s="251">
        <f>E107+F107+G107+H107+I107+J107+K107+L107</f>
        <v>49395</v>
      </c>
      <c r="E107" s="251">
        <v>0</v>
      </c>
      <c r="F107" s="315">
        <v>8310</v>
      </c>
      <c r="G107" s="315">
        <v>37035</v>
      </c>
      <c r="H107" s="315">
        <v>4050</v>
      </c>
      <c r="I107" s="315">
        <v>0</v>
      </c>
      <c r="J107" s="315">
        <v>0</v>
      </c>
      <c r="K107" s="315">
        <v>0</v>
      </c>
      <c r="L107" s="315">
        <v>0</v>
      </c>
      <c r="M107" s="839">
        <f>SUM(F107:K107)</f>
        <v>49395</v>
      </c>
      <c r="N107" s="839">
        <f>SUM(G107:L107)</f>
        <v>41085</v>
      </c>
      <c r="O107" s="3036"/>
    </row>
    <row r="108" spans="1:15" s="237" customFormat="1" ht="15" customHeight="1">
      <c r="A108" s="3432"/>
      <c r="B108" s="701" t="s">
        <v>18</v>
      </c>
      <c r="C108" s="2947"/>
      <c r="D108" s="50">
        <f>D109</f>
        <v>279905</v>
      </c>
      <c r="E108" s="102">
        <f t="shared" ref="E108:N108" si="65">+E109</f>
        <v>0</v>
      </c>
      <c r="F108" s="103">
        <f t="shared" ref="F108:H108" si="66">F109</f>
        <v>47090</v>
      </c>
      <c r="G108" s="103">
        <f t="shared" si="66"/>
        <v>209865</v>
      </c>
      <c r="H108" s="103">
        <f t="shared" si="66"/>
        <v>22950</v>
      </c>
      <c r="I108" s="103">
        <f t="shared" ref="I108:L108" si="67">I109</f>
        <v>0</v>
      </c>
      <c r="J108" s="103">
        <f t="shared" si="67"/>
        <v>0</v>
      </c>
      <c r="K108" s="103">
        <f t="shared" si="67"/>
        <v>0</v>
      </c>
      <c r="L108" s="103">
        <f t="shared" si="67"/>
        <v>0</v>
      </c>
      <c r="M108" s="80">
        <f t="shared" si="65"/>
        <v>279905</v>
      </c>
      <c r="N108" s="80">
        <f t="shared" si="65"/>
        <v>232815</v>
      </c>
      <c r="O108" s="3036"/>
    </row>
    <row r="109" spans="1:15" s="237" customFormat="1" ht="15" customHeight="1">
      <c r="A109" s="3432"/>
      <c r="B109" s="285" t="s">
        <v>21</v>
      </c>
      <c r="C109" s="2922"/>
      <c r="D109" s="251">
        <f>E109+F109+G109+H109+I109+J109+K109+L109</f>
        <v>279905</v>
      </c>
      <c r="E109" s="251">
        <v>0</v>
      </c>
      <c r="F109" s="52">
        <v>47090</v>
      </c>
      <c r="G109" s="52">
        <v>209865</v>
      </c>
      <c r="H109" s="52">
        <v>22950</v>
      </c>
      <c r="I109" s="52">
        <v>0</v>
      </c>
      <c r="J109" s="52">
        <v>0</v>
      </c>
      <c r="K109" s="52">
        <v>0</v>
      </c>
      <c r="L109" s="52">
        <v>0</v>
      </c>
      <c r="M109" s="839">
        <f>SUM(F109:K109)</f>
        <v>279905</v>
      </c>
      <c r="N109" s="839">
        <f>SUM(G109:L109)</f>
        <v>232815</v>
      </c>
      <c r="O109" s="3036"/>
    </row>
    <row r="110" spans="1:15" s="237" customFormat="1" ht="15" customHeight="1">
      <c r="A110" s="3432"/>
      <c r="B110" s="21" t="s">
        <v>22</v>
      </c>
      <c r="C110" s="22"/>
      <c r="D110" s="200">
        <f t="shared" ref="D110:L111" si="68">D111</f>
        <v>279905</v>
      </c>
      <c r="E110" s="200">
        <f t="shared" ref="E110:E111" si="69">+E111</f>
        <v>0</v>
      </c>
      <c r="F110" s="200">
        <f t="shared" si="68"/>
        <v>0</v>
      </c>
      <c r="G110" s="200">
        <f t="shared" si="68"/>
        <v>73100</v>
      </c>
      <c r="H110" s="200">
        <f t="shared" si="68"/>
        <v>183855</v>
      </c>
      <c r="I110" s="200">
        <f t="shared" si="68"/>
        <v>22950</v>
      </c>
      <c r="J110" s="200">
        <f t="shared" si="68"/>
        <v>0</v>
      </c>
      <c r="K110" s="200">
        <f t="shared" si="68"/>
        <v>0</v>
      </c>
      <c r="L110" s="200">
        <f t="shared" si="68"/>
        <v>0</v>
      </c>
      <c r="M110" s="2873" t="s">
        <v>61</v>
      </c>
      <c r="N110" s="2873" t="s">
        <v>61</v>
      </c>
      <c r="O110" s="3036"/>
    </row>
    <row r="111" spans="1:15" s="237" customFormat="1" ht="15" customHeight="1">
      <c r="A111" s="3432"/>
      <c r="B111" s="174" t="s">
        <v>18</v>
      </c>
      <c r="C111" s="2958" t="s">
        <v>172</v>
      </c>
      <c r="D111" s="51">
        <f t="shared" si="68"/>
        <v>279905</v>
      </c>
      <c r="E111" s="1048">
        <f t="shared" si="69"/>
        <v>0</v>
      </c>
      <c r="F111" s="51">
        <f t="shared" si="68"/>
        <v>0</v>
      </c>
      <c r="G111" s="51">
        <f t="shared" si="68"/>
        <v>73100</v>
      </c>
      <c r="H111" s="51">
        <f t="shared" si="68"/>
        <v>183855</v>
      </c>
      <c r="I111" s="51">
        <f t="shared" si="68"/>
        <v>22950</v>
      </c>
      <c r="J111" s="51">
        <f t="shared" si="68"/>
        <v>0</v>
      </c>
      <c r="K111" s="51">
        <f t="shared" si="68"/>
        <v>0</v>
      </c>
      <c r="L111" s="51">
        <f t="shared" si="68"/>
        <v>0</v>
      </c>
      <c r="M111" s="2874"/>
      <c r="N111" s="2874"/>
      <c r="O111" s="3036"/>
    </row>
    <row r="112" spans="1:15" s="237" customFormat="1" ht="15" customHeight="1" thickBot="1">
      <c r="A112" s="3433"/>
      <c r="B112" s="2067" t="s">
        <v>21</v>
      </c>
      <c r="C112" s="2921"/>
      <c r="D112" s="251">
        <f>E112+F112+G112+H112+I112+J112+K112+L112</f>
        <v>279905</v>
      </c>
      <c r="E112" s="251">
        <v>0</v>
      </c>
      <c r="F112" s="73"/>
      <c r="G112" s="73">
        <v>73100</v>
      </c>
      <c r="H112" s="73">
        <v>183855</v>
      </c>
      <c r="I112" s="73">
        <v>22950</v>
      </c>
      <c r="J112" s="73">
        <v>0</v>
      </c>
      <c r="K112" s="73">
        <v>0</v>
      </c>
      <c r="L112" s="73">
        <v>0</v>
      </c>
      <c r="M112" s="2875"/>
      <c r="N112" s="2875"/>
      <c r="O112" s="3037"/>
    </row>
    <row r="113" spans="1:16" s="237" customFormat="1" ht="33.75" customHeight="1">
      <c r="A113" s="3434" t="s">
        <v>90</v>
      </c>
      <c r="B113" s="187" t="s">
        <v>362</v>
      </c>
      <c r="C113" s="2064" t="s">
        <v>173</v>
      </c>
      <c r="D113" s="842"/>
      <c r="E113" s="1916"/>
      <c r="F113" s="844"/>
      <c r="G113" s="844"/>
      <c r="H113" s="844"/>
      <c r="I113" s="843"/>
      <c r="J113" s="843"/>
      <c r="K113" s="843"/>
      <c r="L113" s="843"/>
      <c r="M113" s="845"/>
      <c r="N113" s="845"/>
      <c r="O113" s="3035" t="s">
        <v>355</v>
      </c>
      <c r="P113" s="237" t="s">
        <v>356</v>
      </c>
    </row>
    <row r="114" spans="1:16" s="237" customFormat="1" ht="15" customHeight="1">
      <c r="A114" s="3432"/>
      <c r="B114" s="30" t="s">
        <v>10</v>
      </c>
      <c r="C114" s="22"/>
      <c r="D114" s="200">
        <f>D115+D119</f>
        <v>693012</v>
      </c>
      <c r="E114" s="200">
        <f t="shared" ref="E114" si="70">E115+E119</f>
        <v>0</v>
      </c>
      <c r="F114" s="200">
        <f>F115+F119</f>
        <v>52125</v>
      </c>
      <c r="G114" s="200">
        <f>G115+G119</f>
        <v>364887</v>
      </c>
      <c r="H114" s="200">
        <f>H115+H119</f>
        <v>276000</v>
      </c>
      <c r="I114" s="200">
        <f>+I119</f>
        <v>0</v>
      </c>
      <c r="J114" s="200">
        <f>+J119</f>
        <v>0</v>
      </c>
      <c r="K114" s="200">
        <f>+K119</f>
        <v>0</v>
      </c>
      <c r="L114" s="200">
        <f>+L119</f>
        <v>0</v>
      </c>
      <c r="M114" s="66">
        <f>M115+M119</f>
        <v>693012</v>
      </c>
      <c r="N114" s="66">
        <f>N115+N119</f>
        <v>640887</v>
      </c>
      <c r="O114" s="3036"/>
    </row>
    <row r="115" spans="1:16" s="237" customFormat="1" ht="15" customHeight="1">
      <c r="A115" s="3432"/>
      <c r="B115" s="851" t="s">
        <v>24</v>
      </c>
      <c r="C115" s="2887" t="s">
        <v>350</v>
      </c>
      <c r="D115" s="316">
        <f>D116</f>
        <v>119262</v>
      </c>
      <c r="E115" s="320">
        <f t="shared" ref="E115:H115" si="71">E116</f>
        <v>0</v>
      </c>
      <c r="F115" s="321">
        <f t="shared" si="71"/>
        <v>15474</v>
      </c>
      <c r="G115" s="321">
        <f t="shared" si="71"/>
        <v>62388</v>
      </c>
      <c r="H115" s="321">
        <f t="shared" si="71"/>
        <v>41400</v>
      </c>
      <c r="I115" s="321">
        <v>0</v>
      </c>
      <c r="J115" s="321">
        <v>0</v>
      </c>
      <c r="K115" s="321">
        <v>0</v>
      </c>
      <c r="L115" s="321">
        <v>0</v>
      </c>
      <c r="M115" s="313">
        <f>M116</f>
        <v>119262</v>
      </c>
      <c r="N115" s="313">
        <f>N116</f>
        <v>103788</v>
      </c>
      <c r="O115" s="3036"/>
    </row>
    <row r="116" spans="1:16" s="237" customFormat="1" ht="15" customHeight="1">
      <c r="A116" s="3432"/>
      <c r="B116" s="852" t="s">
        <v>12</v>
      </c>
      <c r="C116" s="2947"/>
      <c r="D116" s="251">
        <f>E116+F116+G116+H116+I116+J116+K116+L116</f>
        <v>119262</v>
      </c>
      <c r="E116" s="251">
        <v>0</v>
      </c>
      <c r="F116" s="315">
        <v>15474</v>
      </c>
      <c r="G116" s="315">
        <v>62388</v>
      </c>
      <c r="H116" s="315">
        <v>41400</v>
      </c>
      <c r="I116" s="315">
        <v>0</v>
      </c>
      <c r="J116" s="315">
        <v>0</v>
      </c>
      <c r="K116" s="315">
        <v>0</v>
      </c>
      <c r="L116" s="315">
        <v>0</v>
      </c>
      <c r="M116" s="839">
        <f>SUM(F116:K116)</f>
        <v>119262</v>
      </c>
      <c r="N116" s="839">
        <f>SUM(G116:L116)</f>
        <v>103788</v>
      </c>
      <c r="O116" s="3036"/>
    </row>
    <row r="117" spans="1:16" s="237" customFormat="1" ht="15" hidden="1" customHeight="1">
      <c r="A117" s="3432"/>
      <c r="B117" s="1513" t="s">
        <v>358</v>
      </c>
      <c r="C117" s="2947"/>
      <c r="D117" s="251">
        <f t="shared" ref="D117:D118" si="72">E117+F117+G117+H117+I117+J117+K117+L117</f>
        <v>5385</v>
      </c>
      <c r="E117" s="1917"/>
      <c r="F117" s="2812">
        <f>1500+258+37</f>
        <v>1795</v>
      </c>
      <c r="G117" s="2812">
        <f>1500+258+37</f>
        <v>1795</v>
      </c>
      <c r="H117" s="2812">
        <f>1500+258+37</f>
        <v>1795</v>
      </c>
      <c r="I117" s="1080"/>
      <c r="J117" s="1080"/>
      <c r="K117" s="1080"/>
      <c r="L117" s="1080"/>
      <c r="M117" s="1514"/>
      <c r="N117" s="1514"/>
      <c r="O117" s="3036"/>
    </row>
    <row r="118" spans="1:16" s="237" customFormat="1" ht="15" hidden="1" customHeight="1">
      <c r="A118" s="3432"/>
      <c r="B118" s="1513" t="s">
        <v>357</v>
      </c>
      <c r="C118" s="2947"/>
      <c r="D118" s="251">
        <f t="shared" si="72"/>
        <v>113877</v>
      </c>
      <c r="E118" s="1917"/>
      <c r="F118" s="2812">
        <f>29862+1010+900-17345-750</f>
        <v>13677</v>
      </c>
      <c r="G118" s="2812">
        <f>37887+3262+1350+17345+750</f>
        <v>60594</v>
      </c>
      <c r="H118" s="2812">
        <f>36006+900+2700</f>
        <v>39606</v>
      </c>
      <c r="I118" s="1785"/>
      <c r="J118" s="1785"/>
      <c r="K118" s="1785"/>
      <c r="L118" s="1785"/>
      <c r="M118" s="1514"/>
      <c r="N118" s="1514"/>
      <c r="O118" s="3036"/>
    </row>
    <row r="119" spans="1:16" s="237" customFormat="1" ht="15" customHeight="1">
      <c r="A119" s="3432"/>
      <c r="B119" s="701" t="s">
        <v>18</v>
      </c>
      <c r="C119" s="2947"/>
      <c r="D119" s="50">
        <f>D120</f>
        <v>573750</v>
      </c>
      <c r="E119" s="102">
        <f t="shared" ref="E119:N119" si="73">+E120</f>
        <v>0</v>
      </c>
      <c r="F119" s="103">
        <f t="shared" ref="F119:H119" si="74">F120</f>
        <v>36651</v>
      </c>
      <c r="G119" s="103">
        <f t="shared" si="74"/>
        <v>302499</v>
      </c>
      <c r="H119" s="103">
        <f t="shared" si="74"/>
        <v>234600</v>
      </c>
      <c r="I119" s="103">
        <v>0</v>
      </c>
      <c r="J119" s="103">
        <v>0</v>
      </c>
      <c r="K119" s="103">
        <v>0</v>
      </c>
      <c r="L119" s="103">
        <v>0</v>
      </c>
      <c r="M119" s="80">
        <f t="shared" si="73"/>
        <v>573750</v>
      </c>
      <c r="N119" s="80">
        <f t="shared" si="73"/>
        <v>537099</v>
      </c>
      <c r="O119" s="3036"/>
    </row>
    <row r="120" spans="1:16" s="237" customFormat="1" ht="15" customHeight="1">
      <c r="A120" s="3432"/>
      <c r="B120" s="285" t="s">
        <v>21</v>
      </c>
      <c r="C120" s="2922"/>
      <c r="D120" s="251">
        <f>E120+F120+G120+H120+I120+J120+K120+L120</f>
        <v>573750</v>
      </c>
      <c r="E120" s="251">
        <v>0</v>
      </c>
      <c r="F120" s="52">
        <v>36651</v>
      </c>
      <c r="G120" s="52">
        <v>302499</v>
      </c>
      <c r="H120" s="52">
        <v>234600</v>
      </c>
      <c r="I120" s="52">
        <v>0</v>
      </c>
      <c r="J120" s="52">
        <v>0</v>
      </c>
      <c r="K120" s="52">
        <v>0</v>
      </c>
      <c r="L120" s="52">
        <v>0</v>
      </c>
      <c r="M120" s="839">
        <f>SUM(F120:K120)</f>
        <v>573750</v>
      </c>
      <c r="N120" s="839">
        <f>SUM(G120:L120)</f>
        <v>537099</v>
      </c>
      <c r="O120" s="3036"/>
    </row>
    <row r="121" spans="1:16" s="237" customFormat="1" ht="15" hidden="1" customHeight="1">
      <c r="A121" s="3432"/>
      <c r="B121" s="1513" t="s">
        <v>359</v>
      </c>
      <c r="C121" s="2532"/>
      <c r="D121" s="251">
        <f t="shared" ref="D121:D122" si="75">E121+F121+G121+H121+I121+J121+K121+L121</f>
        <v>30489</v>
      </c>
      <c r="E121" s="1544"/>
      <c r="F121" s="1515">
        <f>8496+1459+208</f>
        <v>10163</v>
      </c>
      <c r="G121" s="1515">
        <f>8496+1459+208</f>
        <v>10163</v>
      </c>
      <c r="H121" s="1515">
        <f>8496+1459+208</f>
        <v>10163</v>
      </c>
      <c r="I121" s="1080"/>
      <c r="J121" s="1080"/>
      <c r="K121" s="1080"/>
      <c r="L121" s="1080"/>
      <c r="M121" s="1516"/>
      <c r="N121" s="1516"/>
      <c r="O121" s="3036"/>
    </row>
    <row r="122" spans="1:16" s="237" customFormat="1" ht="15" hidden="1" customHeight="1">
      <c r="A122" s="3432"/>
      <c r="B122" s="1513" t="s">
        <v>360</v>
      </c>
      <c r="C122" s="2532"/>
      <c r="D122" s="251">
        <f t="shared" si="75"/>
        <v>543261</v>
      </c>
      <c r="E122" s="1544"/>
      <c r="F122" s="1515">
        <f>129026-98286-4250</f>
        <v>26490</v>
      </c>
      <c r="G122" s="1515">
        <f>163661+18488+7650+98286+4250</f>
        <v>292335</v>
      </c>
      <c r="H122" s="1515">
        <f>204036+5100+15300</f>
        <v>224436</v>
      </c>
      <c r="I122" s="1785"/>
      <c r="J122" s="1785"/>
      <c r="K122" s="1785"/>
      <c r="L122" s="1785"/>
      <c r="M122" s="1516"/>
      <c r="N122" s="1516"/>
      <c r="O122" s="3036"/>
    </row>
    <row r="123" spans="1:16" s="237" customFormat="1" ht="15" customHeight="1">
      <c r="A123" s="3432"/>
      <c r="B123" s="21" t="s">
        <v>22</v>
      </c>
      <c r="C123" s="22"/>
      <c r="D123" s="200">
        <f t="shared" ref="D123:L124" si="76">D124</f>
        <v>573750</v>
      </c>
      <c r="E123" s="200">
        <f t="shared" ref="E123:E124" si="77">+E124</f>
        <v>0</v>
      </c>
      <c r="F123" s="200">
        <f t="shared" si="76"/>
        <v>0</v>
      </c>
      <c r="G123" s="200">
        <f t="shared" si="76"/>
        <v>178482</v>
      </c>
      <c r="H123" s="200">
        <f t="shared" si="76"/>
        <v>308586</v>
      </c>
      <c r="I123" s="200">
        <f t="shared" si="76"/>
        <v>86682</v>
      </c>
      <c r="J123" s="200">
        <f t="shared" si="76"/>
        <v>0</v>
      </c>
      <c r="K123" s="200">
        <f t="shared" si="76"/>
        <v>0</v>
      </c>
      <c r="L123" s="200">
        <f t="shared" si="76"/>
        <v>0</v>
      </c>
      <c r="M123" s="2873" t="s">
        <v>61</v>
      </c>
      <c r="N123" s="2873" t="s">
        <v>61</v>
      </c>
      <c r="O123" s="3036"/>
    </row>
    <row r="124" spans="1:16" s="237" customFormat="1" ht="15" customHeight="1">
      <c r="A124" s="3432"/>
      <c r="B124" s="174" t="s">
        <v>18</v>
      </c>
      <c r="C124" s="3002" t="s">
        <v>172</v>
      </c>
      <c r="D124" s="51">
        <f t="shared" si="76"/>
        <v>573750</v>
      </c>
      <c r="E124" s="51">
        <f t="shared" si="77"/>
        <v>0</v>
      </c>
      <c r="F124" s="51">
        <f t="shared" si="76"/>
        <v>0</v>
      </c>
      <c r="G124" s="51">
        <f t="shared" si="76"/>
        <v>178482</v>
      </c>
      <c r="H124" s="51">
        <f t="shared" si="76"/>
        <v>308586</v>
      </c>
      <c r="I124" s="51">
        <f t="shared" si="76"/>
        <v>86682</v>
      </c>
      <c r="J124" s="51">
        <f t="shared" si="76"/>
        <v>0</v>
      </c>
      <c r="K124" s="51">
        <f t="shared" si="76"/>
        <v>0</v>
      </c>
      <c r="L124" s="51">
        <f t="shared" si="76"/>
        <v>0</v>
      </c>
      <c r="M124" s="2874"/>
      <c r="N124" s="2874"/>
      <c r="O124" s="3036"/>
    </row>
    <row r="125" spans="1:16" s="237" customFormat="1" ht="15" customHeight="1" thickBot="1">
      <c r="A125" s="3433"/>
      <c r="B125" s="2067" t="s">
        <v>21</v>
      </c>
      <c r="C125" s="2921"/>
      <c r="D125" s="251">
        <f>E125+F125+G125+H125+I125+J125+K125+L125</f>
        <v>573750</v>
      </c>
      <c r="E125" s="251">
        <v>0</v>
      </c>
      <c r="F125" s="73">
        <f>48432-48432</f>
        <v>0</v>
      </c>
      <c r="G125" s="73">
        <f>130050+48432</f>
        <v>178482</v>
      </c>
      <c r="H125" s="73">
        <v>308586</v>
      </c>
      <c r="I125" s="73">
        <v>86682</v>
      </c>
      <c r="J125" s="73">
        <v>0</v>
      </c>
      <c r="K125" s="73">
        <v>0</v>
      </c>
      <c r="L125" s="73">
        <v>0</v>
      </c>
      <c r="M125" s="2875"/>
      <c r="N125" s="2875"/>
      <c r="O125" s="3037"/>
    </row>
    <row r="126" spans="1:16" s="237" customFormat="1" ht="50.25" hidden="1" customHeight="1">
      <c r="A126" s="3431" t="s">
        <v>91</v>
      </c>
      <c r="B126" s="187"/>
      <c r="C126" s="2064" t="s">
        <v>173</v>
      </c>
      <c r="D126" s="842"/>
      <c r="E126" s="843"/>
      <c r="F126" s="844"/>
      <c r="G126" s="844"/>
      <c r="H126" s="844"/>
      <c r="I126" s="843"/>
      <c r="J126" s="843"/>
      <c r="K126" s="843"/>
      <c r="L126" s="843"/>
      <c r="M126" s="845"/>
      <c r="N126" s="845"/>
      <c r="O126" s="3035"/>
    </row>
    <row r="127" spans="1:16" s="237" customFormat="1" ht="15" hidden="1" customHeight="1">
      <c r="A127" s="3432"/>
      <c r="B127" s="2016" t="s">
        <v>10</v>
      </c>
      <c r="C127" s="2017"/>
      <c r="D127" s="2018">
        <f>+D128+D130</f>
        <v>0</v>
      </c>
      <c r="E127" s="2018">
        <f>+E128+E130</f>
        <v>0</v>
      </c>
      <c r="F127" s="2018">
        <f>+F128+F130</f>
        <v>0</v>
      </c>
      <c r="G127" s="2018">
        <f t="shared" ref="G127:H127" si="78">+G128+G130</f>
        <v>0</v>
      </c>
      <c r="H127" s="2018">
        <f t="shared" si="78"/>
        <v>0</v>
      </c>
      <c r="I127" s="2018">
        <v>0</v>
      </c>
      <c r="J127" s="2018">
        <v>0</v>
      </c>
      <c r="K127" s="2018">
        <v>0</v>
      </c>
      <c r="L127" s="2018">
        <v>0</v>
      </c>
      <c r="M127" s="2019">
        <f>+M128+M130</f>
        <v>0</v>
      </c>
      <c r="N127" s="2019">
        <f>+N128+N130</f>
        <v>0</v>
      </c>
      <c r="O127" s="3036"/>
    </row>
    <row r="128" spans="1:16" s="237" customFormat="1" ht="15" hidden="1" customHeight="1">
      <c r="A128" s="3432"/>
      <c r="B128" s="2020" t="s">
        <v>24</v>
      </c>
      <c r="C128" s="2920" t="s">
        <v>193</v>
      </c>
      <c r="D128" s="2021">
        <f>+D129</f>
        <v>0</v>
      </c>
      <c r="E128" s="2026">
        <f>+E129</f>
        <v>0</v>
      </c>
      <c r="F128" s="2026">
        <f>+F129</f>
        <v>0</v>
      </c>
      <c r="G128" s="2026">
        <f t="shared" ref="G128:H128" si="79">+G129</f>
        <v>0</v>
      </c>
      <c r="H128" s="2026">
        <f t="shared" si="79"/>
        <v>0</v>
      </c>
      <c r="I128" s="2027">
        <v>0</v>
      </c>
      <c r="J128" s="2027">
        <v>0</v>
      </c>
      <c r="K128" s="2027">
        <v>0</v>
      </c>
      <c r="L128" s="2027">
        <v>0</v>
      </c>
      <c r="M128" s="2022">
        <f>+M129</f>
        <v>0</v>
      </c>
      <c r="N128" s="2022">
        <f>+N129</f>
        <v>0</v>
      </c>
      <c r="O128" s="3036"/>
    </row>
    <row r="129" spans="1:15" s="237" customFormat="1" ht="15" hidden="1" customHeight="1">
      <c r="A129" s="3432"/>
      <c r="B129" s="2023" t="s">
        <v>12</v>
      </c>
      <c r="C129" s="2947"/>
      <c r="D129" s="1926"/>
      <c r="E129" s="1926">
        <v>0</v>
      </c>
      <c r="F129" s="2024"/>
      <c r="G129" s="2024"/>
      <c r="H129" s="2024"/>
      <c r="I129" s="2027">
        <v>0</v>
      </c>
      <c r="J129" s="2027">
        <v>0</v>
      </c>
      <c r="K129" s="2027">
        <v>0</v>
      </c>
      <c r="L129" s="2027">
        <v>0</v>
      </c>
      <c r="M129" s="839">
        <f>SUM(F129:K129)</f>
        <v>0</v>
      </c>
      <c r="N129" s="839">
        <f>SUM(G129:L129)</f>
        <v>0</v>
      </c>
      <c r="O129" s="3036"/>
    </row>
    <row r="130" spans="1:15" s="237" customFormat="1" ht="15" hidden="1" customHeight="1">
      <c r="A130" s="3432"/>
      <c r="B130" s="2025" t="s">
        <v>18</v>
      </c>
      <c r="C130" s="2947"/>
      <c r="D130" s="2021">
        <f>+D131</f>
        <v>0</v>
      </c>
      <c r="E130" s="2026">
        <f>+E131</f>
        <v>0</v>
      </c>
      <c r="F130" s="2026">
        <f>+F131</f>
        <v>0</v>
      </c>
      <c r="G130" s="2026">
        <f t="shared" ref="G130:H130" si="80">+G131</f>
        <v>0</v>
      </c>
      <c r="H130" s="2026">
        <f t="shared" si="80"/>
        <v>0</v>
      </c>
      <c r="I130" s="2027">
        <v>0</v>
      </c>
      <c r="J130" s="2027">
        <v>0</v>
      </c>
      <c r="K130" s="2027">
        <v>0</v>
      </c>
      <c r="L130" s="2027">
        <v>0</v>
      </c>
      <c r="M130" s="2022">
        <f>+M131</f>
        <v>0</v>
      </c>
      <c r="N130" s="2022">
        <f>+N131</f>
        <v>0</v>
      </c>
      <c r="O130" s="3036"/>
    </row>
    <row r="131" spans="1:15" s="237" customFormat="1" ht="15" hidden="1" customHeight="1">
      <c r="A131" s="3432"/>
      <c r="B131" s="285" t="s">
        <v>21</v>
      </c>
      <c r="C131" s="2922"/>
      <c r="D131" s="1926"/>
      <c r="E131" s="1926">
        <v>0</v>
      </c>
      <c r="F131" s="2024"/>
      <c r="G131" s="2024"/>
      <c r="H131" s="2024"/>
      <c r="I131" s="2027">
        <v>0</v>
      </c>
      <c r="J131" s="2027">
        <v>0</v>
      </c>
      <c r="K131" s="2027">
        <v>0</v>
      </c>
      <c r="L131" s="2027">
        <v>0</v>
      </c>
      <c r="M131" s="839">
        <f>SUM(F131:K131)</f>
        <v>0</v>
      </c>
      <c r="N131" s="839">
        <f>SUM(G131:L131)</f>
        <v>0</v>
      </c>
      <c r="O131" s="3425"/>
    </row>
    <row r="132" spans="1:15" s="237" customFormat="1" ht="15" hidden="1" customHeight="1">
      <c r="A132" s="3432"/>
      <c r="B132" s="728" t="s">
        <v>22</v>
      </c>
      <c r="C132" s="2017"/>
      <c r="D132" s="2018">
        <f t="shared" ref="D132:F133" si="81">+D133</f>
        <v>0</v>
      </c>
      <c r="E132" s="2018">
        <f t="shared" si="81"/>
        <v>0</v>
      </c>
      <c r="F132" s="2018">
        <f t="shared" si="81"/>
        <v>0</v>
      </c>
      <c r="G132" s="2018">
        <f t="shared" ref="G132:H132" si="82">+G133</f>
        <v>0</v>
      </c>
      <c r="H132" s="2018">
        <f t="shared" si="82"/>
        <v>0</v>
      </c>
      <c r="I132" s="2018">
        <v>0</v>
      </c>
      <c r="J132" s="2018">
        <v>0</v>
      </c>
      <c r="K132" s="2018">
        <v>0</v>
      </c>
      <c r="L132" s="2018">
        <v>0</v>
      </c>
      <c r="M132" s="2901"/>
      <c r="N132" s="2901"/>
      <c r="O132" s="3036"/>
    </row>
    <row r="133" spans="1:15" s="237" customFormat="1" ht="15" hidden="1" customHeight="1">
      <c r="A133" s="3432"/>
      <c r="B133" s="694" t="s">
        <v>18</v>
      </c>
      <c r="C133" s="2974" t="s">
        <v>196</v>
      </c>
      <c r="D133" s="2021">
        <f t="shared" si="81"/>
        <v>0</v>
      </c>
      <c r="E133" s="2027">
        <f t="shared" si="81"/>
        <v>0</v>
      </c>
      <c r="F133" s="2027">
        <f t="shared" si="81"/>
        <v>0</v>
      </c>
      <c r="G133" s="2027">
        <f t="shared" ref="G133:H133" si="83">+G134</f>
        <v>0</v>
      </c>
      <c r="H133" s="2027">
        <f t="shared" si="83"/>
        <v>0</v>
      </c>
      <c r="I133" s="2027">
        <v>0</v>
      </c>
      <c r="J133" s="2027">
        <v>0</v>
      </c>
      <c r="K133" s="2027">
        <v>0</v>
      </c>
      <c r="L133" s="2027">
        <v>0</v>
      </c>
      <c r="M133" s="2874"/>
      <c r="N133" s="2874"/>
      <c r="O133" s="3036"/>
    </row>
    <row r="134" spans="1:15" s="237" customFormat="1" ht="15" hidden="1" customHeight="1" thickBot="1">
      <c r="A134" s="3433"/>
      <c r="B134" s="2067" t="s">
        <v>21</v>
      </c>
      <c r="C134" s="2921"/>
      <c r="D134" s="1027">
        <f>E134+F134+G134+H134+I134+J134+K134+L134</f>
        <v>0</v>
      </c>
      <c r="E134" s="1027">
        <v>0</v>
      </c>
      <c r="F134" s="533"/>
      <c r="G134" s="533"/>
      <c r="H134" s="533"/>
      <c r="I134" s="533">
        <v>0</v>
      </c>
      <c r="J134" s="533">
        <v>0</v>
      </c>
      <c r="K134" s="533">
        <v>0</v>
      </c>
      <c r="L134" s="533">
        <v>0</v>
      </c>
      <c r="M134" s="2875"/>
      <c r="N134" s="2875"/>
      <c r="O134" s="3037"/>
    </row>
    <row r="135" spans="1:15" s="237" customFormat="1" ht="49.5" hidden="1" customHeight="1">
      <c r="A135" s="3434" t="s">
        <v>92</v>
      </c>
      <c r="B135" s="187"/>
      <c r="C135" s="2064" t="s">
        <v>81</v>
      </c>
      <c r="D135" s="842"/>
      <c r="E135" s="1916"/>
      <c r="F135" s="844"/>
      <c r="G135" s="844"/>
      <c r="H135" s="844"/>
      <c r="I135" s="843"/>
      <c r="J135" s="843"/>
      <c r="K135" s="843"/>
      <c r="L135" s="843"/>
      <c r="M135" s="845"/>
      <c r="N135" s="845"/>
      <c r="O135" s="3035"/>
    </row>
    <row r="136" spans="1:15" s="237" customFormat="1" ht="15" hidden="1" customHeight="1">
      <c r="A136" s="3432"/>
      <c r="B136" s="30" t="s">
        <v>10</v>
      </c>
      <c r="C136" s="22"/>
      <c r="D136" s="200">
        <f>+D137+D139</f>
        <v>0</v>
      </c>
      <c r="E136" s="200">
        <f>+E137+E139</f>
        <v>0</v>
      </c>
      <c r="F136" s="200">
        <f>+F137+F139</f>
        <v>0</v>
      </c>
      <c r="G136" s="200">
        <f t="shared" ref="G136:I136" si="84">+G137+G139</f>
        <v>0</v>
      </c>
      <c r="H136" s="200">
        <f t="shared" si="84"/>
        <v>0</v>
      </c>
      <c r="I136" s="200">
        <f t="shared" si="84"/>
        <v>0</v>
      </c>
      <c r="J136" s="200">
        <v>0</v>
      </c>
      <c r="K136" s="200">
        <v>0</v>
      </c>
      <c r="L136" s="200">
        <v>0</v>
      </c>
      <c r="M136" s="66">
        <f>+M137+M139</f>
        <v>0</v>
      </c>
      <c r="N136" s="66">
        <f>+N137+N139</f>
        <v>0</v>
      </c>
      <c r="O136" s="3036"/>
    </row>
    <row r="137" spans="1:15" s="237" customFormat="1" ht="15" hidden="1" customHeight="1">
      <c r="A137" s="3432"/>
      <c r="B137" s="851" t="s">
        <v>24</v>
      </c>
      <c r="C137" s="2887" t="s">
        <v>193</v>
      </c>
      <c r="D137" s="316">
        <f>+D138</f>
        <v>0</v>
      </c>
      <c r="E137" s="321">
        <f>+E138</f>
        <v>0</v>
      </c>
      <c r="F137" s="321">
        <f>+F138</f>
        <v>0</v>
      </c>
      <c r="G137" s="321">
        <f>+G138</f>
        <v>0</v>
      </c>
      <c r="H137" s="321">
        <f t="shared" ref="H137:I137" si="85">+H138</f>
        <v>0</v>
      </c>
      <c r="I137" s="321">
        <f t="shared" si="85"/>
        <v>0</v>
      </c>
      <c r="J137" s="51">
        <v>0</v>
      </c>
      <c r="K137" s="51">
        <v>0</v>
      </c>
      <c r="L137" s="51">
        <v>0</v>
      </c>
      <c r="M137" s="313">
        <f>+M138</f>
        <v>0</v>
      </c>
      <c r="N137" s="313">
        <f>+N138</f>
        <v>0</v>
      </c>
      <c r="O137" s="3036"/>
    </row>
    <row r="138" spans="1:15" s="237" customFormat="1" ht="15" hidden="1" customHeight="1">
      <c r="A138" s="3432"/>
      <c r="B138" s="852" t="s">
        <v>12</v>
      </c>
      <c r="C138" s="2947"/>
      <c r="D138" s="251"/>
      <c r="E138" s="251">
        <v>0</v>
      </c>
      <c r="F138" s="315"/>
      <c r="G138" s="315"/>
      <c r="H138" s="315"/>
      <c r="I138" s="315"/>
      <c r="J138" s="51">
        <v>0</v>
      </c>
      <c r="K138" s="51">
        <v>0</v>
      </c>
      <c r="L138" s="51">
        <v>0</v>
      </c>
      <c r="M138" s="839">
        <f>SUM(F138:K138)</f>
        <v>0</v>
      </c>
      <c r="N138" s="839">
        <f>SUM(G138:L138)</f>
        <v>0</v>
      </c>
      <c r="O138" s="3036"/>
    </row>
    <row r="139" spans="1:15" s="237" customFormat="1" ht="15" hidden="1" customHeight="1">
      <c r="A139" s="3432"/>
      <c r="B139" s="701" t="s">
        <v>18</v>
      </c>
      <c r="C139" s="2947"/>
      <c r="D139" s="50">
        <f>+D140</f>
        <v>0</v>
      </c>
      <c r="E139" s="103">
        <f>+E140</f>
        <v>0</v>
      </c>
      <c r="F139" s="103">
        <f>+F140</f>
        <v>0</v>
      </c>
      <c r="G139" s="103">
        <f t="shared" ref="G139:I139" si="86">+G140</f>
        <v>0</v>
      </c>
      <c r="H139" s="103">
        <f t="shared" si="86"/>
        <v>0</v>
      </c>
      <c r="I139" s="103">
        <f t="shared" si="86"/>
        <v>0</v>
      </c>
      <c r="J139" s="51">
        <v>0</v>
      </c>
      <c r="K139" s="51">
        <v>0</v>
      </c>
      <c r="L139" s="51">
        <v>0</v>
      </c>
      <c r="M139" s="80">
        <f>+M140</f>
        <v>0</v>
      </c>
      <c r="N139" s="80">
        <f>+N140</f>
        <v>0</v>
      </c>
      <c r="O139" s="3036"/>
    </row>
    <row r="140" spans="1:15" s="237" customFormat="1" ht="15" hidden="1" customHeight="1">
      <c r="A140" s="3432"/>
      <c r="B140" s="285" t="s">
        <v>21</v>
      </c>
      <c r="C140" s="2922"/>
      <c r="D140" s="251"/>
      <c r="E140" s="1671">
        <v>0</v>
      </c>
      <c r="F140" s="793"/>
      <c r="G140" s="793"/>
      <c r="H140" s="793"/>
      <c r="I140" s="793"/>
      <c r="J140" s="51">
        <v>0</v>
      </c>
      <c r="K140" s="51">
        <v>0</v>
      </c>
      <c r="L140" s="51">
        <v>0</v>
      </c>
      <c r="M140" s="839">
        <f>SUM(F140:K140)</f>
        <v>0</v>
      </c>
      <c r="N140" s="839">
        <f>SUM(G140:L140)</f>
        <v>0</v>
      </c>
      <c r="O140" s="3425"/>
    </row>
    <row r="141" spans="1:15" s="237" customFormat="1" ht="15" hidden="1" customHeight="1">
      <c r="A141" s="3432"/>
      <c r="B141" s="21" t="s">
        <v>22</v>
      </c>
      <c r="C141" s="22"/>
      <c r="D141" s="200">
        <f t="shared" ref="D141:F142" si="87">+D142</f>
        <v>0</v>
      </c>
      <c r="E141" s="104">
        <f t="shared" si="87"/>
        <v>0</v>
      </c>
      <c r="F141" s="104">
        <f t="shared" si="87"/>
        <v>0</v>
      </c>
      <c r="G141" s="104">
        <f t="shared" ref="G141:I141" si="88">+G142</f>
        <v>0</v>
      </c>
      <c r="H141" s="104">
        <f t="shared" si="88"/>
        <v>0</v>
      </c>
      <c r="I141" s="104">
        <f t="shared" si="88"/>
        <v>0</v>
      </c>
      <c r="J141" s="200">
        <v>0</v>
      </c>
      <c r="K141" s="200">
        <v>0</v>
      </c>
      <c r="L141" s="200">
        <v>0</v>
      </c>
      <c r="M141" s="2873"/>
      <c r="N141" s="2873"/>
      <c r="O141" s="3036"/>
    </row>
    <row r="142" spans="1:15" s="237" customFormat="1" ht="15" hidden="1" customHeight="1">
      <c r="A142" s="3432"/>
      <c r="B142" s="174" t="s">
        <v>18</v>
      </c>
      <c r="C142" s="3427" t="s">
        <v>196</v>
      </c>
      <c r="D142" s="50">
        <f t="shared" si="87"/>
        <v>0</v>
      </c>
      <c r="E142" s="51">
        <f t="shared" si="87"/>
        <v>0</v>
      </c>
      <c r="F142" s="51">
        <f t="shared" si="87"/>
        <v>0</v>
      </c>
      <c r="G142" s="51">
        <f t="shared" ref="G142:I142" si="89">+G143</f>
        <v>0</v>
      </c>
      <c r="H142" s="51">
        <f t="shared" si="89"/>
        <v>0</v>
      </c>
      <c r="I142" s="51">
        <f t="shared" si="89"/>
        <v>0</v>
      </c>
      <c r="J142" s="51">
        <v>0</v>
      </c>
      <c r="K142" s="51">
        <v>0</v>
      </c>
      <c r="L142" s="51">
        <v>0</v>
      </c>
      <c r="M142" s="2874"/>
      <c r="N142" s="2874"/>
      <c r="O142" s="3036"/>
    </row>
    <row r="143" spans="1:15" s="237" customFormat="1" ht="15" hidden="1" customHeight="1" thickBot="1">
      <c r="A143" s="3433"/>
      <c r="B143" s="2067" t="s">
        <v>21</v>
      </c>
      <c r="C143" s="2921"/>
      <c r="D143" s="251"/>
      <c r="E143" s="251">
        <v>0</v>
      </c>
      <c r="F143" s="73"/>
      <c r="G143" s="73"/>
      <c r="H143" s="73"/>
      <c r="I143" s="73"/>
      <c r="J143" s="73">
        <v>0</v>
      </c>
      <c r="K143" s="73">
        <v>0</v>
      </c>
      <c r="L143" s="73">
        <v>0</v>
      </c>
      <c r="M143" s="2875"/>
      <c r="N143" s="2875"/>
      <c r="O143" s="3037"/>
    </row>
    <row r="144" spans="1:15" s="237" customFormat="1" ht="22.5" customHeight="1">
      <c r="A144" s="3434" t="s">
        <v>91</v>
      </c>
      <c r="B144" s="187" t="s">
        <v>416</v>
      </c>
      <c r="C144" s="2064" t="s">
        <v>109</v>
      </c>
      <c r="D144" s="842"/>
      <c r="E144" s="1916"/>
      <c r="F144" s="844"/>
      <c r="G144" s="844"/>
      <c r="H144" s="844"/>
      <c r="I144" s="843"/>
      <c r="J144" s="843"/>
      <c r="K144" s="843"/>
      <c r="L144" s="843"/>
      <c r="M144" s="845"/>
      <c r="N144" s="845"/>
      <c r="O144" s="3035" t="s">
        <v>355</v>
      </c>
    </row>
    <row r="145" spans="1:16" s="237" customFormat="1" ht="15" customHeight="1">
      <c r="A145" s="3432"/>
      <c r="B145" s="30" t="s">
        <v>10</v>
      </c>
      <c r="C145" s="22"/>
      <c r="D145" s="200">
        <f>+D146+D150</f>
        <v>637040</v>
      </c>
      <c r="E145" s="200">
        <f t="shared" ref="E145" si="90">+E146+E150</f>
        <v>0</v>
      </c>
      <c r="F145" s="200">
        <f t="shared" ref="F145:L145" si="91">+F146+F150</f>
        <v>14340</v>
      </c>
      <c r="G145" s="200">
        <f t="shared" si="91"/>
        <v>184907</v>
      </c>
      <c r="H145" s="200">
        <f t="shared" si="91"/>
        <v>372867</v>
      </c>
      <c r="I145" s="200">
        <f t="shared" si="91"/>
        <v>64926</v>
      </c>
      <c r="J145" s="1776">
        <f t="shared" si="91"/>
        <v>0</v>
      </c>
      <c r="K145" s="1776">
        <f t="shared" si="91"/>
        <v>0</v>
      </c>
      <c r="L145" s="1776">
        <f t="shared" si="91"/>
        <v>0</v>
      </c>
      <c r="M145" s="66">
        <f>+M146+M150</f>
        <v>637040</v>
      </c>
      <c r="N145" s="66">
        <f>+N146+N150</f>
        <v>622700</v>
      </c>
      <c r="O145" s="3036"/>
      <c r="P145" s="237" t="s">
        <v>356</v>
      </c>
    </row>
    <row r="146" spans="1:16" s="237" customFormat="1" ht="15" customHeight="1">
      <c r="A146" s="3432"/>
      <c r="B146" s="851" t="s">
        <v>24</v>
      </c>
      <c r="C146" s="2887" t="s">
        <v>407</v>
      </c>
      <c r="D146" s="316">
        <f>SUM(D147)</f>
        <v>96449</v>
      </c>
      <c r="E146" s="316">
        <f t="shared" ref="E146:L146" si="92">SUM(E147)</f>
        <v>0</v>
      </c>
      <c r="F146" s="316">
        <f t="shared" si="92"/>
        <v>2151</v>
      </c>
      <c r="G146" s="316">
        <f t="shared" si="92"/>
        <v>28034</v>
      </c>
      <c r="H146" s="316">
        <f t="shared" si="92"/>
        <v>56227</v>
      </c>
      <c r="I146" s="316">
        <f t="shared" si="92"/>
        <v>10037</v>
      </c>
      <c r="J146" s="1777">
        <f t="shared" si="92"/>
        <v>0</v>
      </c>
      <c r="K146" s="1777">
        <f t="shared" si="92"/>
        <v>0</v>
      </c>
      <c r="L146" s="1777">
        <f t="shared" si="92"/>
        <v>0</v>
      </c>
      <c r="M146" s="313">
        <f>+M147</f>
        <v>96449</v>
      </c>
      <c r="N146" s="313">
        <f>+N147</f>
        <v>94298</v>
      </c>
      <c r="O146" s="3036"/>
    </row>
    <row r="147" spans="1:16" s="237" customFormat="1" ht="12.75">
      <c r="A147" s="3432"/>
      <c r="B147" s="852" t="s">
        <v>12</v>
      </c>
      <c r="C147" s="2947"/>
      <c r="D147" s="251">
        <f>E147+F147+G147+H147+I147+J147+K147+L147</f>
        <v>96449</v>
      </c>
      <c r="E147" s="251">
        <v>0</v>
      </c>
      <c r="F147" s="251">
        <f t="shared" ref="F147:L147" si="93">SUM(F148:F149)</f>
        <v>2151</v>
      </c>
      <c r="G147" s="251">
        <f t="shared" si="93"/>
        <v>28034</v>
      </c>
      <c r="H147" s="251">
        <f t="shared" si="93"/>
        <v>56227</v>
      </c>
      <c r="I147" s="251">
        <f t="shared" si="93"/>
        <v>10037</v>
      </c>
      <c r="J147" s="1778">
        <f t="shared" si="93"/>
        <v>0</v>
      </c>
      <c r="K147" s="1778">
        <f t="shared" si="93"/>
        <v>0</v>
      </c>
      <c r="L147" s="1778">
        <f t="shared" si="93"/>
        <v>0</v>
      </c>
      <c r="M147" s="839">
        <f>+M148+M149</f>
        <v>96449</v>
      </c>
      <c r="N147" s="839">
        <f>+N148+N149</f>
        <v>94298</v>
      </c>
      <c r="O147" s="3036"/>
    </row>
    <row r="148" spans="1:16" s="237" customFormat="1" ht="15" hidden="1" customHeight="1">
      <c r="A148" s="3432"/>
      <c r="B148" s="1779" t="s">
        <v>408</v>
      </c>
      <c r="C148" s="2947"/>
      <c r="D148" s="1034">
        <f>SUM(E148:L148)</f>
        <v>78163</v>
      </c>
      <c r="E148" s="1918">
        <v>0</v>
      </c>
      <c r="F148" s="1080">
        <v>2151</v>
      </c>
      <c r="G148" s="1080">
        <v>22007</v>
      </c>
      <c r="H148" s="1080">
        <v>45779</v>
      </c>
      <c r="I148" s="1080">
        <v>8226</v>
      </c>
      <c r="J148" s="1780">
        <v>0</v>
      </c>
      <c r="K148" s="1780">
        <v>0</v>
      </c>
      <c r="L148" s="1780">
        <v>0</v>
      </c>
      <c r="M148" s="839">
        <f>SUM(F148:K148)</f>
        <v>78163</v>
      </c>
      <c r="N148" s="839">
        <f>SUM(G148:L148)</f>
        <v>76012</v>
      </c>
      <c r="O148" s="3036"/>
    </row>
    <row r="149" spans="1:16" s="237" customFormat="1" ht="15" hidden="1" customHeight="1">
      <c r="A149" s="3432"/>
      <c r="B149" s="1779" t="s">
        <v>270</v>
      </c>
      <c r="C149" s="2947"/>
      <c r="D149" s="1034">
        <v>18286</v>
      </c>
      <c r="E149" s="1918">
        <v>0</v>
      </c>
      <c r="F149" s="1781">
        <v>0</v>
      </c>
      <c r="G149" s="1080">
        <v>6027</v>
      </c>
      <c r="H149" s="1080">
        <v>10448</v>
      </c>
      <c r="I149" s="1080">
        <v>1811</v>
      </c>
      <c r="J149" s="1780">
        <v>0</v>
      </c>
      <c r="K149" s="1780">
        <v>0</v>
      </c>
      <c r="L149" s="1780">
        <v>0</v>
      </c>
      <c r="M149" s="839">
        <f>SUM(F149:K149)</f>
        <v>18286</v>
      </c>
      <c r="N149" s="839">
        <f>SUM(G149:L149)</f>
        <v>18286</v>
      </c>
      <c r="O149" s="3036"/>
    </row>
    <row r="150" spans="1:16" s="237" customFormat="1" ht="12.75">
      <c r="A150" s="3432"/>
      <c r="B150" s="701" t="s">
        <v>18</v>
      </c>
      <c r="C150" s="2947"/>
      <c r="D150" s="50">
        <f>SUM(E150:L150)</f>
        <v>540591</v>
      </c>
      <c r="E150" s="50">
        <f t="shared" ref="E150:L150" si="94">SUM(E151)</f>
        <v>0</v>
      </c>
      <c r="F150" s="50">
        <f t="shared" si="94"/>
        <v>12189</v>
      </c>
      <c r="G150" s="50">
        <f t="shared" si="94"/>
        <v>156873</v>
      </c>
      <c r="H150" s="50">
        <f t="shared" si="94"/>
        <v>316640</v>
      </c>
      <c r="I150" s="50">
        <f t="shared" si="94"/>
        <v>54889</v>
      </c>
      <c r="J150" s="1782">
        <f t="shared" si="94"/>
        <v>0</v>
      </c>
      <c r="K150" s="1782">
        <f t="shared" si="94"/>
        <v>0</v>
      </c>
      <c r="L150" s="1782">
        <f t="shared" si="94"/>
        <v>0</v>
      </c>
      <c r="M150" s="313">
        <f>+M151</f>
        <v>540591</v>
      </c>
      <c r="N150" s="313">
        <f>+N151</f>
        <v>528402</v>
      </c>
      <c r="O150" s="3036"/>
    </row>
    <row r="151" spans="1:16" s="237" customFormat="1" ht="12.75">
      <c r="A151" s="3432"/>
      <c r="B151" s="2484" t="s">
        <v>21</v>
      </c>
      <c r="C151" s="2947"/>
      <c r="D151" s="251">
        <f>E151+F151+G151+H151+I151+J151+K151+L151</f>
        <v>540591</v>
      </c>
      <c r="E151" s="251">
        <v>0</v>
      </c>
      <c r="F151" s="1784">
        <f t="shared" ref="F151:L151" si="95">SUM(F152:F153)</f>
        <v>12189</v>
      </c>
      <c r="G151" s="1784">
        <f t="shared" si="95"/>
        <v>156873</v>
      </c>
      <c r="H151" s="1784">
        <f t="shared" si="95"/>
        <v>316640</v>
      </c>
      <c r="I151" s="1784">
        <f t="shared" si="95"/>
        <v>54889</v>
      </c>
      <c r="J151" s="1898">
        <f t="shared" si="95"/>
        <v>0</v>
      </c>
      <c r="K151" s="1898">
        <f t="shared" si="95"/>
        <v>0</v>
      </c>
      <c r="L151" s="1898">
        <f t="shared" si="95"/>
        <v>0</v>
      </c>
      <c r="M151" s="839">
        <f>SUM(F151:K151)</f>
        <v>540591</v>
      </c>
      <c r="N151" s="839">
        <f>SUM(G151:L151)</f>
        <v>528402</v>
      </c>
      <c r="O151" s="3036"/>
    </row>
    <row r="152" spans="1:16" s="237" customFormat="1" ht="15" hidden="1" customHeight="1">
      <c r="A152" s="3458"/>
      <c r="B152" s="1783" t="s">
        <v>408</v>
      </c>
      <c r="C152" s="3459"/>
      <c r="D152" s="1784">
        <f>SUM(E152:L152)</f>
        <v>436968</v>
      </c>
      <c r="E152" s="1919">
        <v>0</v>
      </c>
      <c r="F152" s="1785">
        <v>12189</v>
      </c>
      <c r="G152" s="1785">
        <v>122723</v>
      </c>
      <c r="H152" s="1785">
        <v>257431</v>
      </c>
      <c r="I152" s="1785">
        <v>44625</v>
      </c>
      <c r="J152" s="1786">
        <v>0</v>
      </c>
      <c r="K152" s="1786">
        <v>0</v>
      </c>
      <c r="L152" s="1786">
        <v>0</v>
      </c>
      <c r="M152" s="66">
        <f t="shared" ref="M152:N153" si="96">SUM(E152:K152)</f>
        <v>436968</v>
      </c>
      <c r="N152" s="66">
        <f t="shared" si="96"/>
        <v>436968</v>
      </c>
      <c r="O152" s="3036"/>
    </row>
    <row r="153" spans="1:16" s="237" customFormat="1" ht="15" hidden="1" customHeight="1">
      <c r="A153" s="3458"/>
      <c r="B153" s="1787" t="s">
        <v>270</v>
      </c>
      <c r="C153" s="3460"/>
      <c r="D153" s="251">
        <f>SUM(E153:L153)</f>
        <v>103623</v>
      </c>
      <c r="E153" s="1920">
        <v>0</v>
      </c>
      <c r="F153" s="1788">
        <v>0</v>
      </c>
      <c r="G153" s="793">
        <v>34150</v>
      </c>
      <c r="H153" s="793">
        <v>59209</v>
      </c>
      <c r="I153" s="793">
        <v>10264</v>
      </c>
      <c r="J153" s="1789">
        <v>0</v>
      </c>
      <c r="K153" s="1789">
        <v>0</v>
      </c>
      <c r="L153" s="1789">
        <v>0</v>
      </c>
      <c r="M153" s="66">
        <f t="shared" si="96"/>
        <v>103623</v>
      </c>
      <c r="N153" s="66">
        <f t="shared" si="96"/>
        <v>103623</v>
      </c>
      <c r="O153" s="3425"/>
    </row>
    <row r="154" spans="1:16" s="237" customFormat="1" ht="15" customHeight="1">
      <c r="A154" s="3432"/>
      <c r="B154" s="83" t="s">
        <v>22</v>
      </c>
      <c r="C154" s="22"/>
      <c r="D154" s="200">
        <f>SUM(E154:L154)</f>
        <v>540591</v>
      </c>
      <c r="E154" s="200">
        <f t="shared" ref="E154:L154" si="97">+E155</f>
        <v>0</v>
      </c>
      <c r="F154" s="1776">
        <f t="shared" si="97"/>
        <v>0</v>
      </c>
      <c r="G154" s="200">
        <f t="shared" si="97"/>
        <v>69700</v>
      </c>
      <c r="H154" s="200">
        <f t="shared" si="97"/>
        <v>353818</v>
      </c>
      <c r="I154" s="200">
        <f t="shared" si="97"/>
        <v>117073</v>
      </c>
      <c r="J154" s="1776">
        <f t="shared" si="97"/>
        <v>0</v>
      </c>
      <c r="K154" s="1776">
        <f t="shared" si="97"/>
        <v>0</v>
      </c>
      <c r="L154" s="1776">
        <f t="shared" si="97"/>
        <v>0</v>
      </c>
      <c r="M154" s="2873"/>
      <c r="N154" s="2873"/>
      <c r="O154" s="3461" t="s">
        <v>199</v>
      </c>
    </row>
    <row r="155" spans="1:16" s="237" customFormat="1" ht="15" customHeight="1">
      <c r="A155" s="3432"/>
      <c r="B155" s="174" t="s">
        <v>18</v>
      </c>
      <c r="C155" s="3427" t="s">
        <v>172</v>
      </c>
      <c r="D155" s="50">
        <f>SUM(E155:L155)</f>
        <v>540591</v>
      </c>
      <c r="E155" s="50">
        <f t="shared" ref="E155:L155" si="98">SUM(E156)</f>
        <v>0</v>
      </c>
      <c r="F155" s="1782">
        <f t="shared" si="98"/>
        <v>0</v>
      </c>
      <c r="G155" s="50">
        <f t="shared" si="98"/>
        <v>69700</v>
      </c>
      <c r="H155" s="50">
        <f t="shared" si="98"/>
        <v>353818</v>
      </c>
      <c r="I155" s="50">
        <f t="shared" si="98"/>
        <v>117073</v>
      </c>
      <c r="J155" s="1782">
        <f t="shared" si="98"/>
        <v>0</v>
      </c>
      <c r="K155" s="1782">
        <f t="shared" si="98"/>
        <v>0</v>
      </c>
      <c r="L155" s="1782">
        <f t="shared" si="98"/>
        <v>0</v>
      </c>
      <c r="M155" s="2874"/>
      <c r="N155" s="2874"/>
      <c r="O155" s="3036"/>
    </row>
    <row r="156" spans="1:16" s="237" customFormat="1" ht="13.5" thickBot="1">
      <c r="A156" s="3433"/>
      <c r="B156" s="2067" t="s">
        <v>21</v>
      </c>
      <c r="C156" s="2921"/>
      <c r="D156" s="251">
        <f>E156+F156+G156+H156+I156+J156+K156+L156</f>
        <v>540591</v>
      </c>
      <c r="E156" s="251">
        <v>0</v>
      </c>
      <c r="F156" s="1790">
        <v>0</v>
      </c>
      <c r="G156" s="73">
        <v>69700</v>
      </c>
      <c r="H156" s="73">
        <v>353818</v>
      </c>
      <c r="I156" s="73">
        <v>117073</v>
      </c>
      <c r="J156" s="1790">
        <v>0</v>
      </c>
      <c r="K156" s="1790">
        <v>0</v>
      </c>
      <c r="L156" s="1790">
        <v>0</v>
      </c>
      <c r="M156" s="2875"/>
      <c r="N156" s="2875"/>
      <c r="O156" s="3037"/>
    </row>
    <row r="157" spans="1:16" s="237" customFormat="1" ht="24" customHeight="1">
      <c r="A157" s="3431" t="s">
        <v>92</v>
      </c>
      <c r="B157" s="187" t="s">
        <v>416</v>
      </c>
      <c r="C157" s="2064" t="s">
        <v>81</v>
      </c>
      <c r="D157" s="842"/>
      <c r="E157" s="1916"/>
      <c r="F157" s="844"/>
      <c r="G157" s="844"/>
      <c r="H157" s="844"/>
      <c r="I157" s="843"/>
      <c r="J157" s="843"/>
      <c r="K157" s="843"/>
      <c r="L157" s="843"/>
      <c r="M157" s="845"/>
      <c r="N157" s="845"/>
      <c r="O157" s="3035" t="s">
        <v>199</v>
      </c>
      <c r="P157" s="237" t="s">
        <v>413</v>
      </c>
    </row>
    <row r="158" spans="1:16" s="237" customFormat="1" ht="15" customHeight="1">
      <c r="A158" s="3432"/>
      <c r="B158" s="2016" t="s">
        <v>10</v>
      </c>
      <c r="C158" s="2017"/>
      <c r="D158" s="2018">
        <f>SUM(E158:L158)</f>
        <v>15960</v>
      </c>
      <c r="E158" s="2516">
        <f>SUM(E159,E161)</f>
        <v>0</v>
      </c>
      <c r="F158" s="2489">
        <f t="shared" ref="F158:L158" si="99">F159+F161</f>
        <v>0</v>
      </c>
      <c r="G158" s="2516">
        <f>SUM(G159,G161)</f>
        <v>15960</v>
      </c>
      <c r="H158" s="2489">
        <f t="shared" si="99"/>
        <v>0</v>
      </c>
      <c r="I158" s="2489">
        <f t="shared" si="99"/>
        <v>0</v>
      </c>
      <c r="J158" s="2489">
        <f t="shared" si="99"/>
        <v>0</v>
      </c>
      <c r="K158" s="2489">
        <f t="shared" si="99"/>
        <v>0</v>
      </c>
      <c r="L158" s="2489">
        <f t="shared" si="99"/>
        <v>0</v>
      </c>
      <c r="M158" s="2019">
        <f>+M159+M161</f>
        <v>15960</v>
      </c>
      <c r="N158" s="2019">
        <f>+N159+N161</f>
        <v>15960</v>
      </c>
      <c r="O158" s="3036"/>
    </row>
    <row r="159" spans="1:16" s="237" customFormat="1" ht="15" customHeight="1">
      <c r="A159" s="3432"/>
      <c r="B159" s="2020" t="s">
        <v>24</v>
      </c>
      <c r="C159" s="2920" t="s">
        <v>172</v>
      </c>
      <c r="D159" s="2021">
        <f>SUM(E159:L159)</f>
        <v>2394</v>
      </c>
      <c r="E159" s="2517">
        <f t="shared" ref="E159:L159" si="100">E160</f>
        <v>0</v>
      </c>
      <c r="F159" s="2518">
        <f t="shared" si="100"/>
        <v>0</v>
      </c>
      <c r="G159" s="2517">
        <f t="shared" si="100"/>
        <v>2394</v>
      </c>
      <c r="H159" s="2518">
        <f t="shared" si="100"/>
        <v>0</v>
      </c>
      <c r="I159" s="2518">
        <f t="shared" si="100"/>
        <v>0</v>
      </c>
      <c r="J159" s="2518">
        <f t="shared" si="100"/>
        <v>0</v>
      </c>
      <c r="K159" s="2518">
        <f t="shared" si="100"/>
        <v>0</v>
      </c>
      <c r="L159" s="2518">
        <f t="shared" si="100"/>
        <v>0</v>
      </c>
      <c r="M159" s="2022">
        <f>+M160</f>
        <v>2394</v>
      </c>
      <c r="N159" s="2022">
        <f>+N160</f>
        <v>2394</v>
      </c>
      <c r="O159" s="3036"/>
    </row>
    <row r="160" spans="1:16" s="237" customFormat="1" ht="11.25" customHeight="1">
      <c r="A160" s="3432"/>
      <c r="B160" s="2023" t="s">
        <v>12</v>
      </c>
      <c r="C160" s="2947"/>
      <c r="D160" s="1926">
        <f>E160+F160+G160+H160+I160+J160+K160+L160</f>
        <v>2394</v>
      </c>
      <c r="E160" s="1926">
        <v>0</v>
      </c>
      <c r="F160" s="2519">
        <v>0</v>
      </c>
      <c r="G160" s="2520">
        <v>2394</v>
      </c>
      <c r="H160" s="2519">
        <v>0</v>
      </c>
      <c r="I160" s="2519">
        <v>0</v>
      </c>
      <c r="J160" s="2519">
        <v>0</v>
      </c>
      <c r="K160" s="2519">
        <v>0</v>
      </c>
      <c r="L160" s="2519">
        <v>0</v>
      </c>
      <c r="M160" s="2515">
        <f>SUM(F160:K160)</f>
        <v>2394</v>
      </c>
      <c r="N160" s="2515">
        <f>SUM(G160:L160)</f>
        <v>2394</v>
      </c>
      <c r="O160" s="3036"/>
    </row>
    <row r="161" spans="1:16" s="237" customFormat="1" ht="12.75" customHeight="1">
      <c r="A161" s="3432"/>
      <c r="B161" s="2025" t="s">
        <v>18</v>
      </c>
      <c r="C161" s="2947"/>
      <c r="D161" s="2021">
        <f>SUM(E161:L161)</f>
        <v>13566</v>
      </c>
      <c r="E161" s="2517">
        <f>E162</f>
        <v>0</v>
      </c>
      <c r="F161" s="2518">
        <v>0</v>
      </c>
      <c r="G161" s="2517">
        <f>G162</f>
        <v>13566</v>
      </c>
      <c r="H161" s="2518">
        <v>0</v>
      </c>
      <c r="I161" s="2518">
        <v>0</v>
      </c>
      <c r="J161" s="2518">
        <v>0</v>
      </c>
      <c r="K161" s="2518">
        <v>0</v>
      </c>
      <c r="L161" s="2518">
        <v>0</v>
      </c>
      <c r="M161" s="2022">
        <f>+M162</f>
        <v>13566</v>
      </c>
      <c r="N161" s="2022">
        <f>+N162</f>
        <v>13566</v>
      </c>
      <c r="O161" s="3036"/>
    </row>
    <row r="162" spans="1:16" s="237" customFormat="1" ht="12.75">
      <c r="A162" s="3432"/>
      <c r="B162" s="285" t="s">
        <v>21</v>
      </c>
      <c r="C162" s="2922"/>
      <c r="D162" s="1926">
        <f>E162+F162+G162+H162+I162+J162+K162+L162</f>
        <v>13566</v>
      </c>
      <c r="E162" s="1926">
        <v>0</v>
      </c>
      <c r="F162" s="2519">
        <v>0</v>
      </c>
      <c r="G162" s="2520">
        <v>13566</v>
      </c>
      <c r="H162" s="2519">
        <v>0</v>
      </c>
      <c r="I162" s="2519">
        <v>0</v>
      </c>
      <c r="J162" s="2519">
        <v>0</v>
      </c>
      <c r="K162" s="2519">
        <v>0</v>
      </c>
      <c r="L162" s="2519">
        <v>0</v>
      </c>
      <c r="M162" s="2515">
        <f>SUM(F162:K162)</f>
        <v>13566</v>
      </c>
      <c r="N162" s="2515">
        <f>SUM(G162:L162)</f>
        <v>13566</v>
      </c>
      <c r="O162" s="3425"/>
    </row>
    <row r="163" spans="1:16" s="237" customFormat="1" ht="15" customHeight="1">
      <c r="A163" s="3432"/>
      <c r="B163" s="728" t="s">
        <v>22</v>
      </c>
      <c r="C163" s="2017"/>
      <c r="D163" s="2018">
        <f>SUM(E163:L163)</f>
        <v>13566</v>
      </c>
      <c r="E163" s="2516">
        <f t="shared" ref="E163:L164" si="101">E164</f>
        <v>0</v>
      </c>
      <c r="F163" s="2489">
        <f t="shared" si="101"/>
        <v>0</v>
      </c>
      <c r="G163" s="2516">
        <f t="shared" si="101"/>
        <v>13566</v>
      </c>
      <c r="H163" s="2489">
        <f t="shared" si="101"/>
        <v>0</v>
      </c>
      <c r="I163" s="2489">
        <f t="shared" si="101"/>
        <v>0</v>
      </c>
      <c r="J163" s="2489">
        <f t="shared" si="101"/>
        <v>0</v>
      </c>
      <c r="K163" s="2489">
        <f t="shared" si="101"/>
        <v>0</v>
      </c>
      <c r="L163" s="2489">
        <f t="shared" si="101"/>
        <v>0</v>
      </c>
      <c r="M163" s="2901"/>
      <c r="N163" s="2901"/>
      <c r="O163" s="3036" t="s">
        <v>199</v>
      </c>
    </row>
    <row r="164" spans="1:16" s="237" customFormat="1" ht="12.75" customHeight="1">
      <c r="A164" s="3432"/>
      <c r="B164" s="694" t="s">
        <v>18</v>
      </c>
      <c r="C164" s="2974" t="s">
        <v>172</v>
      </c>
      <c r="D164" s="2021">
        <f>SUM(E164:L164)</f>
        <v>13566</v>
      </c>
      <c r="E164" s="2521">
        <f t="shared" si="101"/>
        <v>0</v>
      </c>
      <c r="F164" s="2128">
        <f t="shared" si="101"/>
        <v>0</v>
      </c>
      <c r="G164" s="2521">
        <f t="shared" si="101"/>
        <v>13566</v>
      </c>
      <c r="H164" s="2128">
        <f t="shared" si="101"/>
        <v>0</v>
      </c>
      <c r="I164" s="2128">
        <f t="shared" si="101"/>
        <v>0</v>
      </c>
      <c r="J164" s="2128">
        <f t="shared" si="101"/>
        <v>0</v>
      </c>
      <c r="K164" s="2128">
        <f t="shared" si="101"/>
        <v>0</v>
      </c>
      <c r="L164" s="2128">
        <f t="shared" si="101"/>
        <v>0</v>
      </c>
      <c r="M164" s="2874"/>
      <c r="N164" s="2874"/>
      <c r="O164" s="3036"/>
    </row>
    <row r="165" spans="1:16" s="237" customFormat="1" ht="12" customHeight="1" thickBot="1">
      <c r="A165" s="3433"/>
      <c r="B165" s="2067" t="s">
        <v>21</v>
      </c>
      <c r="C165" s="2921"/>
      <c r="D165" s="2222">
        <f>E165+F165+G165+H165+I165+J165+K165+L165</f>
        <v>13566</v>
      </c>
      <c r="E165" s="2222">
        <v>0</v>
      </c>
      <c r="F165" s="2223">
        <v>0</v>
      </c>
      <c r="G165" s="2522">
        <v>13566</v>
      </c>
      <c r="H165" s="2223">
        <v>0</v>
      </c>
      <c r="I165" s="2223">
        <v>0</v>
      </c>
      <c r="J165" s="2223">
        <v>0</v>
      </c>
      <c r="K165" s="2223">
        <v>0</v>
      </c>
      <c r="L165" s="2223">
        <v>0</v>
      </c>
      <c r="M165" s="2875"/>
      <c r="N165" s="2875"/>
      <c r="O165" s="3037"/>
    </row>
    <row r="166" spans="1:16" s="237" customFormat="1" ht="40.5" customHeight="1">
      <c r="A166" s="3431" t="s">
        <v>93</v>
      </c>
      <c r="B166" s="187" t="s">
        <v>417</v>
      </c>
      <c r="C166" s="2064" t="s">
        <v>109</v>
      </c>
      <c r="D166" s="842"/>
      <c r="E166" s="1916"/>
      <c r="F166" s="844"/>
      <c r="G166" s="844"/>
      <c r="H166" s="844"/>
      <c r="I166" s="843"/>
      <c r="J166" s="843"/>
      <c r="K166" s="843"/>
      <c r="L166" s="843"/>
      <c r="M166" s="845"/>
      <c r="N166" s="845"/>
      <c r="O166" s="3035" t="s">
        <v>355</v>
      </c>
    </row>
    <row r="167" spans="1:16" s="237" customFormat="1" ht="15" customHeight="1">
      <c r="A167" s="3432"/>
      <c r="B167" s="2016" t="s">
        <v>10</v>
      </c>
      <c r="C167" s="2017"/>
      <c r="D167" s="2018">
        <f>+D168+D172</f>
        <v>1276500</v>
      </c>
      <c r="E167" s="2018">
        <f t="shared" ref="E167" si="102">+E168+E172</f>
        <v>0</v>
      </c>
      <c r="F167" s="2018">
        <f t="shared" ref="F167:L167" si="103">+F168+F172</f>
        <v>25830</v>
      </c>
      <c r="G167" s="2018">
        <f t="shared" si="103"/>
        <v>545213</v>
      </c>
      <c r="H167" s="2018">
        <f t="shared" si="103"/>
        <v>671780</v>
      </c>
      <c r="I167" s="2018">
        <f t="shared" si="103"/>
        <v>33677</v>
      </c>
      <c r="J167" s="2028">
        <f t="shared" si="103"/>
        <v>0</v>
      </c>
      <c r="K167" s="2028">
        <f t="shared" si="103"/>
        <v>0</v>
      </c>
      <c r="L167" s="2028">
        <f t="shared" si="103"/>
        <v>0</v>
      </c>
      <c r="M167" s="2019">
        <f>+M168+M172</f>
        <v>1276500</v>
      </c>
      <c r="N167" s="2019">
        <f>+N168+N172</f>
        <v>1250670</v>
      </c>
      <c r="O167" s="3036"/>
      <c r="P167" s="237" t="s">
        <v>356</v>
      </c>
    </row>
    <row r="168" spans="1:16" s="237" customFormat="1" ht="15" customHeight="1">
      <c r="A168" s="3432"/>
      <c r="B168" s="2020" t="s">
        <v>24</v>
      </c>
      <c r="C168" s="2920" t="s">
        <v>407</v>
      </c>
      <c r="D168" s="2021">
        <f>SUM(D169)</f>
        <v>191898</v>
      </c>
      <c r="E168" s="2021">
        <f t="shared" ref="E168:L168" si="104">SUM(E169)</f>
        <v>0</v>
      </c>
      <c r="F168" s="2021">
        <f t="shared" si="104"/>
        <v>3874</v>
      </c>
      <c r="G168" s="2021">
        <f t="shared" si="104"/>
        <v>81952</v>
      </c>
      <c r="H168" s="2021">
        <f t="shared" si="104"/>
        <v>100937</v>
      </c>
      <c r="I168" s="2021">
        <f t="shared" si="104"/>
        <v>5135</v>
      </c>
      <c r="J168" s="2029">
        <f t="shared" si="104"/>
        <v>0</v>
      </c>
      <c r="K168" s="2029">
        <f t="shared" si="104"/>
        <v>0</v>
      </c>
      <c r="L168" s="2029">
        <f t="shared" si="104"/>
        <v>0</v>
      </c>
      <c r="M168" s="313">
        <f>+M169</f>
        <v>191898</v>
      </c>
      <c r="N168" s="313">
        <f>+N169</f>
        <v>188024</v>
      </c>
      <c r="O168" s="3036"/>
    </row>
    <row r="169" spans="1:16" s="237" customFormat="1" ht="12" customHeight="1">
      <c r="A169" s="3432"/>
      <c r="B169" s="2023" t="s">
        <v>12</v>
      </c>
      <c r="C169" s="2947"/>
      <c r="D169" s="1926">
        <f>E169+F169+G169+H169+I169+J169+K169+L169</f>
        <v>191898</v>
      </c>
      <c r="E169" s="1926">
        <v>0</v>
      </c>
      <c r="F169" s="1926">
        <f t="shared" ref="F169:L169" si="105">SUM(F170:F171)</f>
        <v>3874</v>
      </c>
      <c r="G169" s="1926">
        <f t="shared" si="105"/>
        <v>81952</v>
      </c>
      <c r="H169" s="1926">
        <f t="shared" si="105"/>
        <v>100937</v>
      </c>
      <c r="I169" s="1926">
        <f t="shared" si="105"/>
        <v>5135</v>
      </c>
      <c r="J169" s="2030">
        <f t="shared" si="105"/>
        <v>0</v>
      </c>
      <c r="K169" s="2030">
        <f t="shared" si="105"/>
        <v>0</v>
      </c>
      <c r="L169" s="2030">
        <f t="shared" si="105"/>
        <v>0</v>
      </c>
      <c r="M169" s="839">
        <f>+M170+M171</f>
        <v>191898</v>
      </c>
      <c r="N169" s="839">
        <f>+N170+N171</f>
        <v>188024</v>
      </c>
      <c r="O169" s="3036"/>
    </row>
    <row r="170" spans="1:16" s="237" customFormat="1" ht="15" hidden="1" customHeight="1">
      <c r="A170" s="3432"/>
      <c r="B170" s="2031" t="s">
        <v>408</v>
      </c>
      <c r="C170" s="2947"/>
      <c r="D170" s="1926">
        <f>SUM(E170:L170)</f>
        <v>156108</v>
      </c>
      <c r="E170" s="2032">
        <v>0</v>
      </c>
      <c r="F170" s="2024">
        <v>3150</v>
      </c>
      <c r="G170" s="2024">
        <v>66665</v>
      </c>
      <c r="H170" s="2024">
        <v>82100</v>
      </c>
      <c r="I170" s="2024">
        <v>4193</v>
      </c>
      <c r="J170" s="2033">
        <v>0</v>
      </c>
      <c r="K170" s="2033">
        <v>0</v>
      </c>
      <c r="L170" s="2033">
        <v>0</v>
      </c>
      <c r="M170" s="839">
        <f>SUM(F170:K170)</f>
        <v>156108</v>
      </c>
      <c r="N170" s="839">
        <f>SUM(G170:L170)</f>
        <v>152958</v>
      </c>
      <c r="O170" s="3036"/>
    </row>
    <row r="171" spans="1:16" s="237" customFormat="1" ht="15" hidden="1" customHeight="1">
      <c r="A171" s="3432"/>
      <c r="B171" s="2031" t="s">
        <v>270</v>
      </c>
      <c r="C171" s="2947"/>
      <c r="D171" s="1926">
        <f>SUM(E171:L171)</f>
        <v>35790</v>
      </c>
      <c r="E171" s="2032">
        <v>0</v>
      </c>
      <c r="F171" s="2024">
        <v>724</v>
      </c>
      <c r="G171" s="2024">
        <v>15287</v>
      </c>
      <c r="H171" s="2024">
        <v>18837</v>
      </c>
      <c r="I171" s="2024">
        <v>942</v>
      </c>
      <c r="J171" s="2033">
        <v>0</v>
      </c>
      <c r="K171" s="2033">
        <v>0</v>
      </c>
      <c r="L171" s="2033">
        <v>0</v>
      </c>
      <c r="M171" s="839">
        <f>SUM(F171:K171)</f>
        <v>35790</v>
      </c>
      <c r="N171" s="839">
        <f>SUM(G171:L171)</f>
        <v>35066</v>
      </c>
      <c r="O171" s="3036"/>
    </row>
    <row r="172" spans="1:16" s="237" customFormat="1" ht="15" customHeight="1">
      <c r="A172" s="3432"/>
      <c r="B172" s="2025" t="s">
        <v>18</v>
      </c>
      <c r="C172" s="2947"/>
      <c r="D172" s="2021">
        <f>SUM(E172:L172)</f>
        <v>1084602</v>
      </c>
      <c r="E172" s="2021">
        <f t="shared" ref="E172:L172" si="106">SUM(E173)</f>
        <v>0</v>
      </c>
      <c r="F172" s="2021">
        <f t="shared" si="106"/>
        <v>21956</v>
      </c>
      <c r="G172" s="2021">
        <f t="shared" si="106"/>
        <v>463261</v>
      </c>
      <c r="H172" s="2021">
        <f t="shared" si="106"/>
        <v>570843</v>
      </c>
      <c r="I172" s="2021">
        <f t="shared" si="106"/>
        <v>28542</v>
      </c>
      <c r="J172" s="2029">
        <f t="shared" si="106"/>
        <v>0</v>
      </c>
      <c r="K172" s="2029">
        <f t="shared" si="106"/>
        <v>0</v>
      </c>
      <c r="L172" s="2029">
        <f t="shared" si="106"/>
        <v>0</v>
      </c>
      <c r="M172" s="313">
        <f>+M173</f>
        <v>1084602</v>
      </c>
      <c r="N172" s="313">
        <f>+N173</f>
        <v>1062646</v>
      </c>
      <c r="O172" s="3036"/>
    </row>
    <row r="173" spans="1:16" s="237" customFormat="1" ht="15" customHeight="1">
      <c r="A173" s="3432"/>
      <c r="B173" s="285" t="s">
        <v>21</v>
      </c>
      <c r="C173" s="2947"/>
      <c r="D173" s="1926">
        <f>E173+F173+G173+H173+I173+J173+K173+L173</f>
        <v>1084602</v>
      </c>
      <c r="E173" s="1926">
        <v>0</v>
      </c>
      <c r="F173" s="2034">
        <f t="shared" ref="F173:L173" si="107">SUM(F174:F175)</f>
        <v>21956</v>
      </c>
      <c r="G173" s="2034">
        <f t="shared" si="107"/>
        <v>463261</v>
      </c>
      <c r="H173" s="2034">
        <f t="shared" si="107"/>
        <v>570843</v>
      </c>
      <c r="I173" s="2034">
        <f t="shared" si="107"/>
        <v>28542</v>
      </c>
      <c r="J173" s="2035">
        <f t="shared" si="107"/>
        <v>0</v>
      </c>
      <c r="K173" s="2035">
        <f t="shared" si="107"/>
        <v>0</v>
      </c>
      <c r="L173" s="2035">
        <f t="shared" si="107"/>
        <v>0</v>
      </c>
      <c r="M173" s="839">
        <f>+M174+M175</f>
        <v>1084602</v>
      </c>
      <c r="N173" s="839">
        <f>+N174+N175</f>
        <v>1062646</v>
      </c>
      <c r="O173" s="3036"/>
    </row>
    <row r="174" spans="1:16" s="237" customFormat="1" ht="15" hidden="1" customHeight="1">
      <c r="A174" s="3458"/>
      <c r="B174" s="1783" t="s">
        <v>408</v>
      </c>
      <c r="C174" s="3459"/>
      <c r="D174" s="2036">
        <f>SUM(E174:L174)</f>
        <v>881790</v>
      </c>
      <c r="E174" s="2037">
        <v>0</v>
      </c>
      <c r="F174" s="2038">
        <v>17850</v>
      </c>
      <c r="G174" s="2038">
        <v>376635</v>
      </c>
      <c r="H174" s="2038">
        <v>464100</v>
      </c>
      <c r="I174" s="2038">
        <v>23205</v>
      </c>
      <c r="J174" s="2039">
        <v>0</v>
      </c>
      <c r="K174" s="2039">
        <v>0</v>
      </c>
      <c r="L174" s="2039">
        <v>0</v>
      </c>
      <c r="M174" s="839">
        <f>SUM(F174:K174)</f>
        <v>881790</v>
      </c>
      <c r="N174" s="839">
        <f>SUM(G174:L174)</f>
        <v>863940</v>
      </c>
      <c r="O174" s="3036"/>
    </row>
    <row r="175" spans="1:16" s="237" customFormat="1" ht="15" hidden="1" customHeight="1">
      <c r="A175" s="3458"/>
      <c r="B175" s="1787" t="s">
        <v>270</v>
      </c>
      <c r="C175" s="3460"/>
      <c r="D175" s="1926">
        <f>SUM(E175:L175)</f>
        <v>202812</v>
      </c>
      <c r="E175" s="2040">
        <v>0</v>
      </c>
      <c r="F175" s="2041">
        <v>4106</v>
      </c>
      <c r="G175" s="2041">
        <v>86626</v>
      </c>
      <c r="H175" s="2041">
        <v>106743</v>
      </c>
      <c r="I175" s="2041">
        <v>5337</v>
      </c>
      <c r="J175" s="2039">
        <v>0</v>
      </c>
      <c r="K175" s="2039">
        <v>0</v>
      </c>
      <c r="L175" s="2039">
        <v>0</v>
      </c>
      <c r="M175" s="839">
        <f>SUM(F175:K175)</f>
        <v>202812</v>
      </c>
      <c r="N175" s="839">
        <f>SUM(G175:L175)</f>
        <v>198706</v>
      </c>
      <c r="O175" s="3425"/>
    </row>
    <row r="176" spans="1:16" s="237" customFormat="1" ht="15" customHeight="1">
      <c r="A176" s="3432"/>
      <c r="B176" s="83" t="s">
        <v>22</v>
      </c>
      <c r="C176" s="2017"/>
      <c r="D176" s="2018">
        <f>SUM(E176:L176)</f>
        <v>1084602</v>
      </c>
      <c r="E176" s="2018">
        <f t="shared" ref="E176:L176" si="108">+E177</f>
        <v>0</v>
      </c>
      <c r="F176" s="2028">
        <f t="shared" si="108"/>
        <v>0</v>
      </c>
      <c r="G176" s="2018">
        <f t="shared" si="108"/>
        <v>253586</v>
      </c>
      <c r="H176" s="2018">
        <f t="shared" si="108"/>
        <v>517052</v>
      </c>
      <c r="I176" s="2018">
        <f t="shared" si="108"/>
        <v>313964</v>
      </c>
      <c r="J176" s="2028">
        <f t="shared" si="108"/>
        <v>0</v>
      </c>
      <c r="K176" s="2028">
        <f t="shared" si="108"/>
        <v>0</v>
      </c>
      <c r="L176" s="2028">
        <f t="shared" si="108"/>
        <v>0</v>
      </c>
      <c r="M176" s="2901"/>
      <c r="N176" s="2901"/>
      <c r="O176" s="3461" t="s">
        <v>199</v>
      </c>
    </row>
    <row r="177" spans="1:16" s="237" customFormat="1" ht="15" customHeight="1">
      <c r="A177" s="3432"/>
      <c r="B177" s="694" t="s">
        <v>18</v>
      </c>
      <c r="C177" s="2974" t="s">
        <v>172</v>
      </c>
      <c r="D177" s="2021">
        <f>SUM(E177:L177)</f>
        <v>1084602</v>
      </c>
      <c r="E177" s="2021">
        <f t="shared" ref="E177:L177" si="109">SUM(E178)</f>
        <v>0</v>
      </c>
      <c r="F177" s="2029">
        <f t="shared" si="109"/>
        <v>0</v>
      </c>
      <c r="G177" s="2021">
        <f t="shared" si="109"/>
        <v>253586</v>
      </c>
      <c r="H177" s="2021">
        <f t="shared" si="109"/>
        <v>517052</v>
      </c>
      <c r="I177" s="2021">
        <f t="shared" si="109"/>
        <v>313964</v>
      </c>
      <c r="J177" s="2029">
        <f t="shared" si="109"/>
        <v>0</v>
      </c>
      <c r="K177" s="2029">
        <f t="shared" si="109"/>
        <v>0</v>
      </c>
      <c r="L177" s="2029">
        <f t="shared" si="109"/>
        <v>0</v>
      </c>
      <c r="M177" s="2874"/>
      <c r="N177" s="2874"/>
      <c r="O177" s="3036"/>
    </row>
    <row r="178" spans="1:16" s="237" customFormat="1" ht="15" customHeight="1" thickBot="1">
      <c r="A178" s="3433"/>
      <c r="B178" s="2067" t="s">
        <v>21</v>
      </c>
      <c r="C178" s="2921"/>
      <c r="D178" s="1027">
        <f>E178+F178+G178+H178+I178+J178+K178+L178</f>
        <v>1084602</v>
      </c>
      <c r="E178" s="1027">
        <v>0</v>
      </c>
      <c r="F178" s="2042">
        <v>0</v>
      </c>
      <c r="G178" s="533">
        <v>253586</v>
      </c>
      <c r="H178" s="533">
        <v>517052</v>
      </c>
      <c r="I178" s="533">
        <v>313964</v>
      </c>
      <c r="J178" s="2042">
        <v>0</v>
      </c>
      <c r="K178" s="2042">
        <v>0</v>
      </c>
      <c r="L178" s="2042">
        <v>0</v>
      </c>
      <c r="M178" s="2875"/>
      <c r="N178" s="2875"/>
      <c r="O178" s="3037"/>
    </row>
    <row r="179" spans="1:16" s="237" customFormat="1" ht="27.75" customHeight="1">
      <c r="A179" s="3434" t="s">
        <v>94</v>
      </c>
      <c r="B179" s="187" t="s">
        <v>505</v>
      </c>
      <c r="C179" s="2064" t="s">
        <v>173</v>
      </c>
      <c r="D179" s="842"/>
      <c r="E179" s="1916"/>
      <c r="F179" s="844"/>
      <c r="G179" s="844"/>
      <c r="H179" s="844"/>
      <c r="I179" s="843"/>
      <c r="J179" s="843"/>
      <c r="K179" s="843"/>
      <c r="L179" s="843"/>
      <c r="M179" s="845"/>
      <c r="N179" s="845"/>
      <c r="O179" s="3035" t="s">
        <v>346</v>
      </c>
    </row>
    <row r="180" spans="1:16" s="237" customFormat="1" ht="15" customHeight="1">
      <c r="A180" s="3432"/>
      <c r="B180" s="30" t="s">
        <v>10</v>
      </c>
      <c r="C180" s="22"/>
      <c r="D180" s="200">
        <f>D181+D183</f>
        <v>225600</v>
      </c>
      <c r="E180" s="956">
        <f t="shared" ref="E180" si="110">E181+E183</f>
        <v>0</v>
      </c>
      <c r="F180" s="956">
        <f t="shared" ref="F180" si="111">+F183</f>
        <v>0</v>
      </c>
      <c r="G180" s="200">
        <f>G181+G185</f>
        <v>1000</v>
      </c>
      <c r="H180" s="200">
        <f t="shared" ref="H180:L180" si="112">H181+H185</f>
        <v>1000</v>
      </c>
      <c r="I180" s="200">
        <f>I181+I183</f>
        <v>223600</v>
      </c>
      <c r="J180" s="956">
        <f>J181+J183</f>
        <v>0</v>
      </c>
      <c r="K180" s="956">
        <f t="shared" si="112"/>
        <v>0</v>
      </c>
      <c r="L180" s="956">
        <f t="shared" si="112"/>
        <v>0</v>
      </c>
      <c r="M180" s="66">
        <f>+M183+M181</f>
        <v>225600</v>
      </c>
      <c r="N180" s="66">
        <f>+N183+N181</f>
        <v>225600</v>
      </c>
      <c r="O180" s="3036"/>
      <c r="P180" s="237" t="s">
        <v>395</v>
      </c>
    </row>
    <row r="181" spans="1:16" s="237" customFormat="1" ht="15" customHeight="1">
      <c r="A181" s="3432"/>
      <c r="B181" s="851" t="s">
        <v>24</v>
      </c>
      <c r="C181" s="3426" t="s">
        <v>193</v>
      </c>
      <c r="D181" s="316">
        <f>D182</f>
        <v>36390</v>
      </c>
      <c r="E181" s="1546">
        <f t="shared" ref="E181:F181" si="113">E182</f>
        <v>0</v>
      </c>
      <c r="F181" s="1546">
        <f t="shared" si="113"/>
        <v>0</v>
      </c>
      <c r="G181" s="321">
        <f>G182</f>
        <v>1000</v>
      </c>
      <c r="H181" s="321">
        <f>H182</f>
        <v>1000</v>
      </c>
      <c r="I181" s="321">
        <f t="shared" ref="I181:L181" si="114">I182</f>
        <v>34390</v>
      </c>
      <c r="J181" s="290">
        <f t="shared" si="114"/>
        <v>0</v>
      </c>
      <c r="K181" s="290">
        <f t="shared" si="114"/>
        <v>0</v>
      </c>
      <c r="L181" s="290">
        <f t="shared" si="114"/>
        <v>0</v>
      </c>
      <c r="M181" s="313">
        <f>M182</f>
        <v>36390</v>
      </c>
      <c r="N181" s="313">
        <f>N182</f>
        <v>36390</v>
      </c>
      <c r="O181" s="3036"/>
    </row>
    <row r="182" spans="1:16" s="237" customFormat="1" ht="15" customHeight="1">
      <c r="A182" s="3432"/>
      <c r="B182" s="852" t="s">
        <v>12</v>
      </c>
      <c r="C182" s="2947"/>
      <c r="D182" s="251">
        <f>E182+F182+G182+H182+I182+J182+K182+L182</f>
        <v>36390</v>
      </c>
      <c r="E182" s="1547">
        <v>0</v>
      </c>
      <c r="F182" s="1547">
        <v>0</v>
      </c>
      <c r="G182" s="315">
        <v>1000</v>
      </c>
      <c r="H182" s="315">
        <v>1000</v>
      </c>
      <c r="I182" s="315">
        <v>34390</v>
      </c>
      <c r="J182" s="290">
        <v>0</v>
      </c>
      <c r="K182" s="1547">
        <v>0</v>
      </c>
      <c r="L182" s="1547">
        <v>0</v>
      </c>
      <c r="M182" s="839">
        <f>SUM(F182:K182)</f>
        <v>36390</v>
      </c>
      <c r="N182" s="839">
        <f>SUM(G182:L182)</f>
        <v>36390</v>
      </c>
      <c r="O182" s="3036"/>
    </row>
    <row r="183" spans="1:16" s="237" customFormat="1" ht="15" customHeight="1">
      <c r="A183" s="3432"/>
      <c r="B183" s="701" t="s">
        <v>18</v>
      </c>
      <c r="C183" s="2947"/>
      <c r="D183" s="50">
        <f>D184</f>
        <v>189210</v>
      </c>
      <c r="E183" s="1546">
        <f t="shared" ref="E183:N183" si="115">+E184</f>
        <v>0</v>
      </c>
      <c r="F183" s="1548">
        <v>0</v>
      </c>
      <c r="G183" s="103">
        <f>G184</f>
        <v>0</v>
      </c>
      <c r="H183" s="103">
        <v>0</v>
      </c>
      <c r="I183" s="103">
        <f>I184</f>
        <v>189210</v>
      </c>
      <c r="J183" s="290">
        <v>0</v>
      </c>
      <c r="K183" s="290">
        <v>0</v>
      </c>
      <c r="L183" s="290">
        <v>0</v>
      </c>
      <c r="M183" s="80">
        <f t="shared" si="115"/>
        <v>189210</v>
      </c>
      <c r="N183" s="80">
        <f t="shared" si="115"/>
        <v>189210</v>
      </c>
      <c r="O183" s="3036"/>
    </row>
    <row r="184" spans="1:16" s="237" customFormat="1" ht="15" customHeight="1">
      <c r="A184" s="3432"/>
      <c r="B184" s="285" t="s">
        <v>21</v>
      </c>
      <c r="C184" s="2922"/>
      <c r="D184" s="251">
        <f>E184+F184+G184+H184+I184+J184+K184+L184</f>
        <v>189210</v>
      </c>
      <c r="E184" s="1547">
        <v>0</v>
      </c>
      <c r="F184" s="1549">
        <v>0</v>
      </c>
      <c r="G184" s="52">
        <v>0</v>
      </c>
      <c r="H184" s="52">
        <v>0</v>
      </c>
      <c r="I184" s="52">
        <v>189210</v>
      </c>
      <c r="J184" s="1547">
        <v>0</v>
      </c>
      <c r="K184" s="1547">
        <v>0</v>
      </c>
      <c r="L184" s="1547">
        <v>0</v>
      </c>
      <c r="M184" s="839">
        <f>SUM(F184:K184)</f>
        <v>189210</v>
      </c>
      <c r="N184" s="839">
        <f>SUM(G184:L184)</f>
        <v>189210</v>
      </c>
      <c r="O184" s="3425"/>
    </row>
    <row r="185" spans="1:16" s="237" customFormat="1" ht="15" customHeight="1">
      <c r="A185" s="3432"/>
      <c r="B185" s="21" t="s">
        <v>22</v>
      </c>
      <c r="C185" s="22"/>
      <c r="D185" s="200">
        <f t="shared" ref="D185:L186" si="116">D186</f>
        <v>189210</v>
      </c>
      <c r="E185" s="956">
        <f t="shared" ref="E185" si="117">+E188</f>
        <v>0</v>
      </c>
      <c r="F185" s="956">
        <f t="shared" si="116"/>
        <v>0</v>
      </c>
      <c r="G185" s="200">
        <f t="shared" si="116"/>
        <v>0</v>
      </c>
      <c r="H185" s="200">
        <f t="shared" si="116"/>
        <v>0</v>
      </c>
      <c r="I185" s="200">
        <f t="shared" si="116"/>
        <v>0</v>
      </c>
      <c r="J185" s="200">
        <f t="shared" si="116"/>
        <v>189210</v>
      </c>
      <c r="K185" s="956">
        <f t="shared" si="116"/>
        <v>0</v>
      </c>
      <c r="L185" s="956">
        <f t="shared" si="116"/>
        <v>0</v>
      </c>
      <c r="M185" s="2873" t="s">
        <v>61</v>
      </c>
      <c r="N185" s="2873" t="s">
        <v>61</v>
      </c>
      <c r="O185" s="3036" t="s">
        <v>199</v>
      </c>
    </row>
    <row r="186" spans="1:16" s="237" customFormat="1" ht="15" customHeight="1">
      <c r="A186" s="3432"/>
      <c r="B186" s="174" t="s">
        <v>18</v>
      </c>
      <c r="C186" s="3002" t="s">
        <v>495</v>
      </c>
      <c r="D186" s="51">
        <f t="shared" si="116"/>
        <v>189210</v>
      </c>
      <c r="E186" s="1546">
        <f t="shared" si="116"/>
        <v>0</v>
      </c>
      <c r="F186" s="290">
        <f t="shared" si="116"/>
        <v>0</v>
      </c>
      <c r="G186" s="51">
        <f t="shared" si="116"/>
        <v>0</v>
      </c>
      <c r="H186" s="51">
        <f t="shared" si="116"/>
        <v>0</v>
      </c>
      <c r="I186" s="51">
        <f t="shared" si="116"/>
        <v>0</v>
      </c>
      <c r="J186" s="51">
        <f t="shared" si="116"/>
        <v>189210</v>
      </c>
      <c r="K186" s="290">
        <f t="shared" si="116"/>
        <v>0</v>
      </c>
      <c r="L186" s="290">
        <f t="shared" si="116"/>
        <v>0</v>
      </c>
      <c r="M186" s="2874"/>
      <c r="N186" s="2874"/>
      <c r="O186" s="3036"/>
    </row>
    <row r="187" spans="1:16" s="237" customFormat="1" ht="15" customHeight="1" thickBot="1">
      <c r="A187" s="3433"/>
      <c r="B187" s="2067" t="s">
        <v>21</v>
      </c>
      <c r="C187" s="2921"/>
      <c r="D187" s="251">
        <f>E187+F187+G187+H187+I187+J187+K187+L187</f>
        <v>189210</v>
      </c>
      <c r="E187" s="1547">
        <v>0</v>
      </c>
      <c r="F187" s="291">
        <v>0</v>
      </c>
      <c r="G187" s="73">
        <v>0</v>
      </c>
      <c r="H187" s="73">
        <v>0</v>
      </c>
      <c r="I187" s="73">
        <v>0</v>
      </c>
      <c r="J187" s="73">
        <v>189210</v>
      </c>
      <c r="K187" s="1547">
        <v>0</v>
      </c>
      <c r="L187" s="1547">
        <v>0</v>
      </c>
      <c r="M187" s="2875"/>
      <c r="N187" s="2875"/>
      <c r="O187" s="3037"/>
    </row>
    <row r="188" spans="1:16" s="237" customFormat="1" ht="29.25" customHeight="1">
      <c r="A188" s="3431" t="s">
        <v>95</v>
      </c>
      <c r="B188" s="187" t="s">
        <v>504</v>
      </c>
      <c r="C188" s="2064" t="s">
        <v>81</v>
      </c>
      <c r="D188" s="842"/>
      <c r="E188" s="1916"/>
      <c r="F188" s="844"/>
      <c r="G188" s="844"/>
      <c r="H188" s="844"/>
      <c r="I188" s="843"/>
      <c r="J188" s="843"/>
      <c r="K188" s="843"/>
      <c r="L188" s="843"/>
      <c r="M188" s="845"/>
      <c r="N188" s="845"/>
      <c r="O188" s="3035" t="s">
        <v>346</v>
      </c>
    </row>
    <row r="189" spans="1:16" s="237" customFormat="1" ht="15" customHeight="1">
      <c r="A189" s="3432"/>
      <c r="B189" s="2016" t="s">
        <v>10</v>
      </c>
      <c r="C189" s="2017"/>
      <c r="D189" s="2018">
        <f>D190+D193</f>
        <v>6246481</v>
      </c>
      <c r="E189" s="2018">
        <f t="shared" ref="E189" si="118">E190+E193</f>
        <v>284314</v>
      </c>
      <c r="F189" s="2813">
        <f>F190</f>
        <v>30000</v>
      </c>
      <c r="G189" s="2018">
        <f>+G193+G190</f>
        <v>1804842</v>
      </c>
      <c r="H189" s="2018">
        <f>+H193+H190</f>
        <v>1983007</v>
      </c>
      <c r="I189" s="2018">
        <f t="shared" ref="I189:L189" si="119">+I193+I190</f>
        <v>2144318</v>
      </c>
      <c r="J189" s="2489">
        <f t="shared" si="119"/>
        <v>0</v>
      </c>
      <c r="K189" s="2489">
        <f t="shared" si="119"/>
        <v>0</v>
      </c>
      <c r="L189" s="2489">
        <f t="shared" si="119"/>
        <v>0</v>
      </c>
      <c r="M189" s="2019">
        <f>+M193+M190</f>
        <v>5962167</v>
      </c>
      <c r="N189" s="2019">
        <f>+N193+N190</f>
        <v>5932167</v>
      </c>
      <c r="O189" s="3036"/>
      <c r="P189" s="237" t="s">
        <v>395</v>
      </c>
    </row>
    <row r="190" spans="1:16" s="237" customFormat="1" ht="15" customHeight="1">
      <c r="A190" s="3432"/>
      <c r="B190" s="2020" t="s">
        <v>24</v>
      </c>
      <c r="C190" s="2920" t="s">
        <v>193</v>
      </c>
      <c r="D190" s="2021">
        <f>D191+D192</f>
        <v>1034156</v>
      </c>
      <c r="E190" s="2021">
        <f t="shared" ref="E190:I190" si="120">E191+E192</f>
        <v>114331</v>
      </c>
      <c r="F190" s="2021">
        <f t="shared" si="120"/>
        <v>30000</v>
      </c>
      <c r="G190" s="2021">
        <f t="shared" si="120"/>
        <v>270726</v>
      </c>
      <c r="H190" s="2021">
        <f t="shared" si="120"/>
        <v>297451</v>
      </c>
      <c r="I190" s="2021">
        <f t="shared" si="120"/>
        <v>321648</v>
      </c>
      <c r="J190" s="2814">
        <f t="shared" ref="J190:L190" si="121">J191+J192</f>
        <v>0</v>
      </c>
      <c r="K190" s="2814">
        <f t="shared" si="121"/>
        <v>0</v>
      </c>
      <c r="L190" s="2814">
        <f t="shared" si="121"/>
        <v>0</v>
      </c>
      <c r="M190" s="2022">
        <f>M191+M192</f>
        <v>919825</v>
      </c>
      <c r="N190" s="2022">
        <f>N191</f>
        <v>889825</v>
      </c>
      <c r="O190" s="3036"/>
    </row>
    <row r="191" spans="1:16" s="237" customFormat="1" ht="15" customHeight="1">
      <c r="A191" s="3432"/>
      <c r="B191" s="2023" t="s">
        <v>12</v>
      </c>
      <c r="C191" s="2947"/>
      <c r="D191" s="1926">
        <f>E191+F191+G191+H191+I191+J191+K191+L191</f>
        <v>1004156</v>
      </c>
      <c r="E191" s="1926">
        <v>114331</v>
      </c>
      <c r="F191" s="2814">
        <v>0</v>
      </c>
      <c r="G191" s="2024">
        <v>270726</v>
      </c>
      <c r="H191" s="2024">
        <v>297451</v>
      </c>
      <c r="I191" s="2024">
        <v>321648</v>
      </c>
      <c r="J191" s="2814">
        <v>0</v>
      </c>
      <c r="K191" s="2814">
        <v>0</v>
      </c>
      <c r="L191" s="2814">
        <v>0</v>
      </c>
      <c r="M191" s="2515">
        <f>SUM(F191:K191)</f>
        <v>889825</v>
      </c>
      <c r="N191" s="2515">
        <f>SUM(G191:L191)</f>
        <v>889825</v>
      </c>
      <c r="O191" s="3036"/>
    </row>
    <row r="192" spans="1:16" s="237" customFormat="1" ht="15" customHeight="1">
      <c r="A192" s="3432"/>
      <c r="B192" s="2023" t="s">
        <v>15</v>
      </c>
      <c r="C192" s="2947"/>
      <c r="D192" s="1926">
        <f>E192+F192+G192+H192+I192+J192+K192+L192</f>
        <v>30000</v>
      </c>
      <c r="E192" s="2814">
        <v>0</v>
      </c>
      <c r="F192" s="2815">
        <v>30000</v>
      </c>
      <c r="G192" s="2816">
        <v>0</v>
      </c>
      <c r="H192" s="2816">
        <v>0</v>
      </c>
      <c r="I192" s="2816">
        <v>0</v>
      </c>
      <c r="J192" s="2816">
        <v>0</v>
      </c>
      <c r="K192" s="2816">
        <v>0</v>
      </c>
      <c r="L192" s="2816">
        <v>0</v>
      </c>
      <c r="M192" s="2515">
        <f>SUM(F192:K192)</f>
        <v>30000</v>
      </c>
      <c r="N192" s="2817"/>
      <c r="O192" s="3036"/>
    </row>
    <row r="193" spans="1:15" s="237" customFormat="1" ht="15" customHeight="1">
      <c r="A193" s="3432"/>
      <c r="B193" s="2025" t="s">
        <v>18</v>
      </c>
      <c r="C193" s="2947"/>
      <c r="D193" s="2021">
        <f>D194</f>
        <v>5212325</v>
      </c>
      <c r="E193" s="2806">
        <f t="shared" ref="E193:N193" si="122">+E194</f>
        <v>169983</v>
      </c>
      <c r="F193" s="2818">
        <v>0</v>
      </c>
      <c r="G193" s="2026">
        <f>G194</f>
        <v>1534116</v>
      </c>
      <c r="H193" s="2026">
        <f t="shared" ref="H193:L193" si="123">H194</f>
        <v>1685556</v>
      </c>
      <c r="I193" s="2026">
        <f t="shared" si="123"/>
        <v>1822670</v>
      </c>
      <c r="J193" s="2818">
        <f t="shared" si="123"/>
        <v>0</v>
      </c>
      <c r="K193" s="2818">
        <f t="shared" si="123"/>
        <v>0</v>
      </c>
      <c r="L193" s="2818">
        <f t="shared" si="123"/>
        <v>0</v>
      </c>
      <c r="M193" s="2022">
        <f t="shared" si="122"/>
        <v>5042342</v>
      </c>
      <c r="N193" s="2022">
        <f t="shared" si="122"/>
        <v>5042342</v>
      </c>
      <c r="O193" s="3036"/>
    </row>
    <row r="194" spans="1:15" s="237" customFormat="1" ht="15" customHeight="1">
      <c r="A194" s="3432"/>
      <c r="B194" s="285" t="s">
        <v>21</v>
      </c>
      <c r="C194" s="2922"/>
      <c r="D194" s="1926">
        <f>E194+F194+G194+H194+I194+J194+K194+L194</f>
        <v>5212325</v>
      </c>
      <c r="E194" s="1926">
        <v>169983</v>
      </c>
      <c r="F194" s="2814">
        <v>0</v>
      </c>
      <c r="G194" s="2024">
        <v>1534116</v>
      </c>
      <c r="H194" s="2024">
        <v>1685556</v>
      </c>
      <c r="I194" s="2024">
        <v>1822670</v>
      </c>
      <c r="J194" s="2816">
        <v>0</v>
      </c>
      <c r="K194" s="2816">
        <v>0</v>
      </c>
      <c r="L194" s="2816">
        <v>0</v>
      </c>
      <c r="M194" s="2515">
        <f>SUM(F194:K194)</f>
        <v>5042342</v>
      </c>
      <c r="N194" s="2515">
        <f>SUM(G194:L194)</f>
        <v>5042342</v>
      </c>
      <c r="O194" s="3425"/>
    </row>
    <row r="195" spans="1:15" s="237" customFormat="1" ht="15" customHeight="1">
      <c r="A195" s="3432"/>
      <c r="B195" s="728" t="s">
        <v>22</v>
      </c>
      <c r="C195" s="2017"/>
      <c r="D195" s="2018">
        <f>D198+D196</f>
        <v>5242325</v>
      </c>
      <c r="E195" s="2489">
        <f t="shared" ref="E195:L195" si="124">E198+E196</f>
        <v>0</v>
      </c>
      <c r="F195" s="2018">
        <f t="shared" si="124"/>
        <v>30000</v>
      </c>
      <c r="G195" s="2018">
        <f t="shared" si="124"/>
        <v>219403</v>
      </c>
      <c r="H195" s="2018">
        <f t="shared" si="124"/>
        <v>1561453</v>
      </c>
      <c r="I195" s="2018">
        <f t="shared" si="124"/>
        <v>1671276</v>
      </c>
      <c r="J195" s="2018">
        <f t="shared" si="124"/>
        <v>1760193</v>
      </c>
      <c r="K195" s="2489">
        <f t="shared" si="124"/>
        <v>0</v>
      </c>
      <c r="L195" s="2489">
        <f t="shared" si="124"/>
        <v>0</v>
      </c>
      <c r="M195" s="2901" t="s">
        <v>61</v>
      </c>
      <c r="N195" s="2901" t="s">
        <v>61</v>
      </c>
      <c r="O195" s="3036" t="s">
        <v>199</v>
      </c>
    </row>
    <row r="196" spans="1:15" s="237" customFormat="1" ht="15" customHeight="1">
      <c r="A196" s="3432"/>
      <c r="B196" s="694" t="s">
        <v>496</v>
      </c>
      <c r="C196" s="2974" t="s">
        <v>495</v>
      </c>
      <c r="D196" s="2027">
        <f t="shared" ref="D196:L198" si="125">D197</f>
        <v>30000</v>
      </c>
      <c r="E196" s="2818">
        <f t="shared" ref="E196:E198" si="126">+E197</f>
        <v>0</v>
      </c>
      <c r="F196" s="2819">
        <f t="shared" si="125"/>
        <v>30000</v>
      </c>
      <c r="G196" s="2818">
        <f t="shared" si="125"/>
        <v>0</v>
      </c>
      <c r="H196" s="2818">
        <f t="shared" si="125"/>
        <v>0</v>
      </c>
      <c r="I196" s="2818">
        <f t="shared" si="125"/>
        <v>0</v>
      </c>
      <c r="J196" s="2818">
        <f t="shared" si="125"/>
        <v>0</v>
      </c>
      <c r="K196" s="2818">
        <f t="shared" si="125"/>
        <v>0</v>
      </c>
      <c r="L196" s="2818">
        <f t="shared" si="125"/>
        <v>0</v>
      </c>
      <c r="M196" s="2874"/>
      <c r="N196" s="2874"/>
      <c r="O196" s="3036"/>
    </row>
    <row r="197" spans="1:15" s="237" customFormat="1" ht="15" customHeight="1">
      <c r="A197" s="3432"/>
      <c r="B197" s="2820" t="s">
        <v>15</v>
      </c>
      <c r="C197" s="3018"/>
      <c r="D197" s="1990">
        <f>E197+F197+G197+H197+I197+J197+K197+L197</f>
        <v>30000</v>
      </c>
      <c r="E197" s="2085">
        <v>0</v>
      </c>
      <c r="F197" s="2821">
        <v>30000</v>
      </c>
      <c r="G197" s="2085">
        <v>0</v>
      </c>
      <c r="H197" s="2085">
        <v>0</v>
      </c>
      <c r="I197" s="2085">
        <v>0</v>
      </c>
      <c r="J197" s="2085">
        <v>0</v>
      </c>
      <c r="K197" s="2085">
        <v>0</v>
      </c>
      <c r="L197" s="2085">
        <v>0</v>
      </c>
      <c r="M197" s="2874"/>
      <c r="N197" s="2874"/>
      <c r="O197" s="3036"/>
    </row>
    <row r="198" spans="1:15" s="237" customFormat="1" ht="15" customHeight="1">
      <c r="A198" s="3432"/>
      <c r="B198" s="2736" t="s">
        <v>18</v>
      </c>
      <c r="C198" s="3018"/>
      <c r="D198" s="2822">
        <f t="shared" si="125"/>
        <v>5212325</v>
      </c>
      <c r="E198" s="2823">
        <f t="shared" si="126"/>
        <v>0</v>
      </c>
      <c r="F198" s="2824">
        <f t="shared" si="125"/>
        <v>0</v>
      </c>
      <c r="G198" s="2822">
        <f t="shared" si="125"/>
        <v>219403</v>
      </c>
      <c r="H198" s="2822">
        <f t="shared" si="125"/>
        <v>1561453</v>
      </c>
      <c r="I198" s="2822">
        <f t="shared" si="125"/>
        <v>1671276</v>
      </c>
      <c r="J198" s="2822">
        <f t="shared" si="125"/>
        <v>1760193</v>
      </c>
      <c r="K198" s="2823">
        <f t="shared" si="125"/>
        <v>0</v>
      </c>
      <c r="L198" s="2823">
        <f t="shared" si="125"/>
        <v>0</v>
      </c>
      <c r="M198" s="2874"/>
      <c r="N198" s="2874"/>
      <c r="O198" s="3036"/>
    </row>
    <row r="199" spans="1:15" s="237" customFormat="1" ht="15" customHeight="1" thickBot="1">
      <c r="A199" s="3433"/>
      <c r="B199" s="2067" t="s">
        <v>21</v>
      </c>
      <c r="C199" s="3379"/>
      <c r="D199" s="2222">
        <f>E199+F199+G199+H199+I199+J199+K199+L199</f>
        <v>5212325</v>
      </c>
      <c r="E199" s="2825">
        <v>0</v>
      </c>
      <c r="F199" s="2500">
        <v>0</v>
      </c>
      <c r="G199" s="2499">
        <v>219403</v>
      </c>
      <c r="H199" s="2499">
        <v>1561453</v>
      </c>
      <c r="I199" s="2499">
        <v>1671276</v>
      </c>
      <c r="J199" s="2499">
        <v>1760193</v>
      </c>
      <c r="K199" s="2825">
        <v>0</v>
      </c>
      <c r="L199" s="2825">
        <v>0</v>
      </c>
      <c r="M199" s="2875"/>
      <c r="N199" s="2875"/>
      <c r="O199" s="3037"/>
    </row>
    <row r="200" spans="1:15" ht="23.25" customHeight="1" thickBot="1">
      <c r="A200" s="194" t="s">
        <v>174</v>
      </c>
      <c r="B200" s="853"/>
      <c r="C200" s="853"/>
      <c r="D200" s="853"/>
      <c r="E200" s="853"/>
      <c r="F200" s="853"/>
      <c r="G200" s="853"/>
      <c r="H200" s="853"/>
      <c r="I200" s="853"/>
      <c r="J200" s="853"/>
      <c r="K200" s="853"/>
      <c r="L200" s="853"/>
      <c r="M200" s="854"/>
      <c r="N200" s="854"/>
      <c r="O200" s="855"/>
    </row>
    <row r="201" spans="1:15" ht="18.75" customHeight="1">
      <c r="A201" s="856"/>
      <c r="B201" s="213" t="s">
        <v>76</v>
      </c>
      <c r="C201" s="536"/>
      <c r="D201" s="215">
        <f>+D202+D203</f>
        <v>16198501</v>
      </c>
      <c r="E201" s="215">
        <f t="shared" ref="E201:F201" si="127">+E202+E203</f>
        <v>7742800</v>
      </c>
      <c r="F201" s="215">
        <f t="shared" si="127"/>
        <v>2600000</v>
      </c>
      <c r="G201" s="215">
        <f t="shared" ref="G201:N201" si="128">+G202+G203</f>
        <v>2647000</v>
      </c>
      <c r="H201" s="215">
        <f t="shared" si="128"/>
        <v>2788899</v>
      </c>
      <c r="I201" s="215">
        <f t="shared" si="128"/>
        <v>83899</v>
      </c>
      <c r="J201" s="215">
        <f t="shared" si="128"/>
        <v>97429</v>
      </c>
      <c r="K201" s="215">
        <f t="shared" si="128"/>
        <v>113579</v>
      </c>
      <c r="L201" s="215">
        <f t="shared" si="128"/>
        <v>124895</v>
      </c>
      <c r="M201" s="16">
        <f t="shared" ref="M201" si="129">+M202+M203</f>
        <v>8330806</v>
      </c>
      <c r="N201" s="16">
        <f t="shared" si="128"/>
        <v>5855701</v>
      </c>
      <c r="O201" s="3299"/>
    </row>
    <row r="202" spans="1:15" ht="14.25" customHeight="1">
      <c r="A202" s="727"/>
      <c r="B202" s="216" t="s">
        <v>77</v>
      </c>
      <c r="C202" s="218"/>
      <c r="D202" s="218">
        <f>D213+D217</f>
        <v>16198501</v>
      </c>
      <c r="E202" s="218">
        <f t="shared" ref="E202:L202" si="130">E213+E217</f>
        <v>7742800</v>
      </c>
      <c r="F202" s="218">
        <f t="shared" si="130"/>
        <v>2600000</v>
      </c>
      <c r="G202" s="218">
        <f t="shared" si="130"/>
        <v>2647000</v>
      </c>
      <c r="H202" s="218">
        <f t="shared" si="130"/>
        <v>2788899</v>
      </c>
      <c r="I202" s="218">
        <f t="shared" si="130"/>
        <v>83899</v>
      </c>
      <c r="J202" s="218">
        <f t="shared" si="130"/>
        <v>97429</v>
      </c>
      <c r="K202" s="218">
        <f t="shared" si="130"/>
        <v>113579</v>
      </c>
      <c r="L202" s="218">
        <f t="shared" si="130"/>
        <v>124895</v>
      </c>
      <c r="M202" s="18">
        <f>SUM(F202:K202)</f>
        <v>8330806</v>
      </c>
      <c r="N202" s="18">
        <f>SUM(G202:L202)</f>
        <v>5855701</v>
      </c>
      <c r="O202" s="3300"/>
    </row>
    <row r="203" spans="1:15" ht="14.25" customHeight="1" thickBot="1">
      <c r="A203" s="727"/>
      <c r="B203" s="857" t="s">
        <v>9</v>
      </c>
      <c r="C203" s="835"/>
      <c r="D203" s="835">
        <v>0</v>
      </c>
      <c r="E203" s="835">
        <v>0</v>
      </c>
      <c r="F203" s="835">
        <v>0</v>
      </c>
      <c r="G203" s="835">
        <v>0</v>
      </c>
      <c r="H203" s="835">
        <v>0</v>
      </c>
      <c r="I203" s="835">
        <f>+I213</f>
        <v>0</v>
      </c>
      <c r="J203" s="835">
        <f>+J213</f>
        <v>0</v>
      </c>
      <c r="K203" s="835">
        <f>+K213</f>
        <v>0</v>
      </c>
      <c r="L203" s="835">
        <f>+L213</f>
        <v>0</v>
      </c>
      <c r="M203" s="155">
        <f>SUM(E203:K203)</f>
        <v>0</v>
      </c>
      <c r="N203" s="155">
        <f>SUM(F203:L203)</f>
        <v>0</v>
      </c>
      <c r="O203" s="3300"/>
    </row>
    <row r="204" spans="1:15" ht="16.5" customHeight="1">
      <c r="A204" s="381"/>
      <c r="B204" s="83" t="s">
        <v>10</v>
      </c>
      <c r="C204" s="191"/>
      <c r="D204" s="197">
        <f t="shared" ref="D204:L204" si="131">+D205</f>
        <v>16198501</v>
      </c>
      <c r="E204" s="197">
        <f t="shared" si="131"/>
        <v>7742800</v>
      </c>
      <c r="F204" s="197">
        <f t="shared" si="131"/>
        <v>2600000</v>
      </c>
      <c r="G204" s="197">
        <f t="shared" si="131"/>
        <v>2647000</v>
      </c>
      <c r="H204" s="197">
        <f t="shared" si="131"/>
        <v>2788899</v>
      </c>
      <c r="I204" s="197">
        <f t="shared" si="131"/>
        <v>83899</v>
      </c>
      <c r="J204" s="197">
        <f t="shared" si="131"/>
        <v>97429</v>
      </c>
      <c r="K204" s="197">
        <f t="shared" si="131"/>
        <v>113579</v>
      </c>
      <c r="L204" s="197">
        <f t="shared" si="131"/>
        <v>124895</v>
      </c>
      <c r="M204" s="382">
        <f>+M205</f>
        <v>8330806</v>
      </c>
      <c r="N204" s="382">
        <f>+N205</f>
        <v>5855701</v>
      </c>
      <c r="O204" s="3300"/>
    </row>
    <row r="205" spans="1:15" ht="15" customHeight="1">
      <c r="A205" s="198"/>
      <c r="B205" s="160" t="s">
        <v>11</v>
      </c>
      <c r="C205" s="3302" t="s">
        <v>61</v>
      </c>
      <c r="D205" s="1174">
        <f>+D208+D206</f>
        <v>16198501</v>
      </c>
      <c r="E205" s="1174">
        <f t="shared" ref="E205:L205" si="132">+E208+E206</f>
        <v>7742800</v>
      </c>
      <c r="F205" s="1174">
        <f t="shared" si="132"/>
        <v>2600000</v>
      </c>
      <c r="G205" s="1174">
        <f t="shared" si="132"/>
        <v>2647000</v>
      </c>
      <c r="H205" s="1174">
        <f t="shared" si="132"/>
        <v>2788899</v>
      </c>
      <c r="I205" s="1174">
        <f t="shared" si="132"/>
        <v>83899</v>
      </c>
      <c r="J205" s="1174">
        <f t="shared" si="132"/>
        <v>97429</v>
      </c>
      <c r="K205" s="1174">
        <f t="shared" si="132"/>
        <v>113579</v>
      </c>
      <c r="L205" s="1174">
        <f t="shared" si="132"/>
        <v>124895</v>
      </c>
      <c r="M205" s="707">
        <f>+M206+M207+M208</f>
        <v>8330806</v>
      </c>
      <c r="N205" s="707">
        <f>+N206+N207+N208</f>
        <v>5855701</v>
      </c>
      <c r="O205" s="3300"/>
    </row>
    <row r="206" spans="1:15" s="1473" customFormat="1" ht="15" customHeight="1">
      <c r="A206" s="198"/>
      <c r="B206" s="1472" t="s">
        <v>12</v>
      </c>
      <c r="C206" s="3303"/>
      <c r="D206" s="1175">
        <f>D219</f>
        <v>503701</v>
      </c>
      <c r="E206" s="1517">
        <f t="shared" ref="E206:L206" si="133">E219</f>
        <v>0</v>
      </c>
      <c r="F206" s="1517">
        <f t="shared" si="133"/>
        <v>0</v>
      </c>
      <c r="G206" s="1517">
        <f t="shared" si="133"/>
        <v>0</v>
      </c>
      <c r="H206" s="1517">
        <f t="shared" si="133"/>
        <v>83899</v>
      </c>
      <c r="I206" s="1517">
        <f t="shared" si="133"/>
        <v>83899</v>
      </c>
      <c r="J206" s="1517">
        <f t="shared" si="133"/>
        <v>97429</v>
      </c>
      <c r="K206" s="1517">
        <f t="shared" si="133"/>
        <v>113579</v>
      </c>
      <c r="L206" s="1517">
        <f t="shared" si="133"/>
        <v>124895</v>
      </c>
      <c r="M206" s="839">
        <f t="shared" ref="M206:N208" si="134">SUM(F206:K206)</f>
        <v>378806</v>
      </c>
      <c r="N206" s="839">
        <f t="shared" si="134"/>
        <v>503701</v>
      </c>
      <c r="O206" s="3300"/>
    </row>
    <row r="207" spans="1:15" ht="13.5" hidden="1" customHeight="1">
      <c r="A207" s="198"/>
      <c r="B207" s="163" t="s">
        <v>62</v>
      </c>
      <c r="C207" s="3303"/>
      <c r="D207" s="1517">
        <f t="shared" ref="D207:L207" si="135">D223</f>
        <v>0</v>
      </c>
      <c r="E207" s="1517">
        <f t="shared" si="135"/>
        <v>0</v>
      </c>
      <c r="F207" s="1517">
        <f t="shared" si="135"/>
        <v>0</v>
      </c>
      <c r="G207" s="1517">
        <f t="shared" si="135"/>
        <v>0</v>
      </c>
      <c r="H207" s="1517">
        <f t="shared" si="135"/>
        <v>0</v>
      </c>
      <c r="I207" s="1517">
        <f t="shared" si="135"/>
        <v>0</v>
      </c>
      <c r="J207" s="1517">
        <f t="shared" si="135"/>
        <v>0</v>
      </c>
      <c r="K207" s="1517">
        <f t="shared" si="135"/>
        <v>0</v>
      </c>
      <c r="L207" s="1517">
        <f t="shared" si="135"/>
        <v>0</v>
      </c>
      <c r="M207" s="839">
        <f t="shared" si="134"/>
        <v>0</v>
      </c>
      <c r="N207" s="839">
        <f t="shared" si="134"/>
        <v>0</v>
      </c>
      <c r="O207" s="3300"/>
    </row>
    <row r="208" spans="1:15" ht="15.75" customHeight="1" thickBot="1">
      <c r="A208" s="858"/>
      <c r="B208" s="163" t="s">
        <v>177</v>
      </c>
      <c r="C208" s="3303"/>
      <c r="D208" s="1175">
        <f t="shared" ref="D208:E208" si="136">+D215+D223</f>
        <v>15694800</v>
      </c>
      <c r="E208" s="1175">
        <f t="shared" si="136"/>
        <v>7742800</v>
      </c>
      <c r="F208" s="1175">
        <f t="shared" ref="F208:I208" si="137">+F215</f>
        <v>2600000</v>
      </c>
      <c r="G208" s="1175">
        <f t="shared" si="137"/>
        <v>2647000</v>
      </c>
      <c r="H208" s="1175">
        <f t="shared" si="137"/>
        <v>2705000</v>
      </c>
      <c r="I208" s="1175">
        <f t="shared" si="137"/>
        <v>0</v>
      </c>
      <c r="J208" s="1175">
        <f>+J215</f>
        <v>0</v>
      </c>
      <c r="K208" s="1175">
        <f>+K215</f>
        <v>0</v>
      </c>
      <c r="L208" s="1175">
        <f>+L215</f>
        <v>0</v>
      </c>
      <c r="M208" s="839">
        <f t="shared" si="134"/>
        <v>7952000</v>
      </c>
      <c r="N208" s="839">
        <f t="shared" si="134"/>
        <v>5352000</v>
      </c>
      <c r="O208" s="3300"/>
    </row>
    <row r="209" spans="1:17" ht="18.75" hidden="1" customHeight="1">
      <c r="A209" s="662"/>
      <c r="B209" s="199" t="s">
        <v>22</v>
      </c>
      <c r="C209" s="829"/>
      <c r="D209" s="781">
        <f t="shared" ref="D209:I210" si="138">D210</f>
        <v>0</v>
      </c>
      <c r="E209" s="781">
        <f t="shared" si="138"/>
        <v>0</v>
      </c>
      <c r="F209" s="781">
        <f t="shared" si="138"/>
        <v>0</v>
      </c>
      <c r="G209" s="781">
        <f t="shared" si="138"/>
        <v>0</v>
      </c>
      <c r="H209" s="781">
        <f t="shared" si="138"/>
        <v>0</v>
      </c>
      <c r="I209" s="781">
        <f t="shared" si="138"/>
        <v>0</v>
      </c>
      <c r="J209" s="781">
        <f t="shared" ref="J209:L210" si="139">J210</f>
        <v>0</v>
      </c>
      <c r="K209" s="781">
        <f t="shared" si="139"/>
        <v>0</v>
      </c>
      <c r="L209" s="781">
        <f t="shared" si="139"/>
        <v>0</v>
      </c>
      <c r="M209" s="2908" t="s">
        <v>61</v>
      </c>
      <c r="N209" s="2908" t="s">
        <v>61</v>
      </c>
      <c r="O209" s="3300"/>
    </row>
    <row r="210" spans="1:17" ht="13.5" hidden="1" customHeight="1">
      <c r="A210" s="662"/>
      <c r="B210" s="1518" t="s">
        <v>11</v>
      </c>
      <c r="C210" s="1519"/>
      <c r="D210" s="1520">
        <f t="shared" si="138"/>
        <v>0</v>
      </c>
      <c r="E210" s="1520">
        <f t="shared" si="138"/>
        <v>0</v>
      </c>
      <c r="F210" s="1520">
        <f t="shared" si="138"/>
        <v>0</v>
      </c>
      <c r="G210" s="1520">
        <f t="shared" si="138"/>
        <v>0</v>
      </c>
      <c r="H210" s="1520">
        <f t="shared" si="138"/>
        <v>0</v>
      </c>
      <c r="I210" s="1520">
        <f t="shared" si="138"/>
        <v>0</v>
      </c>
      <c r="J210" s="1520">
        <f t="shared" si="139"/>
        <v>0</v>
      </c>
      <c r="K210" s="1520">
        <f t="shared" si="139"/>
        <v>0</v>
      </c>
      <c r="L210" s="1520">
        <f t="shared" si="139"/>
        <v>0</v>
      </c>
      <c r="M210" s="2874"/>
      <c r="N210" s="2874"/>
      <c r="O210" s="3300"/>
    </row>
    <row r="211" spans="1:17" ht="13.5" hidden="1" customHeight="1" thickBot="1">
      <c r="A211" s="840"/>
      <c r="B211" s="1521" t="s">
        <v>62</v>
      </c>
      <c r="C211" s="537"/>
      <c r="D211" s="1175"/>
      <c r="E211" s="1522">
        <f t="shared" ref="E211:G211" si="140">E225+E243+E250+E257+E264+E234+E271+E278+E285+E292</f>
        <v>0</v>
      </c>
      <c r="F211" s="1522">
        <f t="shared" si="140"/>
        <v>0</v>
      </c>
      <c r="G211" s="1522">
        <f t="shared" si="140"/>
        <v>0</v>
      </c>
      <c r="H211" s="1522">
        <f>H226</f>
        <v>0</v>
      </c>
      <c r="I211" s="1522">
        <f>I226</f>
        <v>0</v>
      </c>
      <c r="J211" s="1522">
        <f>J226</f>
        <v>0</v>
      </c>
      <c r="K211" s="1522">
        <f>K226</f>
        <v>0</v>
      </c>
      <c r="L211" s="1522">
        <f>L226</f>
        <v>0</v>
      </c>
      <c r="M211" s="2875"/>
      <c r="N211" s="2875"/>
      <c r="O211" s="3301"/>
    </row>
    <row r="212" spans="1:17" ht="39.75" customHeight="1">
      <c r="A212" s="3455" t="s">
        <v>63</v>
      </c>
      <c r="B212" s="187" t="s">
        <v>305</v>
      </c>
      <c r="C212" s="2064" t="s">
        <v>173</v>
      </c>
      <c r="D212" s="842"/>
      <c r="E212" s="843"/>
      <c r="F212" s="844"/>
      <c r="G212" s="844"/>
      <c r="H212" s="844"/>
      <c r="I212" s="843"/>
      <c r="J212" s="843"/>
      <c r="K212" s="843"/>
      <c r="L212" s="843"/>
      <c r="M212" s="845"/>
      <c r="N212" s="845"/>
      <c r="O212" s="3035" t="s">
        <v>175</v>
      </c>
    </row>
    <row r="213" spans="1:17" ht="15.75" customHeight="1">
      <c r="A213" s="3456"/>
      <c r="B213" s="728" t="s">
        <v>10</v>
      </c>
      <c r="C213" s="829"/>
      <c r="D213" s="780">
        <f t="shared" ref="D213:N214" si="141">+D214</f>
        <v>15694800</v>
      </c>
      <c r="E213" s="780">
        <f t="shared" si="141"/>
        <v>7742800</v>
      </c>
      <c r="F213" s="780">
        <f t="shared" si="141"/>
        <v>2600000</v>
      </c>
      <c r="G213" s="780">
        <f t="shared" si="141"/>
        <v>2647000</v>
      </c>
      <c r="H213" s="780">
        <f t="shared" si="141"/>
        <v>2705000</v>
      </c>
      <c r="I213" s="780">
        <f t="shared" si="141"/>
        <v>0</v>
      </c>
      <c r="J213" s="780">
        <f t="shared" si="141"/>
        <v>0</v>
      </c>
      <c r="K213" s="780">
        <f t="shared" si="141"/>
        <v>0</v>
      </c>
      <c r="L213" s="780">
        <f t="shared" si="141"/>
        <v>0</v>
      </c>
      <c r="M213" s="706">
        <f t="shared" si="141"/>
        <v>7952000</v>
      </c>
      <c r="N213" s="706">
        <f t="shared" si="141"/>
        <v>5352000</v>
      </c>
      <c r="O213" s="3036"/>
    </row>
    <row r="214" spans="1:17" ht="15" customHeight="1">
      <c r="A214" s="3456"/>
      <c r="B214" s="1083" t="s">
        <v>24</v>
      </c>
      <c r="C214" s="2887" t="s">
        <v>176</v>
      </c>
      <c r="D214" s="1469">
        <f t="shared" si="141"/>
        <v>15694800</v>
      </c>
      <c r="E214" s="1469">
        <f t="shared" si="141"/>
        <v>7742800</v>
      </c>
      <c r="F214" s="1470">
        <f t="shared" ref="F214:H214" si="142">F215</f>
        <v>2600000</v>
      </c>
      <c r="G214" s="1470">
        <f t="shared" si="142"/>
        <v>2647000</v>
      </c>
      <c r="H214" s="1470">
        <f t="shared" si="142"/>
        <v>2705000</v>
      </c>
      <c r="I214" s="1470">
        <v>0</v>
      </c>
      <c r="J214" s="1470">
        <v>0</v>
      </c>
      <c r="K214" s="1470">
        <v>0</v>
      </c>
      <c r="L214" s="1470">
        <v>0</v>
      </c>
      <c r="M214" s="707">
        <f t="shared" si="141"/>
        <v>7952000</v>
      </c>
      <c r="N214" s="707">
        <f t="shared" si="141"/>
        <v>5352000</v>
      </c>
      <c r="O214" s="3036"/>
    </row>
    <row r="215" spans="1:17" ht="15" customHeight="1" thickBot="1">
      <c r="A215" s="3457"/>
      <c r="B215" s="234" t="s">
        <v>177</v>
      </c>
      <c r="C215" s="2935"/>
      <c r="D215" s="1026">
        <f>E215+F215+G215+H215+I215+J215+K215+L215</f>
        <v>15694800</v>
      </c>
      <c r="E215" s="1026">
        <v>7742800</v>
      </c>
      <c r="F215" s="572">
        <v>2600000</v>
      </c>
      <c r="G215" s="572">
        <v>2647000</v>
      </c>
      <c r="H215" s="572">
        <v>2705000</v>
      </c>
      <c r="I215" s="572">
        <v>0</v>
      </c>
      <c r="J215" s="572">
        <v>0</v>
      </c>
      <c r="K215" s="572">
        <v>0</v>
      </c>
      <c r="L215" s="572">
        <v>0</v>
      </c>
      <c r="M215" s="839">
        <f>SUM(F215:K215)</f>
        <v>7952000</v>
      </c>
      <c r="N215" s="839">
        <f>SUM(G215:L215)</f>
        <v>5352000</v>
      </c>
      <c r="O215" s="3037"/>
    </row>
    <row r="216" spans="1:17" ht="36" customHeight="1">
      <c r="A216" s="2927" t="s">
        <v>64</v>
      </c>
      <c r="B216" s="797" t="s">
        <v>344</v>
      </c>
      <c r="C216" s="816" t="s">
        <v>109</v>
      </c>
      <c r="D216" s="816"/>
      <c r="E216" s="86"/>
      <c r="F216" s="818"/>
      <c r="G216" s="818"/>
      <c r="H216" s="818"/>
      <c r="I216" s="818"/>
      <c r="J216" s="818"/>
      <c r="K216" s="818"/>
      <c r="L216" s="818"/>
      <c r="M216" s="798"/>
      <c r="N216" s="798"/>
      <c r="O216" s="3387" t="s">
        <v>470</v>
      </c>
      <c r="Q216" s="204"/>
    </row>
    <row r="217" spans="1:17" ht="15" customHeight="1">
      <c r="A217" s="2927"/>
      <c r="B217" s="728" t="s">
        <v>10</v>
      </c>
      <c r="C217" s="817"/>
      <c r="D217" s="780">
        <f>D218</f>
        <v>503701</v>
      </c>
      <c r="E217" s="780">
        <f t="shared" ref="E217:L218" si="143">E218</f>
        <v>0</v>
      </c>
      <c r="F217" s="830">
        <f t="shared" si="143"/>
        <v>0</v>
      </c>
      <c r="G217" s="830">
        <f t="shared" si="143"/>
        <v>0</v>
      </c>
      <c r="H217" s="780">
        <f t="shared" si="143"/>
        <v>83899</v>
      </c>
      <c r="I217" s="780">
        <f t="shared" si="143"/>
        <v>83899</v>
      </c>
      <c r="J217" s="780">
        <f t="shared" si="143"/>
        <v>97429</v>
      </c>
      <c r="K217" s="780">
        <f t="shared" si="143"/>
        <v>113579</v>
      </c>
      <c r="L217" s="781">
        <f t="shared" si="143"/>
        <v>124895</v>
      </c>
      <c r="M217" s="809">
        <f>M218</f>
        <v>503701</v>
      </c>
      <c r="N217" s="809">
        <f>N218</f>
        <v>503701</v>
      </c>
      <c r="O217" s="3387"/>
    </row>
    <row r="218" spans="1:17" ht="15" customHeight="1">
      <c r="A218" s="2927"/>
      <c r="B218" s="783" t="s">
        <v>11</v>
      </c>
      <c r="C218" s="3393" t="s">
        <v>172</v>
      </c>
      <c r="D218" s="785">
        <f>D219</f>
        <v>503701</v>
      </c>
      <c r="E218" s="785">
        <f t="shared" si="143"/>
        <v>0</v>
      </c>
      <c r="F218" s="801">
        <f t="shared" si="143"/>
        <v>0</v>
      </c>
      <c r="G218" s="801">
        <f t="shared" si="143"/>
        <v>0</v>
      </c>
      <c r="H218" s="785">
        <f t="shared" si="143"/>
        <v>83899</v>
      </c>
      <c r="I218" s="785">
        <f t="shared" si="143"/>
        <v>83899</v>
      </c>
      <c r="J218" s="785">
        <f t="shared" si="143"/>
        <v>97429</v>
      </c>
      <c r="K218" s="785">
        <f t="shared" si="143"/>
        <v>113579</v>
      </c>
      <c r="L218" s="785">
        <f t="shared" si="143"/>
        <v>124895</v>
      </c>
      <c r="M218" s="810">
        <f>M219</f>
        <v>503701</v>
      </c>
      <c r="N218" s="810">
        <f>N219</f>
        <v>503701</v>
      </c>
      <c r="O218" s="3387"/>
    </row>
    <row r="219" spans="1:17" ht="15" customHeight="1" thickBot="1">
      <c r="A219" s="2928"/>
      <c r="B219" s="82" t="s">
        <v>12</v>
      </c>
      <c r="C219" s="3397"/>
      <c r="D219" s="1026">
        <f>E219+F219+G219+H219+I219+J219+K219+L219</f>
        <v>503701</v>
      </c>
      <c r="E219" s="1026">
        <v>0</v>
      </c>
      <c r="F219" s="1466">
        <v>0</v>
      </c>
      <c r="G219" s="1466">
        <v>0</v>
      </c>
      <c r="H219" s="1467">
        <v>83899</v>
      </c>
      <c r="I219" s="1467">
        <v>83899</v>
      </c>
      <c r="J219" s="1467">
        <v>97429</v>
      </c>
      <c r="K219" s="1467">
        <v>113579</v>
      </c>
      <c r="L219" s="1467">
        <v>124895</v>
      </c>
      <c r="M219" s="1468">
        <f>SUM(F219:L219)</f>
        <v>503701</v>
      </c>
      <c r="N219" s="1468">
        <f>SUM(G219:L219)</f>
        <v>503701</v>
      </c>
      <c r="O219" s="3388"/>
    </row>
    <row r="220" spans="1:17" ht="40.5" hidden="1" customHeight="1">
      <c r="A220" s="3451" t="s">
        <v>65</v>
      </c>
      <c r="B220" s="272"/>
      <c r="C220" s="264" t="s">
        <v>173</v>
      </c>
      <c r="D220" s="859"/>
      <c r="E220" s="860"/>
      <c r="F220" s="861"/>
      <c r="G220" s="861"/>
      <c r="H220" s="861"/>
      <c r="I220" s="860"/>
      <c r="J220" s="860"/>
      <c r="K220" s="860"/>
      <c r="L220" s="860"/>
      <c r="M220" s="862"/>
      <c r="N220" s="862"/>
      <c r="O220" s="3452" t="s">
        <v>194</v>
      </c>
    </row>
    <row r="221" spans="1:17" ht="17.25" hidden="1" customHeight="1">
      <c r="A221" s="3451"/>
      <c r="B221" s="139" t="s">
        <v>10</v>
      </c>
      <c r="C221" s="139"/>
      <c r="D221" s="239"/>
      <c r="E221" s="239"/>
      <c r="F221" s="274"/>
      <c r="G221" s="273">
        <f t="shared" ref="G221:N221" si="144">+G222</f>
        <v>0</v>
      </c>
      <c r="H221" s="273">
        <f t="shared" si="144"/>
        <v>0</v>
      </c>
      <c r="I221" s="274">
        <f t="shared" si="144"/>
        <v>0</v>
      </c>
      <c r="J221" s="274"/>
      <c r="K221" s="274"/>
      <c r="L221" s="274"/>
      <c r="M221" s="66">
        <f t="shared" si="144"/>
        <v>0</v>
      </c>
      <c r="N221" s="66">
        <f t="shared" si="144"/>
        <v>0</v>
      </c>
      <c r="O221" s="3452"/>
    </row>
    <row r="222" spans="1:17" ht="16.5" hidden="1" customHeight="1">
      <c r="A222" s="3451"/>
      <c r="B222" s="178" t="s">
        <v>195</v>
      </c>
      <c r="C222" s="3453" t="s">
        <v>193</v>
      </c>
      <c r="D222" s="275"/>
      <c r="E222" s="276"/>
      <c r="F222" s="276"/>
      <c r="G222" s="276">
        <f>G223</f>
        <v>0</v>
      </c>
      <c r="H222" s="276">
        <f>H223</f>
        <v>0</v>
      </c>
      <c r="I222" s="277">
        <f>I223</f>
        <v>0</v>
      </c>
      <c r="J222" s="277"/>
      <c r="K222" s="277"/>
      <c r="L222" s="277"/>
      <c r="M222" s="80">
        <f>+M223</f>
        <v>0</v>
      </c>
      <c r="N222" s="80">
        <f>+N223</f>
        <v>0</v>
      </c>
      <c r="O222" s="3452"/>
    </row>
    <row r="223" spans="1:17" ht="13.5" hidden="1" customHeight="1">
      <c r="A223" s="3451"/>
      <c r="B223" s="278" t="s">
        <v>62</v>
      </c>
      <c r="C223" s="3454"/>
      <c r="D223" s="279"/>
      <c r="E223" s="280"/>
      <c r="F223" s="280"/>
      <c r="G223" s="280">
        <v>0</v>
      </c>
      <c r="H223" s="280">
        <v>0</v>
      </c>
      <c r="I223" s="280">
        <v>0</v>
      </c>
      <c r="J223" s="280"/>
      <c r="K223" s="280"/>
      <c r="L223" s="280"/>
      <c r="M223" s="281"/>
      <c r="N223" s="281"/>
      <c r="O223" s="3452"/>
    </row>
    <row r="224" spans="1:17" ht="15.75" hidden="1" customHeight="1">
      <c r="A224" s="3451"/>
      <c r="B224" s="282" t="s">
        <v>22</v>
      </c>
      <c r="C224" s="22"/>
      <c r="D224" s="31"/>
      <c r="E224" s="200"/>
      <c r="F224" s="200"/>
      <c r="G224" s="200"/>
      <c r="H224" s="200">
        <f t="shared" ref="G224:I225" si="145">H225</f>
        <v>0</v>
      </c>
      <c r="I224" s="200">
        <f t="shared" si="145"/>
        <v>0</v>
      </c>
      <c r="J224" s="863"/>
      <c r="K224" s="863"/>
      <c r="L224" s="863"/>
      <c r="M224" s="2874" t="s">
        <v>61</v>
      </c>
      <c r="N224" s="2874" t="s">
        <v>61</v>
      </c>
      <c r="O224" s="3452"/>
    </row>
    <row r="225" spans="1:15" ht="16.5" hidden="1" customHeight="1">
      <c r="A225" s="3451"/>
      <c r="B225" s="178" t="s">
        <v>11</v>
      </c>
      <c r="C225" s="3002" t="s">
        <v>193</v>
      </c>
      <c r="D225" s="130"/>
      <c r="E225" s="51"/>
      <c r="F225" s="51"/>
      <c r="G225" s="51">
        <f t="shared" si="145"/>
        <v>0</v>
      </c>
      <c r="H225" s="51">
        <f t="shared" si="145"/>
        <v>0</v>
      </c>
      <c r="I225" s="51">
        <f t="shared" si="145"/>
        <v>0</v>
      </c>
      <c r="J225" s="306"/>
      <c r="K225" s="306"/>
      <c r="L225" s="306"/>
      <c r="M225" s="2874"/>
      <c r="N225" s="2874"/>
      <c r="O225" s="3452"/>
    </row>
    <row r="226" spans="1:15" ht="13.5" hidden="1" customHeight="1" thickBot="1">
      <c r="A226" s="3451"/>
      <c r="B226" s="2067" t="s">
        <v>62</v>
      </c>
      <c r="C226" s="2921"/>
      <c r="D226" s="283"/>
      <c r="E226" s="74"/>
      <c r="F226" s="73"/>
      <c r="G226" s="73">
        <v>0</v>
      </c>
      <c r="H226" s="73">
        <v>0</v>
      </c>
      <c r="I226" s="73">
        <v>0</v>
      </c>
      <c r="J226" s="57"/>
      <c r="K226" s="57"/>
      <c r="L226" s="57"/>
      <c r="M226" s="2875"/>
      <c r="N226" s="2875"/>
      <c r="O226" s="3452"/>
    </row>
    <row r="227" spans="1:15" ht="17.25" customHeight="1">
      <c r="A227" s="831" t="s">
        <v>445</v>
      </c>
      <c r="E227" s="750"/>
      <c r="O227" s="864"/>
    </row>
    <row r="228" spans="1:15" ht="11.25" customHeight="1">
      <c r="A228" s="3450"/>
      <c r="B228" s="3450"/>
      <c r="C228" s="3450"/>
      <c r="D228" s="3450"/>
      <c r="E228" s="3450"/>
      <c r="F228" s="3450"/>
      <c r="G228" s="3450"/>
      <c r="H228" s="3450"/>
      <c r="I228" s="3450"/>
      <c r="J228" s="3450"/>
      <c r="K228" s="3450"/>
      <c r="L228" s="3450"/>
      <c r="M228" s="3450"/>
      <c r="N228" s="3450"/>
      <c r="O228" s="3450"/>
    </row>
    <row r="229" spans="1:15" hidden="1">
      <c r="A229" s="3450"/>
      <c r="B229" s="3450"/>
      <c r="C229" s="3450"/>
      <c r="D229" s="3450"/>
      <c r="E229" s="3450"/>
      <c r="F229" s="3450"/>
      <c r="G229" s="3450"/>
      <c r="H229" s="3450"/>
      <c r="I229" s="3450"/>
      <c r="J229" s="3450"/>
      <c r="K229" s="3450"/>
      <c r="L229" s="3450"/>
      <c r="M229" s="3450"/>
      <c r="N229" s="3450"/>
      <c r="O229" s="3450"/>
    </row>
    <row r="230" spans="1:15" ht="12.75" hidden="1">
      <c r="B230" s="1573" t="s">
        <v>390</v>
      </c>
      <c r="C230" s="1564"/>
      <c r="D230" s="1564"/>
      <c r="E230" s="1564"/>
      <c r="F230" s="1564"/>
      <c r="G230" s="1564"/>
      <c r="H230" s="1564"/>
      <c r="I230" s="1564"/>
      <c r="J230" s="1564"/>
      <c r="K230" s="1564"/>
      <c r="L230" s="1564"/>
      <c r="O230" s="864"/>
    </row>
    <row r="231" spans="1:15" ht="12.75" hidden="1">
      <c r="B231" s="1524" t="s">
        <v>391</v>
      </c>
      <c r="C231" s="1564"/>
      <c r="D231" s="1570">
        <f>D76+D101+D123+D132+D154+D176+D185</f>
        <v>2781108</v>
      </c>
      <c r="E231" s="1570">
        <f t="shared" ref="E231:L231" si="146">E76+E101+E123+E132+E154+E176+E185</f>
        <v>0</v>
      </c>
      <c r="F231" s="1570">
        <f t="shared" si="146"/>
        <v>2133</v>
      </c>
      <c r="G231" s="1570">
        <f t="shared" si="146"/>
        <v>642573</v>
      </c>
      <c r="H231" s="1570">
        <f t="shared" si="146"/>
        <v>1328386</v>
      </c>
      <c r="I231" s="1570">
        <f t="shared" si="146"/>
        <v>618806</v>
      </c>
      <c r="J231" s="1570">
        <f t="shared" si="146"/>
        <v>189210</v>
      </c>
      <c r="K231" s="1570">
        <f t="shared" si="146"/>
        <v>0</v>
      </c>
      <c r="L231" s="1570">
        <f t="shared" si="146"/>
        <v>0</v>
      </c>
      <c r="O231" s="864"/>
    </row>
    <row r="232" spans="1:15" ht="12.75" hidden="1">
      <c r="B232" s="1524" t="s">
        <v>392</v>
      </c>
      <c r="C232" s="1564"/>
      <c r="D232" s="1570">
        <f>D31+D40+D49+D58+D67+D86+D110+D141+D163+D195</f>
        <v>92211269</v>
      </c>
      <c r="E232" s="1570">
        <f t="shared" ref="E232:L232" si="147">E31+E40+E49+E58+E67+E86+E110+E141+E163+E195</f>
        <v>0</v>
      </c>
      <c r="F232" s="1570">
        <f t="shared" si="147"/>
        <v>130000</v>
      </c>
      <c r="G232" s="1570">
        <f t="shared" si="147"/>
        <v>77306542</v>
      </c>
      <c r="H232" s="1570">
        <f t="shared" si="147"/>
        <v>11320308</v>
      </c>
      <c r="I232" s="1570">
        <f t="shared" si="147"/>
        <v>1694226</v>
      </c>
      <c r="J232" s="1570">
        <f t="shared" si="147"/>
        <v>1760193</v>
      </c>
      <c r="K232" s="1570">
        <f t="shared" si="147"/>
        <v>0</v>
      </c>
      <c r="L232" s="1570">
        <f t="shared" si="147"/>
        <v>0</v>
      </c>
      <c r="O232" s="864"/>
    </row>
    <row r="233" spans="1:15" ht="12.75" hidden="1">
      <c r="B233" s="1524" t="s">
        <v>393</v>
      </c>
      <c r="C233" s="1564"/>
      <c r="D233" s="1571">
        <f>D231+D232</f>
        <v>94992377</v>
      </c>
      <c r="E233" s="1571">
        <f t="shared" ref="E233:I233" si="148">E231+E232</f>
        <v>0</v>
      </c>
      <c r="F233" s="1571">
        <f t="shared" si="148"/>
        <v>132133</v>
      </c>
      <c r="G233" s="1571">
        <f t="shared" si="148"/>
        <v>77949115</v>
      </c>
      <c r="H233" s="1571">
        <f t="shared" si="148"/>
        <v>12648694</v>
      </c>
      <c r="I233" s="1571">
        <f t="shared" si="148"/>
        <v>2313032</v>
      </c>
      <c r="J233" s="1571">
        <f t="shared" ref="J233:L233" si="149">J231+J232</f>
        <v>1949403</v>
      </c>
      <c r="K233" s="1571">
        <f t="shared" si="149"/>
        <v>0</v>
      </c>
      <c r="L233" s="1571">
        <f t="shared" si="149"/>
        <v>0</v>
      </c>
      <c r="O233" s="864"/>
    </row>
    <row r="234" spans="1:15" ht="12.75" hidden="1">
      <c r="B234" s="1567" t="s">
        <v>42</v>
      </c>
      <c r="C234" s="1569"/>
      <c r="D234" s="1572">
        <f t="shared" ref="D234:L234" si="150">D233-D18</f>
        <v>0</v>
      </c>
      <c r="E234" s="1572">
        <f t="shared" si="150"/>
        <v>0</v>
      </c>
      <c r="F234" s="1572">
        <f t="shared" si="150"/>
        <v>0</v>
      </c>
      <c r="G234" s="1572">
        <f t="shared" si="150"/>
        <v>0</v>
      </c>
      <c r="H234" s="1572">
        <f t="shared" si="150"/>
        <v>0</v>
      </c>
      <c r="I234" s="1572">
        <f t="shared" si="150"/>
        <v>0</v>
      </c>
      <c r="J234" s="1572">
        <f t="shared" si="150"/>
        <v>0</v>
      </c>
      <c r="K234" s="1572">
        <f t="shared" si="150"/>
        <v>0</v>
      </c>
      <c r="L234" s="1572">
        <f t="shared" si="150"/>
        <v>0</v>
      </c>
      <c r="O234" s="864"/>
    </row>
    <row r="235" spans="1:15" hidden="1">
      <c r="E235" s="750"/>
      <c r="O235" s="864"/>
    </row>
    <row r="236" spans="1:15" hidden="1">
      <c r="E236" s="750"/>
      <c r="O236" s="864"/>
    </row>
    <row r="237" spans="1:15" hidden="1">
      <c r="E237" s="750"/>
      <c r="O237" s="864"/>
    </row>
    <row r="238" spans="1:15" hidden="1">
      <c r="E238" s="750"/>
      <c r="O238" s="864"/>
    </row>
    <row r="239" spans="1:15" hidden="1">
      <c r="E239" s="750"/>
      <c r="O239" s="864"/>
    </row>
    <row r="240" spans="1:15" hidden="1">
      <c r="E240" s="750"/>
      <c r="O240" s="864"/>
    </row>
    <row r="241" spans="5:15" hidden="1">
      <c r="E241" s="750"/>
      <c r="O241" s="864"/>
    </row>
    <row r="242" spans="5:15" hidden="1">
      <c r="E242" s="750"/>
      <c r="O242" s="864"/>
    </row>
    <row r="243" spans="5:15" hidden="1">
      <c r="E243" s="750"/>
      <c r="O243" s="864"/>
    </row>
    <row r="244" spans="5:15" hidden="1">
      <c r="E244" s="750"/>
      <c r="O244" s="864"/>
    </row>
    <row r="245" spans="5:15" hidden="1">
      <c r="E245" s="750"/>
      <c r="O245" s="864"/>
    </row>
    <row r="246" spans="5:15" hidden="1">
      <c r="E246" s="750"/>
      <c r="O246" s="864"/>
    </row>
    <row r="247" spans="5:15" hidden="1">
      <c r="E247" s="750"/>
      <c r="O247" s="864"/>
    </row>
    <row r="248" spans="5:15" hidden="1">
      <c r="E248" s="750"/>
      <c r="O248" s="864"/>
    </row>
    <row r="249" spans="5:15">
      <c r="E249" s="750"/>
      <c r="O249" s="864"/>
    </row>
    <row r="250" spans="5:15">
      <c r="E250" s="750"/>
      <c r="O250" s="864"/>
    </row>
    <row r="251" spans="5:15">
      <c r="E251" s="750"/>
      <c r="O251" s="864"/>
    </row>
    <row r="252" spans="5:15">
      <c r="E252" s="750"/>
      <c r="O252" s="864"/>
    </row>
    <row r="253" spans="5:15">
      <c r="E253" s="750"/>
      <c r="O253" s="864"/>
    </row>
    <row r="254" spans="5:15">
      <c r="E254" s="750"/>
      <c r="O254" s="864"/>
    </row>
    <row r="255" spans="5:15">
      <c r="E255" s="750"/>
      <c r="O255" s="864"/>
    </row>
    <row r="256" spans="5:15">
      <c r="E256" s="750"/>
      <c r="O256" s="864"/>
    </row>
    <row r="257" spans="5:15">
      <c r="E257" s="750"/>
      <c r="O257" s="864"/>
    </row>
    <row r="258" spans="5:15">
      <c r="E258" s="750"/>
      <c r="O258" s="864"/>
    </row>
    <row r="259" spans="5:15">
      <c r="E259" s="750"/>
      <c r="O259" s="864"/>
    </row>
    <row r="260" spans="5:15">
      <c r="E260" s="750"/>
      <c r="O260" s="864"/>
    </row>
    <row r="261" spans="5:15">
      <c r="E261" s="750"/>
      <c r="O261" s="864"/>
    </row>
    <row r="262" spans="5:15">
      <c r="E262" s="750"/>
      <c r="O262" s="864"/>
    </row>
    <row r="263" spans="5:15">
      <c r="E263" s="750"/>
      <c r="O263" s="864"/>
    </row>
    <row r="264" spans="5:15">
      <c r="E264" s="750"/>
      <c r="O264" s="864"/>
    </row>
    <row r="265" spans="5:15">
      <c r="E265" s="750"/>
      <c r="O265" s="864"/>
    </row>
    <row r="266" spans="5:15">
      <c r="E266" s="750"/>
      <c r="O266" s="864"/>
    </row>
    <row r="267" spans="5:15">
      <c r="E267" s="750"/>
      <c r="O267" s="864"/>
    </row>
    <row r="268" spans="5:15">
      <c r="E268" s="750"/>
      <c r="O268" s="864"/>
    </row>
    <row r="269" spans="5:15">
      <c r="E269" s="750"/>
      <c r="O269" s="864"/>
    </row>
    <row r="270" spans="5:15">
      <c r="E270" s="750"/>
      <c r="O270" s="864"/>
    </row>
    <row r="271" spans="5:15">
      <c r="E271" s="750"/>
      <c r="O271" s="864"/>
    </row>
    <row r="272" spans="5:15">
      <c r="E272" s="750"/>
      <c r="O272" s="864"/>
    </row>
    <row r="273" spans="5:15">
      <c r="E273" s="750"/>
      <c r="O273" s="864"/>
    </row>
    <row r="274" spans="5:15">
      <c r="E274" s="750"/>
      <c r="O274" s="864"/>
    </row>
    <row r="275" spans="5:15">
      <c r="E275" s="750"/>
      <c r="O275" s="864"/>
    </row>
    <row r="276" spans="5:15">
      <c r="E276" s="750"/>
      <c r="O276" s="864"/>
    </row>
    <row r="277" spans="5:15">
      <c r="E277" s="750"/>
      <c r="O277" s="864"/>
    </row>
    <row r="278" spans="5:15">
      <c r="E278" s="750"/>
      <c r="O278" s="864"/>
    </row>
    <row r="279" spans="5:15">
      <c r="E279" s="750"/>
      <c r="O279" s="864"/>
    </row>
    <row r="280" spans="5:15">
      <c r="E280" s="750"/>
      <c r="O280" s="864"/>
    </row>
    <row r="281" spans="5:15">
      <c r="E281" s="750"/>
      <c r="O281" s="864"/>
    </row>
    <row r="282" spans="5:15">
      <c r="E282" s="750"/>
      <c r="O282" s="864"/>
    </row>
    <row r="283" spans="5:15">
      <c r="E283" s="750"/>
      <c r="O283" s="864"/>
    </row>
    <row r="284" spans="5:15">
      <c r="E284" s="750"/>
      <c r="O284" s="864"/>
    </row>
    <row r="285" spans="5:15">
      <c r="E285" s="750"/>
      <c r="O285" s="864"/>
    </row>
    <row r="286" spans="5:15">
      <c r="E286" s="750"/>
      <c r="O286" s="864"/>
    </row>
    <row r="287" spans="5:15">
      <c r="E287" s="750"/>
      <c r="O287" s="864"/>
    </row>
    <row r="288" spans="5:15">
      <c r="E288" s="750"/>
      <c r="O288" s="864"/>
    </row>
    <row r="289" spans="5:15">
      <c r="E289" s="750"/>
      <c r="O289" s="864"/>
    </row>
    <row r="290" spans="5:15">
      <c r="E290" s="750"/>
      <c r="O290" s="864"/>
    </row>
    <row r="291" spans="5:15">
      <c r="E291" s="750"/>
      <c r="O291" s="864"/>
    </row>
    <row r="292" spans="5:15">
      <c r="E292" s="750"/>
      <c r="O292" s="864"/>
    </row>
    <row r="293" spans="5:15">
      <c r="E293" s="750"/>
      <c r="O293" s="864"/>
    </row>
    <row r="294" spans="5:15">
      <c r="E294" s="750"/>
      <c r="O294" s="864"/>
    </row>
    <row r="295" spans="5:15">
      <c r="E295" s="750"/>
      <c r="O295" s="864"/>
    </row>
    <row r="296" spans="5:15">
      <c r="E296" s="750"/>
      <c r="O296" s="864"/>
    </row>
    <row r="297" spans="5:15">
      <c r="E297" s="750"/>
      <c r="O297" s="864"/>
    </row>
    <row r="298" spans="5:15">
      <c r="E298" s="750"/>
      <c r="O298" s="864"/>
    </row>
    <row r="299" spans="5:15">
      <c r="E299" s="750"/>
      <c r="O299" s="864"/>
    </row>
    <row r="300" spans="5:15">
      <c r="E300" s="750"/>
      <c r="O300" s="864"/>
    </row>
    <row r="301" spans="5:15">
      <c r="E301" s="750"/>
      <c r="O301" s="864"/>
    </row>
    <row r="302" spans="5:15">
      <c r="E302" s="750"/>
      <c r="O302" s="864"/>
    </row>
    <row r="303" spans="5:15">
      <c r="E303" s="750"/>
      <c r="O303" s="864"/>
    </row>
    <row r="304" spans="5:15">
      <c r="E304" s="750"/>
      <c r="O304" s="864"/>
    </row>
    <row r="305" spans="5:15">
      <c r="E305" s="750"/>
      <c r="O305" s="864"/>
    </row>
    <row r="306" spans="5:15">
      <c r="E306" s="750"/>
      <c r="O306" s="864"/>
    </row>
    <row r="307" spans="5:15">
      <c r="E307" s="750"/>
      <c r="O307" s="864"/>
    </row>
    <row r="308" spans="5:15">
      <c r="E308" s="750"/>
      <c r="O308" s="864"/>
    </row>
    <row r="309" spans="5:15">
      <c r="E309" s="750"/>
      <c r="O309" s="864"/>
    </row>
    <row r="310" spans="5:15">
      <c r="E310" s="750"/>
      <c r="O310" s="864"/>
    </row>
    <row r="311" spans="5:15">
      <c r="E311" s="750"/>
      <c r="O311" s="864"/>
    </row>
    <row r="312" spans="5:15">
      <c r="E312" s="750"/>
      <c r="O312" s="864"/>
    </row>
    <row r="313" spans="5:15">
      <c r="E313" s="750"/>
      <c r="O313" s="864"/>
    </row>
    <row r="314" spans="5:15">
      <c r="E314" s="750"/>
      <c r="O314" s="864"/>
    </row>
    <row r="315" spans="5:15">
      <c r="E315" s="750"/>
      <c r="O315" s="864"/>
    </row>
    <row r="316" spans="5:15">
      <c r="E316" s="750"/>
      <c r="O316" s="864"/>
    </row>
    <row r="317" spans="5:15">
      <c r="E317" s="750"/>
      <c r="O317" s="864"/>
    </row>
    <row r="318" spans="5:15">
      <c r="E318" s="750"/>
      <c r="O318" s="864"/>
    </row>
    <row r="319" spans="5:15">
      <c r="E319" s="750"/>
      <c r="O319" s="864"/>
    </row>
    <row r="320" spans="5:15">
      <c r="E320" s="750"/>
      <c r="O320" s="864"/>
    </row>
    <row r="321" spans="5:15">
      <c r="E321" s="750"/>
      <c r="O321" s="864"/>
    </row>
    <row r="322" spans="5:15">
      <c r="E322" s="750"/>
      <c r="O322" s="864"/>
    </row>
    <row r="323" spans="5:15">
      <c r="E323" s="750"/>
      <c r="O323" s="864"/>
    </row>
    <row r="324" spans="5:15">
      <c r="E324" s="750"/>
      <c r="O324" s="864"/>
    </row>
    <row r="325" spans="5:15">
      <c r="E325" s="750"/>
      <c r="O325" s="864"/>
    </row>
    <row r="326" spans="5:15">
      <c r="E326" s="750"/>
      <c r="O326" s="864"/>
    </row>
    <row r="327" spans="5:15">
      <c r="E327" s="750"/>
      <c r="O327" s="864"/>
    </row>
    <row r="328" spans="5:15">
      <c r="E328" s="750"/>
      <c r="O328" s="864"/>
    </row>
    <row r="329" spans="5:15">
      <c r="E329" s="750"/>
      <c r="O329" s="864"/>
    </row>
    <row r="330" spans="5:15">
      <c r="E330" s="750"/>
      <c r="O330" s="864"/>
    </row>
    <row r="331" spans="5:15">
      <c r="E331" s="750"/>
      <c r="O331" s="864"/>
    </row>
    <row r="332" spans="5:15">
      <c r="E332" s="750"/>
      <c r="O332" s="864"/>
    </row>
    <row r="333" spans="5:15">
      <c r="E333" s="750"/>
      <c r="O333" s="864"/>
    </row>
    <row r="334" spans="5:15">
      <c r="E334" s="750"/>
      <c r="O334" s="864"/>
    </row>
    <row r="335" spans="5:15">
      <c r="E335" s="750"/>
      <c r="O335" s="864"/>
    </row>
    <row r="336" spans="5:15">
      <c r="E336" s="750"/>
      <c r="O336" s="864"/>
    </row>
    <row r="337" spans="5:15">
      <c r="E337" s="750"/>
      <c r="O337" s="864"/>
    </row>
    <row r="338" spans="5:15">
      <c r="E338" s="750"/>
      <c r="O338" s="864"/>
    </row>
    <row r="339" spans="5:15">
      <c r="E339" s="750"/>
      <c r="O339" s="864"/>
    </row>
    <row r="340" spans="5:15">
      <c r="E340" s="750"/>
      <c r="O340" s="864"/>
    </row>
    <row r="341" spans="5:15">
      <c r="E341" s="750"/>
      <c r="O341" s="864"/>
    </row>
    <row r="342" spans="5:15">
      <c r="E342" s="750"/>
      <c r="O342" s="864"/>
    </row>
    <row r="343" spans="5:15">
      <c r="E343" s="750"/>
      <c r="O343" s="864"/>
    </row>
    <row r="344" spans="5:15">
      <c r="E344" s="750"/>
      <c r="O344" s="864"/>
    </row>
    <row r="345" spans="5:15">
      <c r="E345" s="750"/>
      <c r="O345" s="864"/>
    </row>
    <row r="346" spans="5:15">
      <c r="E346" s="750"/>
      <c r="O346" s="864"/>
    </row>
    <row r="347" spans="5:15">
      <c r="E347" s="750"/>
      <c r="O347" s="864"/>
    </row>
    <row r="348" spans="5:15">
      <c r="E348" s="750"/>
      <c r="O348" s="864"/>
    </row>
    <row r="349" spans="5:15">
      <c r="E349" s="750"/>
      <c r="O349" s="864"/>
    </row>
    <row r="350" spans="5:15">
      <c r="E350" s="750"/>
      <c r="O350" s="864"/>
    </row>
    <row r="351" spans="5:15">
      <c r="E351" s="750"/>
      <c r="O351" s="864"/>
    </row>
    <row r="352" spans="5:15">
      <c r="E352" s="750"/>
      <c r="O352" s="864"/>
    </row>
    <row r="353" spans="5:15">
      <c r="E353" s="750"/>
      <c r="O353" s="864"/>
    </row>
    <row r="354" spans="5:15">
      <c r="E354" s="750"/>
      <c r="O354" s="864"/>
    </row>
    <row r="355" spans="5:15">
      <c r="E355" s="750"/>
      <c r="O355" s="864"/>
    </row>
    <row r="356" spans="5:15">
      <c r="E356" s="750"/>
      <c r="O356" s="864"/>
    </row>
    <row r="357" spans="5:15">
      <c r="E357" s="750"/>
      <c r="O357" s="864"/>
    </row>
    <row r="358" spans="5:15">
      <c r="E358" s="750"/>
      <c r="O358" s="864"/>
    </row>
    <row r="359" spans="5:15">
      <c r="E359" s="750"/>
      <c r="O359" s="864"/>
    </row>
    <row r="360" spans="5:15">
      <c r="E360" s="750"/>
      <c r="O360" s="864"/>
    </row>
    <row r="361" spans="5:15">
      <c r="E361" s="750"/>
      <c r="O361" s="864"/>
    </row>
    <row r="362" spans="5:15">
      <c r="E362" s="750"/>
      <c r="O362" s="864"/>
    </row>
    <row r="363" spans="5:15">
      <c r="E363" s="750"/>
      <c r="O363" s="864"/>
    </row>
    <row r="364" spans="5:15">
      <c r="E364" s="750"/>
      <c r="O364" s="864"/>
    </row>
    <row r="365" spans="5:15">
      <c r="E365" s="750"/>
      <c r="O365" s="864"/>
    </row>
    <row r="366" spans="5:15">
      <c r="E366" s="750"/>
      <c r="O366" s="864"/>
    </row>
    <row r="367" spans="5:15">
      <c r="E367" s="750"/>
      <c r="O367" s="864"/>
    </row>
    <row r="368" spans="5:15">
      <c r="E368" s="750"/>
      <c r="O368" s="864"/>
    </row>
    <row r="369" spans="5:15">
      <c r="E369" s="750"/>
      <c r="O369" s="864"/>
    </row>
    <row r="370" spans="5:15">
      <c r="E370" s="750"/>
      <c r="O370" s="864"/>
    </row>
    <row r="371" spans="5:15">
      <c r="E371" s="750"/>
      <c r="O371" s="864"/>
    </row>
    <row r="372" spans="5:15">
      <c r="E372" s="750"/>
      <c r="O372" s="864"/>
    </row>
    <row r="373" spans="5:15">
      <c r="E373" s="750"/>
      <c r="O373" s="864"/>
    </row>
    <row r="374" spans="5:15">
      <c r="E374" s="750"/>
      <c r="O374" s="864"/>
    </row>
    <row r="375" spans="5:15">
      <c r="E375" s="750"/>
      <c r="O375" s="864"/>
    </row>
    <row r="376" spans="5:15">
      <c r="E376" s="750"/>
      <c r="O376" s="864"/>
    </row>
    <row r="377" spans="5:15">
      <c r="E377" s="750"/>
      <c r="O377" s="864"/>
    </row>
    <row r="378" spans="5:15">
      <c r="E378" s="750"/>
      <c r="O378" s="864"/>
    </row>
    <row r="379" spans="5:15">
      <c r="E379" s="750"/>
      <c r="O379" s="864"/>
    </row>
    <row r="380" spans="5:15">
      <c r="E380" s="750"/>
      <c r="O380" s="864"/>
    </row>
    <row r="381" spans="5:15">
      <c r="E381" s="750"/>
      <c r="O381" s="864"/>
    </row>
    <row r="382" spans="5:15">
      <c r="E382" s="750"/>
      <c r="O382" s="864"/>
    </row>
    <row r="383" spans="5:15">
      <c r="E383" s="750"/>
      <c r="O383" s="864"/>
    </row>
    <row r="384" spans="5:15">
      <c r="E384" s="750"/>
      <c r="O384" s="864"/>
    </row>
    <row r="385" spans="5:15">
      <c r="E385" s="750"/>
      <c r="O385" s="864"/>
    </row>
    <row r="386" spans="5:15">
      <c r="E386" s="750"/>
      <c r="O386" s="864"/>
    </row>
    <row r="387" spans="5:15">
      <c r="E387" s="750"/>
      <c r="O387" s="864"/>
    </row>
    <row r="388" spans="5:15">
      <c r="E388" s="750"/>
      <c r="O388" s="864"/>
    </row>
    <row r="389" spans="5:15">
      <c r="E389" s="750"/>
      <c r="O389" s="864"/>
    </row>
    <row r="390" spans="5:15">
      <c r="E390" s="750"/>
      <c r="O390" s="864"/>
    </row>
    <row r="391" spans="5:15">
      <c r="E391" s="750"/>
      <c r="O391" s="864"/>
    </row>
    <row r="392" spans="5:15">
      <c r="E392" s="750"/>
      <c r="O392" s="864"/>
    </row>
    <row r="393" spans="5:15">
      <c r="E393" s="750"/>
      <c r="O393" s="864"/>
    </row>
    <row r="394" spans="5:15">
      <c r="E394" s="750"/>
      <c r="O394" s="864"/>
    </row>
    <row r="395" spans="5:15">
      <c r="E395" s="750"/>
      <c r="O395" s="864"/>
    </row>
    <row r="396" spans="5:15">
      <c r="E396" s="750"/>
      <c r="O396" s="864"/>
    </row>
    <row r="397" spans="5:15">
      <c r="E397" s="750"/>
      <c r="O397" s="864"/>
    </row>
    <row r="398" spans="5:15">
      <c r="E398" s="750"/>
      <c r="O398" s="864"/>
    </row>
    <row r="399" spans="5:15">
      <c r="E399" s="750"/>
      <c r="O399" s="864"/>
    </row>
    <row r="400" spans="5:15">
      <c r="E400" s="750"/>
      <c r="O400" s="864"/>
    </row>
    <row r="401" spans="5:15">
      <c r="E401" s="750"/>
      <c r="O401" s="864"/>
    </row>
    <row r="402" spans="5:15">
      <c r="E402" s="750"/>
      <c r="O402" s="864"/>
    </row>
    <row r="403" spans="5:15">
      <c r="E403" s="750"/>
      <c r="O403" s="864"/>
    </row>
    <row r="404" spans="5:15">
      <c r="E404" s="750"/>
      <c r="O404" s="864"/>
    </row>
    <row r="405" spans="5:15">
      <c r="E405" s="750"/>
      <c r="O405" s="864"/>
    </row>
    <row r="406" spans="5:15">
      <c r="E406" s="750"/>
      <c r="O406" s="864"/>
    </row>
    <row r="407" spans="5:15">
      <c r="E407" s="750"/>
      <c r="O407" s="864"/>
    </row>
    <row r="408" spans="5:15">
      <c r="E408" s="750"/>
      <c r="O408" s="864"/>
    </row>
    <row r="409" spans="5:15">
      <c r="E409" s="750"/>
      <c r="O409" s="864"/>
    </row>
    <row r="410" spans="5:15">
      <c r="E410" s="750"/>
      <c r="O410" s="864"/>
    </row>
    <row r="411" spans="5:15">
      <c r="E411" s="750"/>
      <c r="O411" s="864"/>
    </row>
    <row r="412" spans="5:15">
      <c r="E412" s="750"/>
      <c r="O412" s="864"/>
    </row>
    <row r="413" spans="5:15">
      <c r="E413" s="750"/>
      <c r="O413" s="864"/>
    </row>
    <row r="414" spans="5:15">
      <c r="E414" s="750"/>
      <c r="O414" s="864"/>
    </row>
    <row r="415" spans="5:15">
      <c r="E415" s="750"/>
      <c r="O415" s="864"/>
    </row>
    <row r="416" spans="5:15">
      <c r="E416" s="750"/>
      <c r="O416" s="864"/>
    </row>
    <row r="417" spans="5:15">
      <c r="E417" s="750"/>
      <c r="O417" s="864"/>
    </row>
    <row r="418" spans="5:15">
      <c r="E418" s="750"/>
      <c r="O418" s="864"/>
    </row>
    <row r="419" spans="5:15">
      <c r="E419" s="750"/>
      <c r="O419" s="864"/>
    </row>
    <row r="420" spans="5:15">
      <c r="E420" s="750"/>
      <c r="O420" s="864"/>
    </row>
    <row r="421" spans="5:15">
      <c r="E421" s="750"/>
      <c r="O421" s="864"/>
    </row>
    <row r="422" spans="5:15">
      <c r="E422" s="750"/>
      <c r="O422" s="864"/>
    </row>
    <row r="423" spans="5:15">
      <c r="E423" s="750"/>
      <c r="O423" s="864"/>
    </row>
    <row r="424" spans="5:15">
      <c r="E424" s="750"/>
      <c r="O424" s="864"/>
    </row>
    <row r="425" spans="5:15">
      <c r="E425" s="750"/>
      <c r="O425" s="864"/>
    </row>
    <row r="426" spans="5:15">
      <c r="E426" s="750"/>
      <c r="O426" s="864"/>
    </row>
    <row r="427" spans="5:15">
      <c r="E427" s="750"/>
      <c r="O427" s="864"/>
    </row>
    <row r="428" spans="5:15">
      <c r="E428" s="750"/>
      <c r="O428" s="864"/>
    </row>
    <row r="429" spans="5:15">
      <c r="E429" s="750"/>
      <c r="O429" s="864"/>
    </row>
    <row r="430" spans="5:15">
      <c r="E430" s="750"/>
      <c r="O430" s="864"/>
    </row>
    <row r="431" spans="5:15">
      <c r="E431" s="750"/>
      <c r="O431" s="864"/>
    </row>
    <row r="432" spans="5:15">
      <c r="E432" s="750"/>
      <c r="O432" s="864"/>
    </row>
    <row r="433" spans="5:15">
      <c r="E433" s="750"/>
      <c r="O433" s="864"/>
    </row>
    <row r="434" spans="5:15">
      <c r="E434" s="750"/>
      <c r="O434" s="864"/>
    </row>
    <row r="435" spans="5:15">
      <c r="E435" s="750"/>
      <c r="O435" s="864"/>
    </row>
    <row r="436" spans="5:15">
      <c r="E436" s="750"/>
      <c r="O436" s="864"/>
    </row>
    <row r="437" spans="5:15">
      <c r="E437" s="750"/>
      <c r="O437" s="864"/>
    </row>
    <row r="438" spans="5:15">
      <c r="E438" s="750"/>
      <c r="O438" s="864"/>
    </row>
    <row r="439" spans="5:15">
      <c r="E439" s="750"/>
      <c r="O439" s="864"/>
    </row>
    <row r="440" spans="5:15">
      <c r="E440" s="750"/>
      <c r="O440" s="864"/>
    </row>
    <row r="441" spans="5:15">
      <c r="E441" s="750"/>
      <c r="O441" s="864"/>
    </row>
    <row r="442" spans="5:15">
      <c r="E442" s="750"/>
      <c r="O442" s="864"/>
    </row>
    <row r="443" spans="5:15">
      <c r="E443" s="750"/>
      <c r="O443" s="864"/>
    </row>
    <row r="444" spans="5:15">
      <c r="E444" s="750"/>
      <c r="O444" s="864"/>
    </row>
    <row r="445" spans="5:15">
      <c r="E445" s="750"/>
      <c r="O445" s="864"/>
    </row>
    <row r="446" spans="5:15">
      <c r="E446" s="750"/>
      <c r="O446" s="864"/>
    </row>
    <row r="447" spans="5:15">
      <c r="E447" s="750"/>
      <c r="O447" s="864"/>
    </row>
    <row r="448" spans="5:15">
      <c r="E448" s="750"/>
      <c r="O448" s="864"/>
    </row>
    <row r="449" spans="5:15">
      <c r="E449" s="750"/>
      <c r="O449" s="864"/>
    </row>
    <row r="450" spans="5:15">
      <c r="E450" s="750"/>
      <c r="O450" s="864"/>
    </row>
    <row r="451" spans="5:15">
      <c r="E451" s="750"/>
      <c r="O451" s="864"/>
    </row>
    <row r="452" spans="5:15">
      <c r="E452" s="750"/>
      <c r="O452" s="864"/>
    </row>
    <row r="453" spans="5:15">
      <c r="E453" s="750"/>
      <c r="O453" s="864"/>
    </row>
    <row r="454" spans="5:15">
      <c r="E454" s="750"/>
      <c r="O454" s="864"/>
    </row>
    <row r="455" spans="5:15">
      <c r="E455" s="750"/>
      <c r="O455" s="864"/>
    </row>
    <row r="456" spans="5:15">
      <c r="E456" s="750"/>
      <c r="O456" s="864"/>
    </row>
    <row r="457" spans="5:15">
      <c r="E457" s="750"/>
      <c r="O457" s="864"/>
    </row>
    <row r="458" spans="5:15">
      <c r="E458" s="750"/>
      <c r="O458" s="864"/>
    </row>
    <row r="459" spans="5:15">
      <c r="E459" s="750"/>
      <c r="O459" s="864"/>
    </row>
    <row r="460" spans="5:15">
      <c r="E460" s="750"/>
      <c r="O460" s="864"/>
    </row>
    <row r="461" spans="5:15">
      <c r="E461" s="750"/>
      <c r="O461" s="864"/>
    </row>
    <row r="462" spans="5:15">
      <c r="E462" s="750"/>
      <c r="O462" s="864"/>
    </row>
    <row r="463" spans="5:15">
      <c r="E463" s="750"/>
      <c r="O463" s="864"/>
    </row>
    <row r="464" spans="5:15">
      <c r="E464" s="750"/>
      <c r="O464" s="864"/>
    </row>
    <row r="465" spans="5:15">
      <c r="E465" s="750"/>
      <c r="O465" s="864"/>
    </row>
    <row r="466" spans="5:15">
      <c r="E466" s="750"/>
      <c r="O466" s="864"/>
    </row>
    <row r="467" spans="5:15">
      <c r="E467" s="750"/>
      <c r="O467" s="864"/>
    </row>
    <row r="468" spans="5:15">
      <c r="E468" s="750"/>
      <c r="O468" s="864"/>
    </row>
    <row r="469" spans="5:15">
      <c r="E469" s="750"/>
      <c r="O469" s="864"/>
    </row>
    <row r="470" spans="5:15">
      <c r="E470" s="750"/>
      <c r="O470" s="864"/>
    </row>
    <row r="471" spans="5:15">
      <c r="E471" s="750"/>
      <c r="O471" s="864"/>
    </row>
    <row r="472" spans="5:15">
      <c r="E472" s="750"/>
      <c r="O472" s="864"/>
    </row>
    <row r="473" spans="5:15">
      <c r="E473" s="750"/>
      <c r="O473" s="864"/>
    </row>
    <row r="474" spans="5:15">
      <c r="E474" s="750"/>
      <c r="O474" s="864"/>
    </row>
    <row r="475" spans="5:15">
      <c r="E475" s="750"/>
      <c r="O475" s="864"/>
    </row>
    <row r="476" spans="5:15">
      <c r="E476" s="750"/>
      <c r="O476" s="864"/>
    </row>
    <row r="477" spans="5:15">
      <c r="E477" s="750"/>
      <c r="O477" s="864"/>
    </row>
    <row r="478" spans="5:15">
      <c r="E478" s="750"/>
      <c r="O478" s="864"/>
    </row>
    <row r="479" spans="5:15">
      <c r="E479" s="750"/>
      <c r="O479" s="864"/>
    </row>
    <row r="480" spans="5:15">
      <c r="E480" s="750"/>
      <c r="O480" s="864"/>
    </row>
    <row r="481" spans="5:15">
      <c r="E481" s="750"/>
      <c r="O481" s="864"/>
    </row>
    <row r="482" spans="5:15">
      <c r="E482" s="750"/>
      <c r="O482" s="864"/>
    </row>
    <row r="483" spans="5:15">
      <c r="E483" s="750"/>
      <c r="O483" s="864"/>
    </row>
    <row r="484" spans="5:15">
      <c r="E484" s="750"/>
      <c r="O484" s="864"/>
    </row>
    <row r="485" spans="5:15">
      <c r="E485" s="750"/>
      <c r="O485" s="864"/>
    </row>
    <row r="486" spans="5:15">
      <c r="E486" s="750"/>
      <c r="O486" s="864"/>
    </row>
    <row r="487" spans="5:15">
      <c r="E487" s="750"/>
      <c r="O487" s="864"/>
    </row>
    <row r="488" spans="5:15">
      <c r="E488" s="750"/>
      <c r="O488" s="864"/>
    </row>
    <row r="489" spans="5:15">
      <c r="E489" s="750"/>
      <c r="O489" s="864"/>
    </row>
    <row r="490" spans="5:15">
      <c r="E490" s="750"/>
      <c r="O490" s="864"/>
    </row>
    <row r="491" spans="5:15">
      <c r="E491" s="750"/>
      <c r="O491" s="864"/>
    </row>
    <row r="492" spans="5:15">
      <c r="E492" s="750"/>
      <c r="O492" s="864"/>
    </row>
    <row r="493" spans="5:15">
      <c r="E493" s="750"/>
      <c r="O493" s="864"/>
    </row>
    <row r="494" spans="5:15">
      <c r="E494" s="750"/>
      <c r="O494" s="864"/>
    </row>
    <row r="495" spans="5:15">
      <c r="E495" s="750"/>
      <c r="O495" s="864"/>
    </row>
    <row r="496" spans="5:15">
      <c r="E496" s="750"/>
      <c r="O496" s="864"/>
    </row>
    <row r="497" spans="5:15">
      <c r="E497" s="750"/>
      <c r="O497" s="864"/>
    </row>
    <row r="498" spans="5:15">
      <c r="E498" s="750"/>
      <c r="O498" s="864"/>
    </row>
    <row r="499" spans="5:15">
      <c r="E499" s="750"/>
      <c r="O499" s="864"/>
    </row>
    <row r="500" spans="5:15">
      <c r="E500" s="750"/>
      <c r="O500" s="864"/>
    </row>
    <row r="501" spans="5:15">
      <c r="E501" s="750"/>
      <c r="O501" s="864"/>
    </row>
    <row r="502" spans="5:15">
      <c r="E502" s="750"/>
      <c r="O502" s="864"/>
    </row>
    <row r="503" spans="5:15">
      <c r="E503" s="750"/>
      <c r="O503" s="864"/>
    </row>
    <row r="504" spans="5:15">
      <c r="E504" s="750"/>
      <c r="O504" s="864"/>
    </row>
    <row r="505" spans="5:15">
      <c r="E505" s="750"/>
      <c r="O505" s="864"/>
    </row>
    <row r="506" spans="5:15">
      <c r="E506" s="750"/>
      <c r="O506" s="864"/>
    </row>
    <row r="507" spans="5:15">
      <c r="E507" s="750"/>
      <c r="O507" s="864"/>
    </row>
    <row r="508" spans="5:15">
      <c r="E508" s="750"/>
      <c r="O508" s="864"/>
    </row>
    <row r="509" spans="5:15">
      <c r="E509" s="750"/>
      <c r="O509" s="864"/>
    </row>
    <row r="510" spans="5:15">
      <c r="E510" s="750"/>
      <c r="O510" s="864"/>
    </row>
    <row r="511" spans="5:15">
      <c r="E511" s="750"/>
      <c r="O511" s="864"/>
    </row>
    <row r="512" spans="5:15">
      <c r="E512" s="750"/>
      <c r="O512" s="864"/>
    </row>
    <row r="513" spans="5:15">
      <c r="E513" s="750"/>
      <c r="O513" s="864"/>
    </row>
    <row r="514" spans="5:15">
      <c r="E514" s="750"/>
      <c r="O514" s="864"/>
    </row>
    <row r="515" spans="5:15">
      <c r="E515" s="750"/>
      <c r="O515" s="864"/>
    </row>
    <row r="516" spans="5:15">
      <c r="E516" s="750"/>
      <c r="O516" s="864"/>
    </row>
    <row r="517" spans="5:15">
      <c r="E517" s="750"/>
      <c r="O517" s="864"/>
    </row>
    <row r="518" spans="5:15">
      <c r="E518" s="750"/>
      <c r="O518" s="864"/>
    </row>
    <row r="519" spans="5:15">
      <c r="E519" s="750"/>
      <c r="O519" s="864"/>
    </row>
    <row r="520" spans="5:15">
      <c r="E520" s="750"/>
      <c r="O520" s="864"/>
    </row>
    <row r="521" spans="5:15">
      <c r="E521" s="750"/>
      <c r="O521" s="864"/>
    </row>
    <row r="522" spans="5:15">
      <c r="E522" s="750"/>
      <c r="O522" s="864"/>
    </row>
    <row r="523" spans="5:15">
      <c r="E523" s="750"/>
      <c r="O523" s="864"/>
    </row>
    <row r="524" spans="5:15">
      <c r="E524" s="750"/>
      <c r="O524" s="864"/>
    </row>
    <row r="525" spans="5:15">
      <c r="E525" s="750"/>
      <c r="O525" s="864"/>
    </row>
    <row r="526" spans="5:15">
      <c r="E526" s="750"/>
      <c r="O526" s="864"/>
    </row>
    <row r="527" spans="5:15">
      <c r="E527" s="750"/>
      <c r="O527" s="864"/>
    </row>
    <row r="528" spans="5:15">
      <c r="E528" s="750"/>
      <c r="O528" s="864"/>
    </row>
    <row r="529" spans="5:15">
      <c r="E529" s="750"/>
      <c r="O529" s="864"/>
    </row>
    <row r="530" spans="5:15">
      <c r="E530" s="750"/>
      <c r="O530" s="864"/>
    </row>
    <row r="531" spans="5:15">
      <c r="E531" s="750"/>
      <c r="O531" s="864"/>
    </row>
    <row r="532" spans="5:15">
      <c r="E532" s="750"/>
      <c r="O532" s="864"/>
    </row>
    <row r="533" spans="5:15">
      <c r="E533" s="750"/>
      <c r="O533" s="864"/>
    </row>
    <row r="534" spans="5:15">
      <c r="E534" s="750"/>
      <c r="O534" s="864"/>
    </row>
    <row r="535" spans="5:15">
      <c r="E535" s="750"/>
      <c r="O535" s="864"/>
    </row>
    <row r="536" spans="5:15">
      <c r="E536" s="750"/>
      <c r="O536" s="864"/>
    </row>
    <row r="537" spans="5:15">
      <c r="E537" s="750"/>
      <c r="O537" s="864"/>
    </row>
    <row r="538" spans="5:15">
      <c r="E538" s="750"/>
      <c r="O538" s="864"/>
    </row>
    <row r="539" spans="5:15">
      <c r="E539" s="750"/>
      <c r="O539" s="864"/>
    </row>
    <row r="540" spans="5:15">
      <c r="E540" s="750"/>
      <c r="O540" s="864"/>
    </row>
    <row r="541" spans="5:15">
      <c r="E541" s="750"/>
      <c r="O541" s="864"/>
    </row>
    <row r="542" spans="5:15">
      <c r="E542" s="750"/>
      <c r="O542" s="864"/>
    </row>
    <row r="543" spans="5:15">
      <c r="E543" s="750"/>
      <c r="O543" s="864"/>
    </row>
    <row r="544" spans="5:15">
      <c r="E544" s="750"/>
      <c r="O544" s="864"/>
    </row>
    <row r="545" spans="5:15">
      <c r="E545" s="750"/>
      <c r="O545" s="864"/>
    </row>
    <row r="546" spans="5:15">
      <c r="E546" s="750"/>
      <c r="O546" s="864"/>
    </row>
    <row r="547" spans="5:15">
      <c r="E547" s="750"/>
      <c r="O547" s="864"/>
    </row>
    <row r="548" spans="5:15">
      <c r="E548" s="750"/>
      <c r="O548" s="864"/>
    </row>
    <row r="549" spans="5:15">
      <c r="E549" s="750"/>
      <c r="O549" s="864"/>
    </row>
    <row r="550" spans="5:15">
      <c r="E550" s="750"/>
      <c r="O550" s="864"/>
    </row>
    <row r="551" spans="5:15">
      <c r="E551" s="750"/>
      <c r="O551" s="864"/>
    </row>
    <row r="552" spans="5:15">
      <c r="E552" s="750"/>
      <c r="O552" s="864"/>
    </row>
    <row r="553" spans="5:15">
      <c r="E553" s="750"/>
      <c r="O553" s="864"/>
    </row>
    <row r="554" spans="5:15">
      <c r="E554" s="750"/>
      <c r="O554" s="864"/>
    </row>
    <row r="555" spans="5:15">
      <c r="E555" s="750"/>
      <c r="O555" s="864"/>
    </row>
    <row r="556" spans="5:15">
      <c r="E556" s="750"/>
      <c r="O556" s="864"/>
    </row>
    <row r="557" spans="5:15">
      <c r="E557" s="750"/>
      <c r="O557" s="864"/>
    </row>
    <row r="558" spans="5:15">
      <c r="E558" s="750"/>
      <c r="O558" s="864"/>
    </row>
    <row r="559" spans="5:15">
      <c r="E559" s="750"/>
      <c r="O559" s="864"/>
    </row>
    <row r="560" spans="5:15">
      <c r="E560" s="750"/>
      <c r="O560" s="864"/>
    </row>
    <row r="561" spans="5:15">
      <c r="E561" s="750"/>
      <c r="O561" s="864"/>
    </row>
    <row r="562" spans="5:15">
      <c r="E562" s="750"/>
      <c r="O562" s="864"/>
    </row>
    <row r="563" spans="5:15">
      <c r="E563" s="750"/>
      <c r="O563" s="864"/>
    </row>
    <row r="564" spans="5:15">
      <c r="E564" s="750"/>
      <c r="O564" s="864"/>
    </row>
    <row r="565" spans="5:15">
      <c r="E565" s="750"/>
      <c r="O565" s="864"/>
    </row>
    <row r="566" spans="5:15">
      <c r="E566" s="750"/>
      <c r="O566" s="864"/>
    </row>
    <row r="567" spans="5:15">
      <c r="E567" s="750"/>
      <c r="O567" s="864"/>
    </row>
    <row r="568" spans="5:15">
      <c r="E568" s="750"/>
      <c r="O568" s="864"/>
    </row>
    <row r="569" spans="5:15">
      <c r="E569" s="750"/>
      <c r="O569" s="864"/>
    </row>
    <row r="570" spans="5:15">
      <c r="E570" s="750"/>
      <c r="O570" s="864"/>
    </row>
    <row r="571" spans="5:15">
      <c r="E571" s="750"/>
      <c r="O571" s="864"/>
    </row>
    <row r="572" spans="5:15">
      <c r="E572" s="750"/>
      <c r="O572" s="864"/>
    </row>
    <row r="573" spans="5:15">
      <c r="E573" s="750"/>
      <c r="O573" s="864"/>
    </row>
    <row r="574" spans="5:15">
      <c r="E574" s="750"/>
      <c r="O574" s="864"/>
    </row>
    <row r="575" spans="5:15">
      <c r="E575" s="750"/>
      <c r="O575" s="864"/>
    </row>
    <row r="576" spans="5:15">
      <c r="E576" s="750"/>
      <c r="O576" s="864"/>
    </row>
    <row r="577" spans="5:15">
      <c r="E577" s="750"/>
      <c r="O577" s="864"/>
    </row>
    <row r="578" spans="5:15">
      <c r="E578" s="750"/>
      <c r="O578" s="864"/>
    </row>
    <row r="579" spans="5:15">
      <c r="E579" s="750"/>
      <c r="O579" s="864"/>
    </row>
    <row r="580" spans="5:15">
      <c r="E580" s="750"/>
      <c r="O580" s="864"/>
    </row>
    <row r="581" spans="5:15">
      <c r="E581" s="750"/>
      <c r="O581" s="864"/>
    </row>
    <row r="582" spans="5:15">
      <c r="E582" s="750"/>
      <c r="O582" s="864"/>
    </row>
    <row r="583" spans="5:15">
      <c r="E583" s="750"/>
      <c r="O583" s="864"/>
    </row>
    <row r="584" spans="5:15">
      <c r="E584" s="750"/>
      <c r="O584" s="864"/>
    </row>
    <row r="585" spans="5:15">
      <c r="E585" s="750"/>
      <c r="O585" s="864"/>
    </row>
    <row r="586" spans="5:15">
      <c r="E586" s="750"/>
      <c r="O586" s="864"/>
    </row>
    <row r="587" spans="5:15">
      <c r="E587" s="750"/>
      <c r="O587" s="864"/>
    </row>
    <row r="588" spans="5:15">
      <c r="E588" s="750"/>
      <c r="O588" s="864"/>
    </row>
    <row r="589" spans="5:15">
      <c r="E589" s="750"/>
      <c r="O589" s="864"/>
    </row>
    <row r="590" spans="5:15">
      <c r="E590" s="750"/>
      <c r="O590" s="864"/>
    </row>
    <row r="591" spans="5:15">
      <c r="E591" s="750"/>
      <c r="O591" s="864"/>
    </row>
    <row r="592" spans="5:15">
      <c r="E592" s="750"/>
      <c r="O592" s="864"/>
    </row>
    <row r="593" spans="5:15">
      <c r="E593" s="750"/>
      <c r="O593" s="864"/>
    </row>
    <row r="594" spans="5:15">
      <c r="E594" s="750"/>
      <c r="O594" s="864"/>
    </row>
    <row r="595" spans="5:15">
      <c r="E595" s="750"/>
      <c r="O595" s="864"/>
    </row>
    <row r="596" spans="5:15">
      <c r="E596" s="750"/>
      <c r="O596" s="864"/>
    </row>
    <row r="597" spans="5:15">
      <c r="E597" s="750"/>
      <c r="O597" s="864"/>
    </row>
    <row r="598" spans="5:15">
      <c r="E598" s="750"/>
      <c r="O598" s="864"/>
    </row>
    <row r="599" spans="5:15">
      <c r="E599" s="750"/>
      <c r="O599" s="864"/>
    </row>
    <row r="600" spans="5:15">
      <c r="E600" s="750"/>
      <c r="O600" s="864"/>
    </row>
    <row r="601" spans="5:15">
      <c r="E601" s="750"/>
      <c r="O601" s="864"/>
    </row>
    <row r="602" spans="5:15">
      <c r="E602" s="750"/>
      <c r="O602" s="864"/>
    </row>
    <row r="603" spans="5:15">
      <c r="E603" s="750"/>
      <c r="O603" s="864"/>
    </row>
    <row r="604" spans="5:15">
      <c r="E604" s="750"/>
      <c r="O604" s="864"/>
    </row>
    <row r="605" spans="5:15">
      <c r="E605" s="750"/>
      <c r="O605" s="864"/>
    </row>
    <row r="606" spans="5:15">
      <c r="E606" s="750"/>
      <c r="O606" s="864"/>
    </row>
    <row r="607" spans="5:15">
      <c r="E607" s="750"/>
      <c r="O607" s="864"/>
    </row>
    <row r="608" spans="5:15">
      <c r="E608" s="750"/>
      <c r="O608" s="864"/>
    </row>
    <row r="609" spans="5:15">
      <c r="E609" s="750"/>
      <c r="O609" s="864"/>
    </row>
    <row r="610" spans="5:15">
      <c r="E610" s="750"/>
      <c r="O610" s="864"/>
    </row>
    <row r="611" spans="5:15">
      <c r="E611" s="750"/>
      <c r="O611" s="864"/>
    </row>
  </sheetData>
  <mergeCells count="144">
    <mergeCell ref="A179:A187"/>
    <mergeCell ref="O179:O184"/>
    <mergeCell ref="C181:C184"/>
    <mergeCell ref="M185:M187"/>
    <mergeCell ref="N185:N187"/>
    <mergeCell ref="O185:O187"/>
    <mergeCell ref="C186:C187"/>
    <mergeCell ref="A188:A199"/>
    <mergeCell ref="O188:O194"/>
    <mergeCell ref="C190:C194"/>
    <mergeCell ref="M195:M199"/>
    <mergeCell ref="N195:N199"/>
    <mergeCell ref="O195:O199"/>
    <mergeCell ref="C196:C199"/>
    <mergeCell ref="O154:O156"/>
    <mergeCell ref="C155:C156"/>
    <mergeCell ref="A157:A165"/>
    <mergeCell ref="O157:O162"/>
    <mergeCell ref="C159:C162"/>
    <mergeCell ref="N163:N165"/>
    <mergeCell ref="O163:O165"/>
    <mergeCell ref="C164:C165"/>
    <mergeCell ref="A126:A134"/>
    <mergeCell ref="C128:C131"/>
    <mergeCell ref="N132:N134"/>
    <mergeCell ref="C133:C134"/>
    <mergeCell ref="A135:A143"/>
    <mergeCell ref="C137:C140"/>
    <mergeCell ref="N141:N143"/>
    <mergeCell ref="C142:C143"/>
    <mergeCell ref="O126:O131"/>
    <mergeCell ref="O132:O134"/>
    <mergeCell ref="O135:O140"/>
    <mergeCell ref="O141:O143"/>
    <mergeCell ref="A144:A156"/>
    <mergeCell ref="O144:O153"/>
    <mergeCell ref="C146:C153"/>
    <mergeCell ref="N154:N156"/>
    <mergeCell ref="A228:O229"/>
    <mergeCell ref="A220:A226"/>
    <mergeCell ref="O220:O226"/>
    <mergeCell ref="C222:C223"/>
    <mergeCell ref="C225:C226"/>
    <mergeCell ref="N224:N226"/>
    <mergeCell ref="A212:A215"/>
    <mergeCell ref="A166:A178"/>
    <mergeCell ref="O166:O175"/>
    <mergeCell ref="C168:C175"/>
    <mergeCell ref="N176:N178"/>
    <mergeCell ref="O176:O178"/>
    <mergeCell ref="C177:C178"/>
    <mergeCell ref="A216:A219"/>
    <mergeCell ref="O216:O219"/>
    <mergeCell ref="C218:C219"/>
    <mergeCell ref="O212:O215"/>
    <mergeCell ref="C214:C215"/>
    <mergeCell ref="C205:C208"/>
    <mergeCell ref="O201:O211"/>
    <mergeCell ref="N209:N211"/>
    <mergeCell ref="M176:M178"/>
    <mergeCell ref="M209:M211"/>
    <mergeCell ref="M224:M226"/>
    <mergeCell ref="M18:M24"/>
    <mergeCell ref="A70:A78"/>
    <mergeCell ref="C72:C75"/>
    <mergeCell ref="N76:N78"/>
    <mergeCell ref="C77:C78"/>
    <mergeCell ref="O25:O30"/>
    <mergeCell ref="O31:O33"/>
    <mergeCell ref="A61:A69"/>
    <mergeCell ref="N18:N24"/>
    <mergeCell ref="A25:A33"/>
    <mergeCell ref="C32:C33"/>
    <mergeCell ref="C27:C30"/>
    <mergeCell ref="N31:N33"/>
    <mergeCell ref="A34:A42"/>
    <mergeCell ref="O67:O69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A113:A125"/>
    <mergeCell ref="O113:O125"/>
    <mergeCell ref="C115:C120"/>
    <mergeCell ref="C93:C100"/>
    <mergeCell ref="C68:C69"/>
    <mergeCell ref="N67:N69"/>
    <mergeCell ref="O62:O66"/>
    <mergeCell ref="A43:A51"/>
    <mergeCell ref="O43:O48"/>
    <mergeCell ref="C45:C48"/>
    <mergeCell ref="N49:N51"/>
    <mergeCell ref="O49:O51"/>
    <mergeCell ref="C50:C51"/>
    <mergeCell ref="M49:M51"/>
    <mergeCell ref="M58:M60"/>
    <mergeCell ref="M67:M69"/>
    <mergeCell ref="C87:C90"/>
    <mergeCell ref="A52:A60"/>
    <mergeCell ref="O52:O57"/>
    <mergeCell ref="C54:C57"/>
    <mergeCell ref="N58:N60"/>
    <mergeCell ref="O58:O60"/>
    <mergeCell ref="C59:C60"/>
    <mergeCell ref="C63:C66"/>
    <mergeCell ref="A79:A90"/>
    <mergeCell ref="C81:C85"/>
    <mergeCell ref="N86:N90"/>
    <mergeCell ref="A91:A103"/>
    <mergeCell ref="N101:N103"/>
    <mergeCell ref="C102:C103"/>
    <mergeCell ref="A104:A112"/>
    <mergeCell ref="C106:C109"/>
    <mergeCell ref="M31:M33"/>
    <mergeCell ref="M40:M42"/>
    <mergeCell ref="M132:M134"/>
    <mergeCell ref="M141:M143"/>
    <mergeCell ref="M154:M156"/>
    <mergeCell ref="M163:M165"/>
    <mergeCell ref="N123:N125"/>
    <mergeCell ref="C124:C125"/>
    <mergeCell ref="C36:C39"/>
    <mergeCell ref="O34:O39"/>
    <mergeCell ref="O40:O42"/>
    <mergeCell ref="C41:C42"/>
    <mergeCell ref="N40:N42"/>
    <mergeCell ref="O76:O78"/>
    <mergeCell ref="O70:O75"/>
    <mergeCell ref="O79:O85"/>
    <mergeCell ref="O86:O90"/>
    <mergeCell ref="N110:N112"/>
    <mergeCell ref="C111:C112"/>
    <mergeCell ref="O91:O103"/>
    <mergeCell ref="O104:O112"/>
    <mergeCell ref="M76:M78"/>
    <mergeCell ref="M86:M90"/>
    <mergeCell ref="M101:M103"/>
    <mergeCell ref="M110:M112"/>
    <mergeCell ref="M123:M125"/>
  </mergeCells>
  <printOptions horizontalCentered="1"/>
  <pageMargins left="0.23622047244094491" right="0.23622047244094491" top="0.51181102362204722" bottom="0.35433070866141736" header="0.19685039370078741" footer="0.11811023622047245"/>
  <pageSetup paperSize="9" scale="62" firstPageNumber="51" orientation="landscape" useFirstPageNumber="1" r:id="rId1"/>
  <headerFooter alignWithMargins="0">
    <oddHeader>&amp;C&amp;"Arial,Kursywa"Wieloletnia prognoza finansowa Województwa Zachodniopomorskiego na lata 2017-2044&amp;"Arial,Normalny"
_______________________________________________________________________________________________________________________</oddHeader>
    <oddFooter>&amp;C&amp;9&amp;P</oddFooter>
  </headerFooter>
  <rowBreaks count="3" manualBreakCount="3">
    <brk id="51" max="24" man="1"/>
    <brk id="90" max="24" man="1"/>
    <brk id="19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19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Monika Tomaszewska</cp:lastModifiedBy>
  <cp:lastPrinted>2017-12-05T07:09:15Z</cp:lastPrinted>
  <dcterms:created xsi:type="dcterms:W3CDTF">2015-01-20T07:24:04Z</dcterms:created>
  <dcterms:modified xsi:type="dcterms:W3CDTF">2017-12-20T08:35:02Z</dcterms:modified>
</cp:coreProperties>
</file>